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drawings/drawing3.xml" ContentType="application/vnd.openxmlformats-officedocument.drawing+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4.xml" ContentType="application/vnd.openxmlformats-officedocument.drawing+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drawings/drawing5.xml" ContentType="application/vnd.openxmlformats-officedocument.drawing+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drawings/drawing6.xml" ContentType="application/vnd.openxmlformats-officedocument.drawing+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drawings/drawing7.xml" ContentType="application/vnd.openxmlformats-officedocument.drawing+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drawings/drawing8.xml" ContentType="application/vnd.openxmlformats-officedocument.drawing+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drawings/drawing9.xml" ContentType="application/vnd.openxmlformats-officedocument.drawing+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checkCompatibility="1" defaultThemeVersion="124226"/>
  <bookViews>
    <workbookView xWindow="0" yWindow="0" windowWidth="20490" windowHeight="9045" tabRatio="830" firstSheet="5" activeTab="13"/>
  </bookViews>
  <sheets>
    <sheet name="CEKLIST LKB - PT 001 (DOKUMEN)" sheetId="70" r:id="rId1"/>
    <sheet name="CEKLIST LKB - PD 001 (DOKUMEN)" sheetId="68" r:id="rId2"/>
    <sheet name="CEKLIST 002 (BIO DATA)" sheetId="28" r:id="rId3"/>
    <sheet name="CEKLIST 003 (LAPORAN KEUANGAN))" sheetId="40" r:id="rId4"/>
    <sheet name="CEKLIST 003 (LAPORAN KEUANGAN)" sheetId="29" state="hidden" r:id="rId5"/>
    <sheet name="CEKLIST 004 (RASIO KEUANGAN)" sheetId="41" r:id="rId6"/>
    <sheet name="PPAP" sheetId="43" state="hidden" r:id="rId7"/>
    <sheet name="Limited DD" sheetId="44" state="hidden" r:id="rId8"/>
    <sheet name="KPMM" sheetId="42" state="hidden" r:id="rId9"/>
    <sheet name="PAP 00 (Kelembagaan )" sheetId="35" r:id="rId10"/>
    <sheet name="PAP 00 (Keuangan)" sheetId="36" r:id="rId11"/>
    <sheet name="PAP 00 (Sampling EndUser)" sheetId="38" r:id="rId12"/>
    <sheet name="FIP(PAP-01)" sheetId="25" r:id="rId13"/>
    <sheet name="FAK(PAP-02)" sheetId="26" r:id="rId14"/>
    <sheet name="FKS(PAP-03)" sheetId="22" r:id="rId15"/>
    <sheet name="BATA" sheetId="59" r:id="rId16"/>
    <sheet name="FRT" sheetId="65" r:id="rId17"/>
    <sheet name="KEBUTUHAN KEDIT" sheetId="45" state="hidden" r:id="rId18"/>
    <sheet name="MPP(PAP-04)" sheetId="66" r:id="rId19"/>
  </sheets>
  <externalReferences>
    <externalReference r:id="rId20"/>
    <externalReference r:id="rId21"/>
    <externalReference r:id="rId22"/>
    <externalReference r:id="rId23"/>
    <externalReference r:id="rId24"/>
  </externalReferences>
  <definedNames>
    <definedName name="d" localSheetId="1">[1]FAK!#REF!</definedName>
    <definedName name="d" localSheetId="0">[1]FAK!#REF!</definedName>
    <definedName name="d" localSheetId="18">[1]FAK!#REF!</definedName>
    <definedName name="d">[1]FAK!#REF!</definedName>
    <definedName name="FRT" localSheetId="1">[1]FAK!#REF!</definedName>
    <definedName name="FRT" localSheetId="0">[1]FAK!#REF!</definedName>
    <definedName name="FRT" localSheetId="18">[1]FAK!#REF!</definedName>
    <definedName name="FRT">[1]FAK!#REF!</definedName>
    <definedName name="JL">'[2]Info Mitra'!$G$11:$G$13</definedName>
    <definedName name="mmmm" localSheetId="18">[1]FAK!#REF!</definedName>
    <definedName name="mmmm">[1]FAK!#REF!</definedName>
    <definedName name="_xlnm.Print_Area" localSheetId="15">BATA!$A$1:$J$154</definedName>
    <definedName name="_xlnm.Print_Area" localSheetId="2">'CEKLIST 002 (BIO DATA)'!$A$1:$E$50</definedName>
    <definedName name="_xlnm.Print_Area" localSheetId="4">'CEKLIST 003 (LAPORAN KEUANGAN)'!$B$1:$P$89</definedName>
    <definedName name="_xlnm.Print_Area" localSheetId="5">'CEKLIST 004 (RASIO KEUANGAN)'!$A$1:$K$153</definedName>
    <definedName name="_xlnm.Print_Area" localSheetId="13">'FAK(PAP-02)'!$A$1:$AA$256</definedName>
    <definedName name="_xlnm.Print_Area" localSheetId="12">'FIP(PAP-01)'!$A$1:$Z$139</definedName>
    <definedName name="_xlnm.Print_Area" localSheetId="14">'FKS(PAP-03)'!$A$1:$X$611</definedName>
    <definedName name="_xlnm.Print_Area" localSheetId="16">FRT!$A$1:$AC$168</definedName>
    <definedName name="_xlnm.Print_Area" localSheetId="8">KPMM!$B$2:$J$47</definedName>
    <definedName name="_xlnm.Print_Area" localSheetId="7">'Limited DD'!$A$1:$M$81</definedName>
    <definedName name="_xlnm.Print_Area" localSheetId="6">PPAP!$B$1:$I$65</definedName>
    <definedName name="qq">[1]FAK!#REF!</definedName>
    <definedName name="RowTitleRegion3..H16.1" localSheetId="4">[1]FAK!#REF!</definedName>
    <definedName name="RowTitleRegion3..H16.1" localSheetId="18">[1]FAK!#REF!</definedName>
    <definedName name="RowTitleRegion3..H16.1">[1]FAK!#REF!</definedName>
    <definedName name="RowTitleRegion4..G17.1" localSheetId="4">[1]FAK!#REF!</definedName>
    <definedName name="RowTitleRegion4..G17.1" localSheetId="18">[1]FAK!#REF!</definedName>
    <definedName name="RowTitleRegion4..G17.1">[1]FAK!#REF!</definedName>
    <definedName name="RowTitleRegion5..H18.1" localSheetId="4">[1]FAK!#REF!</definedName>
    <definedName name="RowTitleRegion5..H18.1" localSheetId="18">[1]FAK!#REF!</definedName>
    <definedName name="RowTitleRegion5..H18.1">[1]FAK!#REF!</definedName>
    <definedName name="tes">[1]FAK!#REF!</definedName>
    <definedName name="Title1" localSheetId="4">[1]FAK!#REF!</definedName>
    <definedName name="Title1" localSheetId="18">[1]FAK!#REF!</definedName>
    <definedName name="Title1">[1]FAK!#REF!</definedName>
    <definedName name="v" localSheetId="18">[1]FAK!#REF!</definedName>
    <definedName name="v">[1]FAK!#REF!</definedName>
  </definedNames>
  <calcPr calcId="144525"/>
  <fileRecoveryPr repairLoad="1"/>
</workbook>
</file>

<file path=xl/calcChain.xml><?xml version="1.0" encoding="utf-8"?>
<calcChain xmlns="http://schemas.openxmlformats.org/spreadsheetml/2006/main">
  <c r="E147" i="26" l="1"/>
  <c r="E145" i="26"/>
  <c r="J51" i="38" l="1"/>
  <c r="F12" i="26"/>
  <c r="E12" i="26"/>
  <c r="D12" i="26"/>
  <c r="O311" i="66" l="1"/>
  <c r="K311" i="66"/>
  <c r="E151" i="26"/>
  <c r="E155" i="26"/>
  <c r="E153" i="26"/>
  <c r="E149" i="26"/>
  <c r="F167" i="26"/>
  <c r="H9" i="65"/>
  <c r="H8" i="65"/>
  <c r="C206" i="22"/>
  <c r="C205" i="22"/>
  <c r="H113" i="59"/>
  <c r="H114" i="59"/>
  <c r="E62" i="29"/>
  <c r="D62" i="29"/>
  <c r="C62" i="29"/>
  <c r="M72" i="40"/>
  <c r="M92" i="40"/>
  <c r="M68" i="40"/>
  <c r="M65" i="40"/>
  <c r="M60" i="40"/>
  <c r="E50" i="29"/>
  <c r="O72" i="40"/>
  <c r="O160" i="40"/>
  <c r="O171" i="40"/>
  <c r="O158" i="40"/>
  <c r="K163" i="40"/>
  <c r="E70" i="29" s="1"/>
  <c r="O155" i="40"/>
  <c r="O68" i="40"/>
  <c r="O61" i="40"/>
  <c r="C9" i="29" s="1"/>
  <c r="M158" i="40"/>
  <c r="K158" i="40"/>
  <c r="M155" i="40"/>
  <c r="K155" i="40"/>
  <c r="K165" i="40" s="1"/>
  <c r="O165" i="40"/>
  <c r="O142" i="40"/>
  <c r="M142" i="40"/>
  <c r="K142" i="40"/>
  <c r="O136" i="40"/>
  <c r="O148" i="40" s="1"/>
  <c r="C70" i="29" s="1"/>
  <c r="M136" i="40"/>
  <c r="M148" i="40" s="1"/>
  <c r="K136" i="40"/>
  <c r="K148" i="40" s="1"/>
  <c r="O78" i="40"/>
  <c r="M78" i="40"/>
  <c r="K78" i="40"/>
  <c r="O74" i="40"/>
  <c r="M74" i="40"/>
  <c r="K74" i="40"/>
  <c r="O69" i="40"/>
  <c r="M69" i="40"/>
  <c r="K69" i="40"/>
  <c r="K68" i="40"/>
  <c r="H52" i="40"/>
  <c r="H51" i="40"/>
  <c r="M61" i="40"/>
  <c r="D9" i="29" s="1"/>
  <c r="K61" i="40"/>
  <c r="E9" i="29" s="1"/>
  <c r="O60" i="40"/>
  <c r="K60" i="40"/>
  <c r="O49" i="40"/>
  <c r="M49" i="40"/>
  <c r="K49" i="40"/>
  <c r="O43" i="40"/>
  <c r="M43" i="40"/>
  <c r="M62" i="40" s="1"/>
  <c r="K43" i="40"/>
  <c r="K62" i="40" s="1"/>
  <c r="J61" i="40" s="1"/>
  <c r="D70" i="29" l="1"/>
  <c r="H50" i="40"/>
  <c r="L142" i="40"/>
  <c r="F63" i="26"/>
  <c r="O62" i="40"/>
  <c r="N140" i="40"/>
  <c r="N138" i="40"/>
  <c r="N148" i="40"/>
  <c r="N147" i="40"/>
  <c r="N145" i="40"/>
  <c r="N143" i="40"/>
  <c r="N141" i="40"/>
  <c r="N139" i="40"/>
  <c r="N137" i="40"/>
  <c r="N146" i="40"/>
  <c r="N144" i="40"/>
  <c r="N165" i="40"/>
  <c r="N162" i="40"/>
  <c r="N160" i="40"/>
  <c r="N156" i="40"/>
  <c r="N159" i="40"/>
  <c r="N154" i="40"/>
  <c r="N161" i="40"/>
  <c r="N158" i="40"/>
  <c r="N157" i="40"/>
  <c r="N155" i="40"/>
  <c r="N163" i="40"/>
  <c r="L147" i="40"/>
  <c r="L145" i="40"/>
  <c r="L143" i="40"/>
  <c r="L141" i="40"/>
  <c r="L139" i="40"/>
  <c r="L137" i="40"/>
  <c r="L136" i="40"/>
  <c r="L146" i="40"/>
  <c r="L144" i="40"/>
  <c r="L140" i="40"/>
  <c r="L138" i="40"/>
  <c r="N142" i="40"/>
  <c r="N136" i="40"/>
  <c r="M165" i="40"/>
  <c r="L158" i="40" s="1"/>
  <c r="C7" i="29"/>
  <c r="L159" i="40" l="1"/>
  <c r="L154" i="40"/>
  <c r="L161" i="40"/>
  <c r="L157" i="40"/>
  <c r="L165" i="40"/>
  <c r="L163" i="40"/>
  <c r="L162" i="40"/>
  <c r="L160" i="40"/>
  <c r="L156" i="40"/>
  <c r="L155" i="40"/>
  <c r="L148" i="40"/>
  <c r="AF31" i="25"/>
  <c r="D8" i="70" l="1"/>
  <c r="D6" i="70"/>
  <c r="D5" i="70"/>
  <c r="D8" i="68"/>
  <c r="D6" i="68"/>
  <c r="D5" i="68"/>
  <c r="W95" i="25" l="1"/>
  <c r="V95" i="25"/>
  <c r="U95" i="25"/>
  <c r="X95" i="25"/>
  <c r="AF97" i="25"/>
  <c r="Y95" i="25"/>
  <c r="K27" i="25" l="1"/>
  <c r="K18" i="25"/>
  <c r="K14" i="25"/>
  <c r="H101" i="41"/>
  <c r="H100" i="41"/>
  <c r="H99" i="41"/>
  <c r="H98" i="41"/>
  <c r="H95" i="41"/>
  <c r="H94" i="41"/>
  <c r="H93" i="41"/>
  <c r="H92" i="41"/>
  <c r="H118" i="41" l="1"/>
  <c r="H117" i="41"/>
  <c r="H115" i="41"/>
  <c r="H114" i="41"/>
  <c r="H113" i="41"/>
  <c r="H112" i="41"/>
  <c r="H111" i="41"/>
  <c r="H108" i="41"/>
  <c r="H107" i="41"/>
  <c r="H106" i="41"/>
  <c r="H105" i="41"/>
  <c r="H104" i="41"/>
  <c r="F117" i="41"/>
  <c r="D117" i="41"/>
  <c r="D107" i="41"/>
  <c r="F107" i="41"/>
  <c r="F106" i="41"/>
  <c r="F118" i="41"/>
  <c r="F115" i="41"/>
  <c r="F114" i="41"/>
  <c r="F113" i="41"/>
  <c r="F112" i="41"/>
  <c r="F111" i="41"/>
  <c r="F108" i="41"/>
  <c r="F105" i="41"/>
  <c r="F104" i="41"/>
  <c r="D113" i="41"/>
  <c r="F101" i="41"/>
  <c r="F100" i="41"/>
  <c r="F99" i="41"/>
  <c r="F98" i="41"/>
  <c r="F95" i="41"/>
  <c r="F94" i="41"/>
  <c r="F93" i="41"/>
  <c r="F92" i="41"/>
  <c r="D118" i="41"/>
  <c r="D115" i="41"/>
  <c r="D114" i="41"/>
  <c r="D111" i="41"/>
  <c r="D108" i="41"/>
  <c r="D93" i="41"/>
  <c r="D106" i="41"/>
  <c r="D105" i="41"/>
  <c r="D104" i="41"/>
  <c r="D100" i="41"/>
  <c r="D99" i="41"/>
  <c r="D98" i="41"/>
  <c r="D96" i="41"/>
  <c r="D95" i="41"/>
  <c r="D94" i="41"/>
  <c r="D92" i="41"/>
  <c r="D89" i="41" l="1"/>
  <c r="S47" i="66"/>
  <c r="M98" i="65" l="1"/>
  <c r="S368" i="66" l="1"/>
  <c r="S359" i="66"/>
  <c r="T329" i="66"/>
  <c r="L329" i="66"/>
  <c r="T323" i="66"/>
  <c r="L323" i="66"/>
  <c r="C329" i="66"/>
  <c r="C323" i="66"/>
  <c r="C170" i="65"/>
  <c r="I309" i="66"/>
  <c r="I307" i="66"/>
  <c r="I306" i="66"/>
  <c r="I305" i="66"/>
  <c r="I304" i="66"/>
  <c r="I303" i="66"/>
  <c r="I302" i="66"/>
  <c r="I301" i="66"/>
  <c r="I300" i="66"/>
  <c r="I299" i="66"/>
  <c r="I298" i="66"/>
  <c r="J68" i="66"/>
  <c r="J67" i="66"/>
  <c r="J64" i="66"/>
  <c r="C64" i="66"/>
  <c r="J63" i="66"/>
  <c r="C63" i="66"/>
  <c r="J62" i="66"/>
  <c r="C62" i="66"/>
  <c r="C59" i="66"/>
  <c r="C58" i="66"/>
  <c r="C57" i="66"/>
  <c r="C56" i="66"/>
  <c r="C54" i="66"/>
  <c r="C53" i="66"/>
  <c r="C52" i="66"/>
  <c r="C51" i="66"/>
  <c r="C265" i="66"/>
  <c r="C263" i="66"/>
  <c r="C261" i="66"/>
  <c r="C259" i="66"/>
  <c r="C257" i="66"/>
  <c r="C255" i="66"/>
  <c r="C253" i="66"/>
  <c r="C251" i="66"/>
  <c r="C249" i="66"/>
  <c r="C247" i="66"/>
  <c r="C245" i="66"/>
  <c r="C243" i="66"/>
  <c r="C241" i="66"/>
  <c r="C237" i="66"/>
  <c r="C233" i="66"/>
  <c r="C231" i="66"/>
  <c r="C229" i="66"/>
  <c r="C227" i="66"/>
  <c r="C225" i="66"/>
  <c r="C223" i="66"/>
  <c r="C221" i="66"/>
  <c r="C219" i="66"/>
  <c r="B182" i="66"/>
  <c r="C174" i="66"/>
  <c r="C169" i="66"/>
  <c r="C157" i="66"/>
  <c r="C152" i="66"/>
  <c r="C147" i="66"/>
  <c r="C144" i="66"/>
  <c r="B136" i="66"/>
  <c r="C126" i="66"/>
  <c r="C120" i="66"/>
  <c r="C114" i="66"/>
  <c r="C107" i="66"/>
  <c r="C101" i="66"/>
  <c r="C87" i="66"/>
  <c r="C81" i="66"/>
  <c r="B71" i="66"/>
  <c r="B36" i="66"/>
  <c r="U21" i="66"/>
  <c r="H18" i="66"/>
  <c r="H10" i="66"/>
  <c r="H9" i="66"/>
  <c r="H8" i="66"/>
  <c r="V7" i="66"/>
  <c r="O292" i="66"/>
  <c r="I292" i="66"/>
  <c r="I290" i="66"/>
  <c r="F31" i="66"/>
  <c r="T6" i="65"/>
  <c r="Y175" i="65"/>
  <c r="R175" i="65"/>
  <c r="C175" i="65"/>
  <c r="Y170" i="65"/>
  <c r="S170" i="65"/>
  <c r="H11" i="65"/>
  <c r="T81" i="65"/>
  <c r="D81" i="65"/>
  <c r="T80" i="65"/>
  <c r="X80" i="65" s="1"/>
  <c r="D80" i="65"/>
  <c r="T79" i="65"/>
  <c r="X79" i="65" s="1"/>
  <c r="D79" i="65"/>
  <c r="T78" i="65"/>
  <c r="D78" i="65"/>
  <c r="T77" i="65"/>
  <c r="D77" i="65"/>
  <c r="T76" i="65"/>
  <c r="X76" i="65" s="1"/>
  <c r="D76" i="65"/>
  <c r="T75" i="65"/>
  <c r="X75" i="65" s="1"/>
  <c r="D75" i="65"/>
  <c r="T74" i="65"/>
  <c r="X74" i="65" s="1"/>
  <c r="D74" i="65"/>
  <c r="T73" i="65"/>
  <c r="X73" i="65" s="1"/>
  <c r="D73" i="65"/>
  <c r="T72" i="65"/>
  <c r="X72" i="65" s="1"/>
  <c r="D72" i="65"/>
  <c r="D66" i="65"/>
  <c r="D64" i="65"/>
  <c r="D58" i="65"/>
  <c r="D56" i="65"/>
  <c r="D54" i="65"/>
  <c r="D52" i="65"/>
  <c r="T46" i="65"/>
  <c r="D46" i="65"/>
  <c r="T44" i="65"/>
  <c r="X44" i="65" s="1"/>
  <c r="D44" i="65"/>
  <c r="T42" i="65"/>
  <c r="X42" i="65" s="1"/>
  <c r="D42" i="65"/>
  <c r="D36" i="65"/>
  <c r="D34" i="65"/>
  <c r="D32" i="65"/>
  <c r="D30" i="65"/>
  <c r="D28" i="65"/>
  <c r="D22" i="65"/>
  <c r="D20" i="65"/>
  <c r="H10" i="65"/>
  <c r="Y9" i="65"/>
  <c r="H228" i="22"/>
  <c r="J228" i="22" s="1"/>
  <c r="AF154" i="65"/>
  <c r="Z152" i="65"/>
  <c r="X152" i="65"/>
  <c r="V152" i="65"/>
  <c r="Q152" i="65"/>
  <c r="N152" i="65"/>
  <c r="AF129" i="65"/>
  <c r="Y127" i="65"/>
  <c r="W127" i="65"/>
  <c r="U127" i="65"/>
  <c r="P127" i="65"/>
  <c r="M127" i="65"/>
  <c r="AF100" i="65"/>
  <c r="Y98" i="65"/>
  <c r="W98" i="65"/>
  <c r="U98" i="65"/>
  <c r="P98" i="65"/>
  <c r="X81" i="65"/>
  <c r="X78" i="65"/>
  <c r="X77" i="65"/>
  <c r="X46" i="65"/>
  <c r="H154" i="59"/>
  <c r="F154" i="59"/>
  <c r="B154" i="59"/>
  <c r="H149" i="59"/>
  <c r="F149" i="59"/>
  <c r="B149" i="59"/>
  <c r="F136" i="59"/>
  <c r="H136" i="59" s="1"/>
  <c r="U68" i="66" s="1"/>
  <c r="C136" i="59"/>
  <c r="D228" i="22" s="1"/>
  <c r="F135" i="59"/>
  <c r="H135" i="59" s="1"/>
  <c r="U67" i="66" s="1"/>
  <c r="C135" i="59"/>
  <c r="D227" i="22" s="1"/>
  <c r="H132" i="59"/>
  <c r="U64" i="66" s="1"/>
  <c r="F132" i="59"/>
  <c r="O64" i="66" s="1"/>
  <c r="C132" i="59"/>
  <c r="D224" i="22" s="1"/>
  <c r="H131" i="59"/>
  <c r="U63" i="66" s="1"/>
  <c r="F131" i="59"/>
  <c r="H223" i="22" s="1"/>
  <c r="C131" i="59"/>
  <c r="D223" i="22" s="1"/>
  <c r="F130" i="59"/>
  <c r="H130" i="59" s="1"/>
  <c r="U62" i="66" s="1"/>
  <c r="C130" i="59"/>
  <c r="D222" i="22" s="1"/>
  <c r="C127" i="59"/>
  <c r="D219" i="22" s="1"/>
  <c r="C126" i="59"/>
  <c r="C125" i="59"/>
  <c r="D217" i="22" s="1"/>
  <c r="C124" i="59"/>
  <c r="J56" i="66" s="1"/>
  <c r="C122" i="59"/>
  <c r="D214" i="22" s="1"/>
  <c r="C121" i="59"/>
  <c r="C120" i="59"/>
  <c r="J52" i="66" s="1"/>
  <c r="C119" i="59"/>
  <c r="D211" i="22" s="1"/>
  <c r="M65" i="59"/>
  <c r="E127" i="59" s="1"/>
  <c r="G219" i="22" s="1"/>
  <c r="M59" i="59"/>
  <c r="E126" i="59" s="1"/>
  <c r="M53" i="59"/>
  <c r="E125" i="59" s="1"/>
  <c r="M47" i="59"/>
  <c r="E124" i="59" s="1"/>
  <c r="L56" i="66" s="1"/>
  <c r="M39" i="59"/>
  <c r="E122" i="59" s="1"/>
  <c r="G214" i="22" s="1"/>
  <c r="M34" i="59"/>
  <c r="E121" i="59" s="1"/>
  <c r="M29" i="59"/>
  <c r="E120" i="59" s="1"/>
  <c r="L52" i="66" s="1"/>
  <c r="M23" i="59"/>
  <c r="E119" i="59" s="1"/>
  <c r="L51" i="66" s="1"/>
  <c r="D6" i="45"/>
  <c r="M33" i="25"/>
  <c r="V9" i="66" s="1"/>
  <c r="G37" i="22"/>
  <c r="G28" i="22"/>
  <c r="G24" i="22"/>
  <c r="J46" i="38"/>
  <c r="F11" i="36"/>
  <c r="F11" i="35"/>
  <c r="H4" i="44"/>
  <c r="F39" i="44" s="1"/>
  <c r="E78" i="44"/>
  <c r="S163" i="40"/>
  <c r="S152" i="40"/>
  <c r="S146" i="40"/>
  <c r="S137" i="40"/>
  <c r="S135" i="40"/>
  <c r="S130" i="40"/>
  <c r="S122" i="40"/>
  <c r="N120" i="40"/>
  <c r="L120" i="40"/>
  <c r="J120" i="40"/>
  <c r="N39" i="40"/>
  <c r="L39" i="40"/>
  <c r="J39" i="40"/>
  <c r="K36" i="40"/>
  <c r="B2" i="29" s="1"/>
  <c r="F31" i="40"/>
  <c r="N183" i="40" s="1"/>
  <c r="F30" i="40"/>
  <c r="F29" i="40"/>
  <c r="J183" i="40" s="1"/>
  <c r="N17" i="40"/>
  <c r="L17" i="40"/>
  <c r="J17" i="40"/>
  <c r="H8" i="40"/>
  <c r="H7" i="40"/>
  <c r="H6" i="40"/>
  <c r="H90" i="41"/>
  <c r="F90" i="41"/>
  <c r="D90" i="41"/>
  <c r="H2" i="41"/>
  <c r="F2" i="41"/>
  <c r="D2" i="41"/>
  <c r="I6" i="42"/>
  <c r="H6" i="42"/>
  <c r="G6" i="42"/>
  <c r="H30" i="43"/>
  <c r="G30" i="43"/>
  <c r="H40" i="43"/>
  <c r="G40" i="43"/>
  <c r="F40" i="43"/>
  <c r="G37" i="43"/>
  <c r="H5" i="43"/>
  <c r="G5" i="43"/>
  <c r="F5" i="43"/>
  <c r="G2" i="43"/>
  <c r="H3" i="44"/>
  <c r="H5" i="40"/>
  <c r="K117" i="40" s="1"/>
  <c r="H9" i="40"/>
  <c r="U128" i="25"/>
  <c r="L9" i="29"/>
  <c r="L8" i="29"/>
  <c r="L7" i="29"/>
  <c r="C79" i="29"/>
  <c r="D50" i="26" s="1"/>
  <c r="F156" i="22" s="1"/>
  <c r="C75" i="29"/>
  <c r="C74" i="29"/>
  <c r="C61" i="29"/>
  <c r="D33" i="26" s="1"/>
  <c r="C60" i="29"/>
  <c r="C59" i="29"/>
  <c r="D31" i="26" s="1"/>
  <c r="D79" i="29"/>
  <c r="E50" i="26" s="1"/>
  <c r="D75" i="29"/>
  <c r="E46" i="26" s="1"/>
  <c r="D74" i="29"/>
  <c r="D63" i="29"/>
  <c r="E35" i="26" s="1"/>
  <c r="G141" i="22" s="1"/>
  <c r="D60" i="29"/>
  <c r="E32" i="26" s="1"/>
  <c r="D61" i="29"/>
  <c r="D59" i="29"/>
  <c r="F59" i="29" s="1"/>
  <c r="C29" i="29"/>
  <c r="D29" i="29"/>
  <c r="E83" i="26" s="1"/>
  <c r="E30" i="29"/>
  <c r="F84" i="26" s="1"/>
  <c r="E29" i="29"/>
  <c r="C21" i="29"/>
  <c r="D75" i="26" s="1"/>
  <c r="C22" i="29"/>
  <c r="C30" i="29"/>
  <c r="C35" i="29"/>
  <c r="C34" i="29"/>
  <c r="D88" i="26" s="1"/>
  <c r="C50" i="29"/>
  <c r="C49" i="29"/>
  <c r="C48" i="29"/>
  <c r="D101" i="26" s="1"/>
  <c r="C47" i="29"/>
  <c r="C46" i="29"/>
  <c r="C43" i="29"/>
  <c r="D96" i="26" s="1"/>
  <c r="D50" i="29"/>
  <c r="E103" i="26" s="1"/>
  <c r="G120" i="22" s="1"/>
  <c r="D49" i="29"/>
  <c r="D48" i="29"/>
  <c r="D47" i="29"/>
  <c r="D46" i="29"/>
  <c r="D43" i="29"/>
  <c r="E96" i="26" s="1"/>
  <c r="D35" i="29"/>
  <c r="D34" i="29"/>
  <c r="D30" i="29"/>
  <c r="D22" i="29"/>
  <c r="E76" i="26" s="1"/>
  <c r="D21" i="29"/>
  <c r="C14" i="29"/>
  <c r="D68" i="26" s="1"/>
  <c r="C13" i="29"/>
  <c r="D67" i="26" s="1"/>
  <c r="C11" i="29"/>
  <c r="D65" i="26" s="1"/>
  <c r="C10" i="29"/>
  <c r="D63" i="26"/>
  <c r="C6" i="29"/>
  <c r="D60" i="26" s="1"/>
  <c r="D14" i="29"/>
  <c r="E68" i="26" s="1"/>
  <c r="D13" i="29"/>
  <c r="D11" i="29"/>
  <c r="D10" i="29"/>
  <c r="E64" i="26" s="1"/>
  <c r="D6" i="29"/>
  <c r="I22" i="42"/>
  <c r="H22" i="42"/>
  <c r="G22" i="42"/>
  <c r="I21" i="42"/>
  <c r="H21" i="42"/>
  <c r="G21" i="42"/>
  <c r="I20" i="42"/>
  <c r="H20" i="42"/>
  <c r="G20" i="42"/>
  <c r="I19" i="42"/>
  <c r="H19" i="42"/>
  <c r="G19" i="42"/>
  <c r="I18" i="42"/>
  <c r="H18" i="42"/>
  <c r="G18" i="42"/>
  <c r="I17" i="42"/>
  <c r="H17" i="42"/>
  <c r="G17" i="42"/>
  <c r="I15" i="42"/>
  <c r="H15" i="42"/>
  <c r="G15" i="42"/>
  <c r="I14" i="42"/>
  <c r="H14" i="42"/>
  <c r="G14" i="42"/>
  <c r="I13" i="42"/>
  <c r="G13" i="42"/>
  <c r="I12" i="42"/>
  <c r="H12" i="42"/>
  <c r="G12" i="42"/>
  <c r="H19" i="43"/>
  <c r="H26" i="43" s="1"/>
  <c r="H18" i="43"/>
  <c r="H17" i="43"/>
  <c r="H24" i="43" s="1"/>
  <c r="H16" i="43"/>
  <c r="G19" i="43"/>
  <c r="G18" i="43"/>
  <c r="G25" i="43" s="1"/>
  <c r="G17" i="43"/>
  <c r="G16" i="43"/>
  <c r="F19" i="43"/>
  <c r="F26" i="43" s="1"/>
  <c r="F18" i="43"/>
  <c r="F25" i="43" s="1"/>
  <c r="F17" i="43"/>
  <c r="F24" i="43" s="1"/>
  <c r="F16" i="43"/>
  <c r="H61" i="43"/>
  <c r="G61" i="43"/>
  <c r="F61" i="43"/>
  <c r="H42" i="43"/>
  <c r="G42" i="43"/>
  <c r="F42" i="43"/>
  <c r="D57" i="44"/>
  <c r="W56" i="44"/>
  <c r="T56" i="44"/>
  <c r="Q56" i="44"/>
  <c r="W55" i="44"/>
  <c r="T55" i="44"/>
  <c r="Q55" i="44"/>
  <c r="Q57" i="44" s="1"/>
  <c r="AC50" i="44"/>
  <c r="Z50" i="44"/>
  <c r="W50" i="44"/>
  <c r="Q50" i="44"/>
  <c r="P50" i="44"/>
  <c r="O50" i="44"/>
  <c r="AC49" i="44"/>
  <c r="Z49" i="44"/>
  <c r="W49" i="44"/>
  <c r="Q49" i="44"/>
  <c r="P49" i="44"/>
  <c r="O49" i="44"/>
  <c r="E49" i="44"/>
  <c r="E72" i="44" s="1"/>
  <c r="AC48" i="44"/>
  <c r="Z48" i="44"/>
  <c r="W48" i="44"/>
  <c r="Q48" i="44"/>
  <c r="P48" i="44"/>
  <c r="O48" i="44"/>
  <c r="E48" i="44"/>
  <c r="H48" i="44" s="1"/>
  <c r="K48" i="44" s="1"/>
  <c r="AC47" i="44"/>
  <c r="Z47" i="44"/>
  <c r="W47" i="44"/>
  <c r="Q47" i="44"/>
  <c r="P47" i="44"/>
  <c r="O47" i="44"/>
  <c r="E47" i="44"/>
  <c r="H47" i="44"/>
  <c r="K47" i="44" s="1"/>
  <c r="AC46" i="44"/>
  <c r="Z46" i="44"/>
  <c r="W46" i="44"/>
  <c r="Q46" i="44"/>
  <c r="P46" i="44"/>
  <c r="O46" i="44"/>
  <c r="E46" i="44"/>
  <c r="G46" i="44" s="1"/>
  <c r="J46" i="44" s="1"/>
  <c r="AC45" i="44"/>
  <c r="Z45" i="44"/>
  <c r="W45" i="44"/>
  <c r="Q45" i="44"/>
  <c r="P45" i="44"/>
  <c r="O45" i="44"/>
  <c r="E45" i="44"/>
  <c r="AC44" i="44"/>
  <c r="Z44" i="44"/>
  <c r="W44" i="44"/>
  <c r="Q44" i="44"/>
  <c r="P44" i="44"/>
  <c r="O44" i="44"/>
  <c r="E44" i="44"/>
  <c r="AC43" i="44"/>
  <c r="Z43" i="44"/>
  <c r="W43" i="44"/>
  <c r="Q43" i="44"/>
  <c r="P43" i="44"/>
  <c r="O43" i="44"/>
  <c r="E43" i="44"/>
  <c r="H43" i="44" s="1"/>
  <c r="K43" i="44" s="1"/>
  <c r="AC42" i="44"/>
  <c r="Z42" i="44"/>
  <c r="W42" i="44"/>
  <c r="Q42" i="44"/>
  <c r="P42" i="44"/>
  <c r="O42" i="44"/>
  <c r="E42" i="44"/>
  <c r="G42" i="44" s="1"/>
  <c r="J42" i="44" s="1"/>
  <c r="AC41" i="44"/>
  <c r="Z41" i="44"/>
  <c r="W41" i="44"/>
  <c r="Q41" i="44"/>
  <c r="P41" i="44"/>
  <c r="O41" i="44"/>
  <c r="E41" i="44"/>
  <c r="F41" i="44" s="1"/>
  <c r="I41" i="44" s="1"/>
  <c r="AC40" i="44"/>
  <c r="Z40" i="44"/>
  <c r="W40" i="44"/>
  <c r="Q40" i="44"/>
  <c r="P40" i="44"/>
  <c r="O40" i="44"/>
  <c r="E40" i="44"/>
  <c r="F40" i="44" s="1"/>
  <c r="I40" i="44" s="1"/>
  <c r="AI35" i="44"/>
  <c r="AC35" i="44"/>
  <c r="W35" i="44"/>
  <c r="Q35" i="44"/>
  <c r="P35" i="44"/>
  <c r="O35" i="44"/>
  <c r="K35" i="44"/>
  <c r="J35" i="44"/>
  <c r="I35" i="44"/>
  <c r="AI34" i="44"/>
  <c r="AC34" i="44"/>
  <c r="W34" i="44"/>
  <c r="Q34" i="44"/>
  <c r="P34" i="44"/>
  <c r="O34" i="44"/>
  <c r="K34" i="44"/>
  <c r="J34" i="44"/>
  <c r="I34" i="44"/>
  <c r="E33" i="44"/>
  <c r="AI32" i="44"/>
  <c r="AC32" i="44"/>
  <c r="W32" i="44"/>
  <c r="Q32" i="44"/>
  <c r="P32" i="44"/>
  <c r="O32" i="44"/>
  <c r="K32" i="44"/>
  <c r="J32" i="44"/>
  <c r="I32" i="44"/>
  <c r="AI31" i="44"/>
  <c r="AC31" i="44"/>
  <c r="W31" i="44"/>
  <c r="Q31" i="44"/>
  <c r="P31" i="44"/>
  <c r="O31" i="44"/>
  <c r="K31" i="44"/>
  <c r="J31" i="44"/>
  <c r="I31" i="44"/>
  <c r="AI30" i="44"/>
  <c r="AC30" i="44"/>
  <c r="W30" i="44"/>
  <c r="Q30" i="44"/>
  <c r="P30" i="44"/>
  <c r="O30" i="44"/>
  <c r="K30" i="44"/>
  <c r="J30" i="44"/>
  <c r="I30" i="44"/>
  <c r="E29" i="44"/>
  <c r="AI28" i="44"/>
  <c r="AC28" i="44"/>
  <c r="W28" i="44"/>
  <c r="Q28" i="44"/>
  <c r="P28" i="44"/>
  <c r="O28" i="44"/>
  <c r="K28" i="44"/>
  <c r="J28" i="44"/>
  <c r="I28" i="44"/>
  <c r="AI27" i="44"/>
  <c r="AC27" i="44"/>
  <c r="W27" i="44"/>
  <c r="Q27" i="44"/>
  <c r="P27" i="44"/>
  <c r="O27" i="44"/>
  <c r="K27" i="44"/>
  <c r="J27" i="44"/>
  <c r="I27" i="44"/>
  <c r="AI26" i="44"/>
  <c r="AC26" i="44"/>
  <c r="W26" i="44"/>
  <c r="Q26" i="44"/>
  <c r="P26" i="44"/>
  <c r="O26" i="44"/>
  <c r="K26" i="44"/>
  <c r="J26" i="44"/>
  <c r="I26" i="44"/>
  <c r="AI25" i="44"/>
  <c r="AC25" i="44"/>
  <c r="W25" i="44"/>
  <c r="Q25" i="44"/>
  <c r="P25" i="44"/>
  <c r="O25" i="44"/>
  <c r="K25" i="44"/>
  <c r="J25" i="44"/>
  <c r="I25" i="44"/>
  <c r="AI24" i="44"/>
  <c r="AC24" i="44"/>
  <c r="W24" i="44"/>
  <c r="Q24" i="44"/>
  <c r="P24" i="44"/>
  <c r="O24" i="44"/>
  <c r="K24" i="44"/>
  <c r="J24" i="44"/>
  <c r="I24" i="44"/>
  <c r="AI23" i="44"/>
  <c r="AC23" i="44"/>
  <c r="W23" i="44"/>
  <c r="Q23" i="44"/>
  <c r="P23" i="44"/>
  <c r="O23" i="44"/>
  <c r="K23" i="44"/>
  <c r="J23" i="44"/>
  <c r="I23" i="44"/>
  <c r="AI22" i="44"/>
  <c r="AC22" i="44"/>
  <c r="W22" i="44"/>
  <c r="Q22" i="44"/>
  <c r="P22" i="44"/>
  <c r="O22" i="44"/>
  <c r="K22" i="44"/>
  <c r="J22" i="44"/>
  <c r="I22" i="44"/>
  <c r="AI21" i="44"/>
  <c r="AC21" i="44"/>
  <c r="W21" i="44"/>
  <c r="Q21" i="44"/>
  <c r="P21" i="44"/>
  <c r="O21" i="44"/>
  <c r="K21" i="44"/>
  <c r="J21" i="44"/>
  <c r="I21" i="44"/>
  <c r="E20" i="44"/>
  <c r="AI19" i="44"/>
  <c r="AC19" i="44"/>
  <c r="W19" i="44"/>
  <c r="Q19" i="44"/>
  <c r="P19" i="44"/>
  <c r="O19" i="44"/>
  <c r="K19" i="44"/>
  <c r="J19" i="44"/>
  <c r="I19" i="44"/>
  <c r="AI18" i="44"/>
  <c r="AC18" i="44"/>
  <c r="W18" i="44"/>
  <c r="Q18" i="44"/>
  <c r="P18" i="44"/>
  <c r="O18" i="44"/>
  <c r="K18" i="44"/>
  <c r="J18" i="44"/>
  <c r="I18" i="44"/>
  <c r="AI17" i="44"/>
  <c r="AC17" i="44"/>
  <c r="W17" i="44"/>
  <c r="Q17" i="44"/>
  <c r="P17" i="44"/>
  <c r="O17" i="44"/>
  <c r="K17" i="44"/>
  <c r="J17" i="44"/>
  <c r="I17" i="44"/>
  <c r="AI16" i="44"/>
  <c r="AC16" i="44"/>
  <c r="W16" i="44"/>
  <c r="Q16" i="44"/>
  <c r="P16" i="44"/>
  <c r="O16" i="44"/>
  <c r="K16" i="44"/>
  <c r="J16" i="44"/>
  <c r="I16" i="44"/>
  <c r="AI15" i="44"/>
  <c r="AC15" i="44"/>
  <c r="W15" i="44"/>
  <c r="Q15" i="44"/>
  <c r="P15" i="44"/>
  <c r="O15" i="44"/>
  <c r="K15" i="44"/>
  <c r="J15" i="44"/>
  <c r="I15" i="44"/>
  <c r="AI14" i="44"/>
  <c r="AC14" i="44"/>
  <c r="W14" i="44"/>
  <c r="Q14" i="44"/>
  <c r="P14" i="44"/>
  <c r="O14" i="44"/>
  <c r="K14" i="44"/>
  <c r="J14" i="44"/>
  <c r="I14" i="44"/>
  <c r="E13" i="44"/>
  <c r="AI12" i="44"/>
  <c r="AC12" i="44"/>
  <c r="W12" i="44"/>
  <c r="Q12" i="44"/>
  <c r="P12" i="44"/>
  <c r="O12" i="44"/>
  <c r="K12" i="44"/>
  <c r="J12" i="44"/>
  <c r="I12" i="44"/>
  <c r="AI11" i="44"/>
  <c r="AC11" i="44"/>
  <c r="W11" i="44"/>
  <c r="Q11" i="44"/>
  <c r="P11" i="44"/>
  <c r="O11" i="44"/>
  <c r="K11" i="44"/>
  <c r="J11" i="44"/>
  <c r="I11" i="44"/>
  <c r="AI10" i="44"/>
  <c r="AC10" i="44"/>
  <c r="W10" i="44"/>
  <c r="G10" i="44"/>
  <c r="J10" i="44" s="1"/>
  <c r="F10" i="44"/>
  <c r="I10" i="44" s="1"/>
  <c r="E9" i="44"/>
  <c r="I63" i="43"/>
  <c r="I61" i="43"/>
  <c r="I57" i="43"/>
  <c r="I48" i="43"/>
  <c r="I43" i="43"/>
  <c r="H43" i="43"/>
  <c r="G43" i="43"/>
  <c r="F43" i="43"/>
  <c r="I42" i="43"/>
  <c r="I40" i="43"/>
  <c r="I30" i="43"/>
  <c r="I19" i="43"/>
  <c r="I26" i="43" s="1"/>
  <c r="I18" i="43"/>
  <c r="I25" i="43" s="1"/>
  <c r="H25" i="43"/>
  <c r="I17" i="43"/>
  <c r="I16" i="43"/>
  <c r="I10" i="43"/>
  <c r="I9" i="43" s="1"/>
  <c r="I5" i="43"/>
  <c r="J33" i="42"/>
  <c r="I33" i="42"/>
  <c r="H33" i="42"/>
  <c r="G33" i="42"/>
  <c r="F27" i="42"/>
  <c r="F39" i="42" s="1"/>
  <c r="F41" i="42" s="1"/>
  <c r="J25" i="42"/>
  <c r="J23" i="42"/>
  <c r="I23" i="42"/>
  <c r="H23" i="42"/>
  <c r="G23" i="42"/>
  <c r="J22" i="42"/>
  <c r="J21" i="42"/>
  <c r="J20" i="42"/>
  <c r="J19" i="42"/>
  <c r="J18" i="42"/>
  <c r="J17" i="42"/>
  <c r="J16" i="42"/>
  <c r="I16" i="42"/>
  <c r="H16" i="42"/>
  <c r="G16" i="42"/>
  <c r="J15" i="42"/>
  <c r="J14" i="42"/>
  <c r="J13" i="42"/>
  <c r="H13" i="42"/>
  <c r="J12" i="42"/>
  <c r="J8" i="42"/>
  <c r="J32" i="42" s="1"/>
  <c r="J6" i="42"/>
  <c r="F47" i="44"/>
  <c r="I47" i="44" s="1"/>
  <c r="G24" i="43"/>
  <c r="E50" i="44"/>
  <c r="F50" i="44" s="1"/>
  <c r="I50" i="44" s="1"/>
  <c r="E79" i="29"/>
  <c r="F50" i="26" s="1"/>
  <c r="E59" i="29"/>
  <c r="G59" i="29" s="1"/>
  <c r="E75" i="29"/>
  <c r="E74" i="29"/>
  <c r="F45" i="26" s="1"/>
  <c r="E63" i="29"/>
  <c r="E61" i="29"/>
  <c r="F33" i="26" s="1"/>
  <c r="E60" i="29"/>
  <c r="F32" i="26" s="1"/>
  <c r="E34" i="29"/>
  <c r="F88" i="26" s="1"/>
  <c r="E49" i="29"/>
  <c r="E48" i="29"/>
  <c r="F101" i="26" s="1"/>
  <c r="E47" i="29"/>
  <c r="E46" i="29"/>
  <c r="E43" i="29"/>
  <c r="G43" i="29" s="1"/>
  <c r="E22" i="29"/>
  <c r="F76" i="26" s="1"/>
  <c r="E21" i="29"/>
  <c r="G21" i="29" s="1"/>
  <c r="E14" i="29"/>
  <c r="E13" i="29"/>
  <c r="G13" i="29" s="1"/>
  <c r="E10" i="29"/>
  <c r="F64" i="26" s="1"/>
  <c r="E7" i="29"/>
  <c r="E6" i="29"/>
  <c r="J150" i="41"/>
  <c r="H150" i="41"/>
  <c r="H146" i="41" s="1"/>
  <c r="F150" i="41"/>
  <c r="F146" i="41" s="1"/>
  <c r="D150" i="41"/>
  <c r="D149" i="41" s="1"/>
  <c r="J148" i="41"/>
  <c r="J147" i="41"/>
  <c r="J146" i="41"/>
  <c r="J144" i="41"/>
  <c r="J137" i="41"/>
  <c r="H137" i="41"/>
  <c r="F137" i="41"/>
  <c r="J134" i="41"/>
  <c r="J133" i="41"/>
  <c r="I133" i="41"/>
  <c r="J132" i="41"/>
  <c r="I132" i="41" s="1"/>
  <c r="J131" i="41"/>
  <c r="J130" i="41"/>
  <c r="I130" i="41"/>
  <c r="J129" i="41"/>
  <c r="I129" i="41" s="1"/>
  <c r="J128" i="41"/>
  <c r="I128" i="41" s="1"/>
  <c r="J126" i="41"/>
  <c r="J62" i="41" s="1"/>
  <c r="I62" i="41" s="1"/>
  <c r="J125" i="41"/>
  <c r="I125" i="41" s="1"/>
  <c r="J124" i="41"/>
  <c r="I124" i="41" s="1"/>
  <c r="J123" i="41"/>
  <c r="I123" i="41" s="1"/>
  <c r="J122" i="41"/>
  <c r="I122" i="41" s="1"/>
  <c r="J121" i="41"/>
  <c r="I121" i="41" s="1"/>
  <c r="J120" i="41"/>
  <c r="J118" i="41"/>
  <c r="I118" i="41" s="1"/>
  <c r="G118" i="41"/>
  <c r="E118" i="41"/>
  <c r="J117" i="41"/>
  <c r="I117" i="41" s="1"/>
  <c r="H63" i="41"/>
  <c r="D63" i="41"/>
  <c r="J116" i="41"/>
  <c r="I116" i="41" s="1"/>
  <c r="J115" i="41"/>
  <c r="I115" i="41" s="1"/>
  <c r="G115" i="41"/>
  <c r="E115" i="41"/>
  <c r="J114" i="41"/>
  <c r="I114" i="41" s="1"/>
  <c r="J113" i="41"/>
  <c r="I113" i="41" s="1"/>
  <c r="G113" i="41"/>
  <c r="E113" i="41"/>
  <c r="J112" i="41"/>
  <c r="I112" i="41" s="1"/>
  <c r="G112" i="41"/>
  <c r="J111" i="41"/>
  <c r="I111" i="41" s="1"/>
  <c r="G111" i="41"/>
  <c r="E111" i="41"/>
  <c r="J110" i="41"/>
  <c r="I110" i="41" s="1"/>
  <c r="G110" i="41"/>
  <c r="E110" i="41"/>
  <c r="J109" i="41"/>
  <c r="I109" i="41" s="1"/>
  <c r="E109" i="41"/>
  <c r="K108" i="41"/>
  <c r="J108" i="41"/>
  <c r="I108" i="41" s="1"/>
  <c r="G108" i="41"/>
  <c r="E108" i="41"/>
  <c r="J107" i="41"/>
  <c r="G107" i="41"/>
  <c r="E107" i="41"/>
  <c r="J106" i="41"/>
  <c r="J67" i="41" s="1"/>
  <c r="J68" i="41" s="1"/>
  <c r="I68" i="41" s="1"/>
  <c r="J105" i="41"/>
  <c r="I105" i="41" s="1"/>
  <c r="J104" i="41"/>
  <c r="I104" i="41" s="1"/>
  <c r="D67" i="41"/>
  <c r="J103" i="41"/>
  <c r="J102" i="41"/>
  <c r="I102" i="41" s="1"/>
  <c r="J101" i="41"/>
  <c r="J50" i="41" s="1"/>
  <c r="I50" i="41" s="1"/>
  <c r="H50" i="41"/>
  <c r="J100" i="41"/>
  <c r="I100" i="41" s="1"/>
  <c r="E100" i="41"/>
  <c r="J99" i="41"/>
  <c r="I99" i="41" s="1"/>
  <c r="J98" i="41"/>
  <c r="J97" i="41"/>
  <c r="J18" i="41" s="1"/>
  <c r="J16" i="41" s="1"/>
  <c r="I16" i="41" s="1"/>
  <c r="J96" i="41"/>
  <c r="I96" i="41" s="1"/>
  <c r="J95" i="41"/>
  <c r="I95" i="41" s="1"/>
  <c r="E95" i="41"/>
  <c r="J94" i="41"/>
  <c r="I94" i="41" s="1"/>
  <c r="E94" i="41"/>
  <c r="J93" i="41"/>
  <c r="I93" i="41" s="1"/>
  <c r="E93" i="41"/>
  <c r="J92" i="41"/>
  <c r="I92" i="41" s="1"/>
  <c r="J91" i="41"/>
  <c r="J90" i="41"/>
  <c r="J86" i="41"/>
  <c r="I86" i="41" s="1"/>
  <c r="H86" i="41"/>
  <c r="G86" i="41" s="1"/>
  <c r="F86" i="41"/>
  <c r="E86" i="41" s="1"/>
  <c r="D86" i="41"/>
  <c r="J85" i="41"/>
  <c r="J84" i="41" s="1"/>
  <c r="I84" i="41" s="1"/>
  <c r="H85" i="41"/>
  <c r="G85" i="41" s="1"/>
  <c r="F85" i="41"/>
  <c r="D85" i="41"/>
  <c r="J82" i="41"/>
  <c r="I82" i="41" s="1"/>
  <c r="H82" i="41"/>
  <c r="F82" i="41"/>
  <c r="E82" i="41" s="1"/>
  <c r="D82" i="41"/>
  <c r="J81" i="41"/>
  <c r="H81" i="41"/>
  <c r="G81" i="41" s="1"/>
  <c r="F81" i="41"/>
  <c r="E81" i="41" s="1"/>
  <c r="D81" i="41"/>
  <c r="D80" i="41" s="1"/>
  <c r="J78" i="41"/>
  <c r="I78" i="41" s="1"/>
  <c r="J77" i="41"/>
  <c r="I77" i="41" s="1"/>
  <c r="J73" i="41"/>
  <c r="I73" i="41" s="1"/>
  <c r="H73" i="41"/>
  <c r="F73" i="41"/>
  <c r="D73" i="41"/>
  <c r="J72" i="41"/>
  <c r="I72" i="41" s="1"/>
  <c r="H72" i="41"/>
  <c r="F72" i="41"/>
  <c r="E72" i="41" s="1"/>
  <c r="D72" i="41"/>
  <c r="J70" i="41"/>
  <c r="I70" i="41" s="1"/>
  <c r="H70" i="41"/>
  <c r="F70" i="41"/>
  <c r="D70" i="41"/>
  <c r="J69" i="41"/>
  <c r="I69" i="41" s="1"/>
  <c r="H69" i="41"/>
  <c r="G69" i="41" s="1"/>
  <c r="F69" i="41"/>
  <c r="E69" i="41" s="1"/>
  <c r="D69" i="41"/>
  <c r="J66" i="41"/>
  <c r="I66" i="41" s="1"/>
  <c r="H66" i="41"/>
  <c r="G66" i="41" s="1"/>
  <c r="F66" i="41"/>
  <c r="E66" i="41" s="1"/>
  <c r="D66" i="41"/>
  <c r="J59" i="41"/>
  <c r="I59" i="41" s="1"/>
  <c r="J51" i="41"/>
  <c r="J42" i="41"/>
  <c r="I42" i="41" s="1"/>
  <c r="J35" i="41"/>
  <c r="I35" i="41" s="1"/>
  <c r="J34" i="41"/>
  <c r="I34" i="41" s="1"/>
  <c r="J26" i="41"/>
  <c r="I26" i="41" s="1"/>
  <c r="H26" i="41"/>
  <c r="F26" i="41"/>
  <c r="D26" i="41"/>
  <c r="J22" i="41"/>
  <c r="J20" i="41" s="1"/>
  <c r="I20" i="41" s="1"/>
  <c r="H22" i="41"/>
  <c r="F22" i="41"/>
  <c r="D22" i="41"/>
  <c r="J2" i="41"/>
  <c r="O232" i="40"/>
  <c r="O230" i="40"/>
  <c r="O231" i="40" s="1"/>
  <c r="Q199" i="40"/>
  <c r="P194" i="40" s="1"/>
  <c r="O199" i="40"/>
  <c r="K199" i="40"/>
  <c r="Q198" i="40"/>
  <c r="O198" i="40"/>
  <c r="N197" i="40" s="1"/>
  <c r="K198" i="40"/>
  <c r="P183" i="40"/>
  <c r="Q165" i="40"/>
  <c r="P163" i="40" s="1"/>
  <c r="I164" i="40"/>
  <c r="E41" i="26"/>
  <c r="H46" i="41"/>
  <c r="H77" i="41" s="1"/>
  <c r="C67" i="29"/>
  <c r="D38" i="26" s="1"/>
  <c r="F144" i="22" s="1"/>
  <c r="D46" i="41"/>
  <c r="D77" i="41" s="1"/>
  <c r="E67" i="29"/>
  <c r="P147" i="40"/>
  <c r="Q142" i="40"/>
  <c r="D122" i="41"/>
  <c r="Q136" i="40"/>
  <c r="C63" i="29"/>
  <c r="D35" i="26" s="1"/>
  <c r="F141" i="22" s="1"/>
  <c r="Q124" i="40"/>
  <c r="Q132" i="40"/>
  <c r="O124" i="40"/>
  <c r="M124" i="40"/>
  <c r="M132" i="40" s="1"/>
  <c r="M150" i="40" s="1"/>
  <c r="P120" i="40"/>
  <c r="U93" i="40"/>
  <c r="U94" i="40" s="1"/>
  <c r="W75" i="40"/>
  <c r="X75" i="40" s="1"/>
  <c r="Q74" i="40"/>
  <c r="Q69" i="40"/>
  <c r="H129" i="41"/>
  <c r="F129" i="41"/>
  <c r="D129" i="41"/>
  <c r="U67" i="40"/>
  <c r="U66" i="40"/>
  <c r="U65" i="40"/>
  <c r="U64" i="40"/>
  <c r="H63" i="43"/>
  <c r="G63" i="43"/>
  <c r="U57" i="40"/>
  <c r="U56" i="40"/>
  <c r="U55" i="40"/>
  <c r="U54" i="40"/>
  <c r="W50" i="40"/>
  <c r="X50" i="40" s="1"/>
  <c r="Q49" i="40"/>
  <c r="F57" i="43"/>
  <c r="H96" i="41"/>
  <c r="U45" i="40"/>
  <c r="U44" i="40"/>
  <c r="U43" i="40"/>
  <c r="Q43" i="40"/>
  <c r="U42" i="40"/>
  <c r="P39" i="40"/>
  <c r="X28" i="40"/>
  <c r="I19" i="40"/>
  <c r="G117" i="41"/>
  <c r="F63" i="41"/>
  <c r="Y128" i="25"/>
  <c r="X128" i="25"/>
  <c r="W128" i="25"/>
  <c r="V128" i="25"/>
  <c r="I207" i="22"/>
  <c r="F78" i="29"/>
  <c r="F62" i="29"/>
  <c r="G78" i="29"/>
  <c r="G62" i="29"/>
  <c r="G44" i="29"/>
  <c r="G37" i="29"/>
  <c r="G18" i="29"/>
  <c r="G14" i="29"/>
  <c r="G12" i="29"/>
  <c r="F81" i="29"/>
  <c r="F44" i="29"/>
  <c r="F37" i="29"/>
  <c r="F30" i="29"/>
  <c r="F18" i="29"/>
  <c r="F14" i="29"/>
  <c r="F12" i="29"/>
  <c r="F6" i="29"/>
  <c r="I106" i="25" s="1"/>
  <c r="H189" i="22" s="1"/>
  <c r="K42" i="29"/>
  <c r="O50" i="29"/>
  <c r="M50" i="29"/>
  <c r="K50" i="29"/>
  <c r="L6" i="29"/>
  <c r="P89" i="36"/>
  <c r="Q51" i="38" s="1"/>
  <c r="N89" i="36"/>
  <c r="O51" i="38" s="1"/>
  <c r="N83" i="36"/>
  <c r="O46" i="38" s="1"/>
  <c r="H83" i="36"/>
  <c r="F46" i="38" s="1"/>
  <c r="H89" i="36"/>
  <c r="F51" i="38" s="1"/>
  <c r="F8" i="35"/>
  <c r="F10" i="36"/>
  <c r="F9" i="36"/>
  <c r="F8" i="36"/>
  <c r="P7" i="36"/>
  <c r="N7" i="36"/>
  <c r="L7" i="36"/>
  <c r="J7" i="36"/>
  <c r="F7" i="36"/>
  <c r="F6" i="36"/>
  <c r="F10" i="35"/>
  <c r="F9" i="35"/>
  <c r="P7" i="35"/>
  <c r="N7" i="35"/>
  <c r="L7" i="35"/>
  <c r="J7" i="35"/>
  <c r="F7" i="35"/>
  <c r="F6" i="35"/>
  <c r="P55" i="35"/>
  <c r="N55" i="35"/>
  <c r="H49" i="35"/>
  <c r="H55" i="35"/>
  <c r="F599" i="22"/>
  <c r="F593" i="22"/>
  <c r="S593" i="22"/>
  <c r="O593" i="22"/>
  <c r="S599" i="22"/>
  <c r="O599" i="22"/>
  <c r="G7" i="22"/>
  <c r="G5" i="22"/>
  <c r="I5" i="25"/>
  <c r="Q14" i="66" s="1"/>
  <c r="H74" i="22"/>
  <c r="H134" i="22" s="1"/>
  <c r="G74" i="22"/>
  <c r="G134" i="22" s="1"/>
  <c r="F74" i="22"/>
  <c r="F134" i="22" s="1"/>
  <c r="F18" i="22"/>
  <c r="F19" i="22"/>
  <c r="C24" i="22"/>
  <c r="K24" i="22"/>
  <c r="N24" i="22"/>
  <c r="C25" i="22"/>
  <c r="G25" i="22"/>
  <c r="K25" i="22"/>
  <c r="N25" i="22"/>
  <c r="AB25" i="22"/>
  <c r="C26" i="22"/>
  <c r="G26" i="22"/>
  <c r="K26" i="22"/>
  <c r="N26" i="22"/>
  <c r="AB26" i="22"/>
  <c r="C27" i="22"/>
  <c r="G27" i="22"/>
  <c r="K27" i="22"/>
  <c r="N27" i="22"/>
  <c r="AB27" i="22"/>
  <c r="C28" i="22"/>
  <c r="K28" i="22"/>
  <c r="N28" i="22"/>
  <c r="AB28" i="22"/>
  <c r="C29" i="22"/>
  <c r="G29" i="22"/>
  <c r="K29" i="22"/>
  <c r="N29" i="22"/>
  <c r="AB29" i="22"/>
  <c r="C30" i="22"/>
  <c r="G30" i="22"/>
  <c r="K30" i="22"/>
  <c r="N30" i="22"/>
  <c r="AB30" i="22"/>
  <c r="C31" i="22"/>
  <c r="G31" i="22"/>
  <c r="K31" i="22"/>
  <c r="N31" i="22"/>
  <c r="AB31" i="22"/>
  <c r="C32" i="22"/>
  <c r="G32" i="22"/>
  <c r="K32" i="22"/>
  <c r="N32" i="22"/>
  <c r="AB32" i="22"/>
  <c r="C33" i="22"/>
  <c r="G33" i="22"/>
  <c r="K33" i="22"/>
  <c r="N33" i="22"/>
  <c r="AB33" i="22"/>
  <c r="C34" i="22"/>
  <c r="G34" i="22"/>
  <c r="AB34" i="22"/>
  <c r="C35" i="22"/>
  <c r="G35" i="22"/>
  <c r="AB35" i="22"/>
  <c r="C36" i="22"/>
  <c r="G36" i="22"/>
  <c r="AB36" i="22"/>
  <c r="C37" i="22"/>
  <c r="AB37" i="22"/>
  <c r="I48" i="22"/>
  <c r="O48" i="22"/>
  <c r="AB48" i="22"/>
  <c r="W52" i="22" s="1"/>
  <c r="I49" i="22"/>
  <c r="O49" i="22"/>
  <c r="B50" i="22"/>
  <c r="F50" i="22"/>
  <c r="I50" i="22"/>
  <c r="O50" i="22"/>
  <c r="B61" i="22"/>
  <c r="J61" i="22"/>
  <c r="L61" i="22"/>
  <c r="O61" i="22"/>
  <c r="B62" i="22"/>
  <c r="J62" i="22"/>
  <c r="L62" i="22"/>
  <c r="O62" i="22"/>
  <c r="B63" i="22"/>
  <c r="J63" i="22"/>
  <c r="L63" i="22"/>
  <c r="O63" i="22"/>
  <c r="T65" i="22"/>
  <c r="U65" i="22"/>
  <c r="V65" i="22"/>
  <c r="W65" i="22"/>
  <c r="X65" i="22"/>
  <c r="AF67" i="22"/>
  <c r="B76" i="22"/>
  <c r="B77" i="22"/>
  <c r="B78" i="22"/>
  <c r="B79" i="22"/>
  <c r="B80" i="22"/>
  <c r="B81" i="22"/>
  <c r="B82" i="22"/>
  <c r="B83" i="22"/>
  <c r="B84" i="22"/>
  <c r="B85" i="22"/>
  <c r="B86" i="22"/>
  <c r="B88" i="22"/>
  <c r="B89" i="22"/>
  <c r="B90" i="22"/>
  <c r="B91" i="22"/>
  <c r="B92" i="22"/>
  <c r="B93" i="22"/>
  <c r="B94" i="22"/>
  <c r="B96" i="22"/>
  <c r="B97" i="22"/>
  <c r="B99" i="22"/>
  <c r="B104" i="22"/>
  <c r="B110" i="22"/>
  <c r="B112" i="22"/>
  <c r="B121" i="22"/>
  <c r="B123" i="22"/>
  <c r="M124" i="22"/>
  <c r="N124" i="22"/>
  <c r="O124" i="22"/>
  <c r="P124" i="22"/>
  <c r="Q124" i="22"/>
  <c r="AF126" i="22"/>
  <c r="I148" i="22"/>
  <c r="I150" i="22"/>
  <c r="I153" i="22"/>
  <c r="F155" i="22"/>
  <c r="G155" i="22"/>
  <c r="H155" i="22"/>
  <c r="M159" i="22"/>
  <c r="N159" i="22"/>
  <c r="O159" i="22"/>
  <c r="P159" i="22"/>
  <c r="Q159" i="22"/>
  <c r="AF161" i="22"/>
  <c r="M180" i="22"/>
  <c r="N180" i="22"/>
  <c r="O180" i="22"/>
  <c r="P180" i="22"/>
  <c r="Q180" i="22"/>
  <c r="AF182" i="22"/>
  <c r="D188" i="22"/>
  <c r="M188" i="22"/>
  <c r="D190" i="22"/>
  <c r="M190" i="22"/>
  <c r="D192" i="22"/>
  <c r="M192" i="22"/>
  <c r="D194" i="22"/>
  <c r="M194" i="22"/>
  <c r="T196" i="22"/>
  <c r="U196" i="22"/>
  <c r="V196" i="22"/>
  <c r="W196" i="22"/>
  <c r="X196" i="22"/>
  <c r="AF198" i="22"/>
  <c r="L231" i="22"/>
  <c r="M231" i="22"/>
  <c r="N231" i="22"/>
  <c r="O231" i="22"/>
  <c r="P231" i="22"/>
  <c r="AF233" i="22"/>
  <c r="T282" i="22"/>
  <c r="U282" i="22"/>
  <c r="V282" i="22"/>
  <c r="W282" i="22"/>
  <c r="X282" i="22"/>
  <c r="AF284" i="22"/>
  <c r="T316" i="22"/>
  <c r="U316" i="22"/>
  <c r="V316" i="22"/>
  <c r="W316" i="22"/>
  <c r="X316" i="22"/>
  <c r="T317" i="22" s="1"/>
  <c r="AF318" i="22"/>
  <c r="T334" i="22"/>
  <c r="T335" i="22" s="1"/>
  <c r="T336" i="22" s="1"/>
  <c r="U334" i="22"/>
  <c r="V334" i="22"/>
  <c r="W334" i="22"/>
  <c r="X334" i="22"/>
  <c r="AF336" i="22"/>
  <c r="T364" i="22"/>
  <c r="U364" i="22"/>
  <c r="V364" i="22"/>
  <c r="W364" i="22"/>
  <c r="X364" i="22"/>
  <c r="AF366" i="22"/>
  <c r="T380" i="22"/>
  <c r="U380" i="22"/>
  <c r="V380" i="22"/>
  <c r="W380" i="22"/>
  <c r="X380" i="22"/>
  <c r="AE382" i="22"/>
  <c r="T428" i="22"/>
  <c r="U428" i="22"/>
  <c r="V428" i="22"/>
  <c r="W428" i="22"/>
  <c r="X428" i="22"/>
  <c r="AF430" i="22"/>
  <c r="T454" i="22"/>
  <c r="U454" i="22"/>
  <c r="V454" i="22"/>
  <c r="W454" i="22"/>
  <c r="X454" i="22"/>
  <c r="AF456" i="22"/>
  <c r="T479" i="22"/>
  <c r="U479" i="22"/>
  <c r="V479" i="22"/>
  <c r="W479" i="22"/>
  <c r="X479" i="22"/>
  <c r="AF481" i="22"/>
  <c r="T488" i="22"/>
  <c r="U488" i="22"/>
  <c r="V488" i="22"/>
  <c r="W488" i="22"/>
  <c r="X488" i="22"/>
  <c r="AF490" i="22"/>
  <c r="T496" i="22"/>
  <c r="U496" i="22"/>
  <c r="V496" i="22"/>
  <c r="W496" i="22"/>
  <c r="X496" i="22"/>
  <c r="AF498" i="22"/>
  <c r="T504" i="22"/>
  <c r="U504" i="22"/>
  <c r="V504" i="22"/>
  <c r="W504" i="22"/>
  <c r="X504" i="22"/>
  <c r="AF506" i="22"/>
  <c r="T529" i="22"/>
  <c r="U529" i="22"/>
  <c r="V529" i="22"/>
  <c r="W529" i="22"/>
  <c r="X529" i="22"/>
  <c r="AF531" i="22"/>
  <c r="T571" i="22"/>
  <c r="U571" i="22"/>
  <c r="V571" i="22"/>
  <c r="W571" i="22"/>
  <c r="X571" i="22"/>
  <c r="AF573" i="22"/>
  <c r="D4" i="26"/>
  <c r="E4" i="26"/>
  <c r="F4" i="26"/>
  <c r="G4" i="26"/>
  <c r="D8" i="26"/>
  <c r="D27" i="26" s="1"/>
  <c r="E8" i="26"/>
  <c r="E27" i="26" s="1"/>
  <c r="F8" i="26"/>
  <c r="F27" i="26" s="1"/>
  <c r="H21" i="26"/>
  <c r="I21" i="26"/>
  <c r="J21" i="26"/>
  <c r="K21" i="26"/>
  <c r="L21" i="26"/>
  <c r="AA23" i="26"/>
  <c r="D32" i="26"/>
  <c r="F138" i="22" s="1"/>
  <c r="E33" i="26"/>
  <c r="G139" i="22" s="1"/>
  <c r="D34" i="26"/>
  <c r="E34" i="26"/>
  <c r="G140" i="22" s="1"/>
  <c r="F34" i="26"/>
  <c r="H140" i="22" s="1"/>
  <c r="D45" i="26"/>
  <c r="D46" i="26"/>
  <c r="F46" i="26"/>
  <c r="H46" i="26" s="1"/>
  <c r="I152" i="22" s="1"/>
  <c r="G49" i="26"/>
  <c r="H49" i="26"/>
  <c r="I155" i="22" s="1"/>
  <c r="D56" i="26"/>
  <c r="E56" i="26"/>
  <c r="F56" i="26" s="1"/>
  <c r="E60" i="26"/>
  <c r="F61" i="26"/>
  <c r="H78" i="22" s="1"/>
  <c r="E63" i="26"/>
  <c r="G80" i="22" s="1"/>
  <c r="E65" i="26"/>
  <c r="G82" i="22" s="1"/>
  <c r="D66" i="26"/>
  <c r="F83" i="22" s="1"/>
  <c r="E66" i="26"/>
  <c r="F66" i="26"/>
  <c r="F68" i="26"/>
  <c r="H85" i="22" s="1"/>
  <c r="F71" i="26"/>
  <c r="D72" i="26"/>
  <c r="F89" i="22" s="1"/>
  <c r="E72" i="26"/>
  <c r="G89" i="22" s="1"/>
  <c r="F72" i="26"/>
  <c r="H89" i="22" s="1"/>
  <c r="F75" i="26"/>
  <c r="H92" i="22" s="1"/>
  <c r="D84" i="26"/>
  <c r="D91" i="26"/>
  <c r="F108" i="22" s="1"/>
  <c r="E91" i="26"/>
  <c r="F91" i="26"/>
  <c r="H108" i="22" s="1"/>
  <c r="D97" i="26"/>
  <c r="F114" i="22" s="1"/>
  <c r="E97" i="26"/>
  <c r="G114" i="22"/>
  <c r="F97" i="26"/>
  <c r="H97" i="26" s="1"/>
  <c r="I114" i="22" s="1"/>
  <c r="D99" i="26"/>
  <c r="E99" i="26"/>
  <c r="F99" i="26"/>
  <c r="H116" i="22" s="1"/>
  <c r="E102" i="26"/>
  <c r="D135" i="26"/>
  <c r="E135" i="26"/>
  <c r="G135" i="26"/>
  <c r="H135" i="26"/>
  <c r="K181" i="26"/>
  <c r="O196" i="26"/>
  <c r="O197" i="26"/>
  <c r="O211" i="26" s="1"/>
  <c r="P210" i="26"/>
  <c r="Q210" i="26"/>
  <c r="R210" i="26"/>
  <c r="S210" i="26"/>
  <c r="T210" i="26"/>
  <c r="U210" i="26"/>
  <c r="V210" i="26"/>
  <c r="W210" i="26"/>
  <c r="X210" i="26" s="1"/>
  <c r="Y210" i="26" s="1"/>
  <c r="O217" i="26"/>
  <c r="O223" i="26"/>
  <c r="P223" i="26"/>
  <c r="Q223" i="26"/>
  <c r="R223" i="26"/>
  <c r="S223" i="26"/>
  <c r="T223" i="26"/>
  <c r="U223" i="26"/>
  <c r="V223" i="26"/>
  <c r="W223" i="26"/>
  <c r="X223" i="26"/>
  <c r="Y223" i="26"/>
  <c r="P225" i="26"/>
  <c r="Q225" i="26"/>
  <c r="R225" i="26"/>
  <c r="S225" i="26"/>
  <c r="T225" i="26"/>
  <c r="U225" i="26"/>
  <c r="V225" i="26"/>
  <c r="W225" i="26"/>
  <c r="X225" i="26"/>
  <c r="Y225" i="26"/>
  <c r="O226" i="26"/>
  <c r="O228" i="26" s="1"/>
  <c r="P226" i="26"/>
  <c r="O227" i="26"/>
  <c r="P227" i="26"/>
  <c r="Q227" i="26"/>
  <c r="R227" i="26"/>
  <c r="S227" i="26"/>
  <c r="T227" i="26"/>
  <c r="U227" i="26"/>
  <c r="V227" i="26"/>
  <c r="W227" i="26"/>
  <c r="X227" i="26"/>
  <c r="Y227" i="26"/>
  <c r="P229" i="26"/>
  <c r="Q229" i="26"/>
  <c r="R229" i="26"/>
  <c r="S229" i="26"/>
  <c r="T229" i="26"/>
  <c r="U229" i="26"/>
  <c r="V229" i="26"/>
  <c r="W229" i="26"/>
  <c r="X229" i="26"/>
  <c r="X232" i="26" s="1"/>
  <c r="X237" i="26" s="1"/>
  <c r="Y229" i="26"/>
  <c r="O230" i="26"/>
  <c r="P230" i="26"/>
  <c r="Q230" i="26"/>
  <c r="R230" i="26"/>
  <c r="R232" i="26" s="1"/>
  <c r="R237" i="26" s="1"/>
  <c r="S230" i="26"/>
  <c r="T230" i="26"/>
  <c r="U230" i="26"/>
  <c r="V230" i="26"/>
  <c r="W230" i="26"/>
  <c r="X230" i="26"/>
  <c r="Y230" i="26"/>
  <c r="O231" i="26"/>
  <c r="O232" i="26" s="1"/>
  <c r="O237" i="26" s="1"/>
  <c r="P231" i="26"/>
  <c r="Q231" i="26"/>
  <c r="R231" i="26"/>
  <c r="S231" i="26"/>
  <c r="S232" i="26" s="1"/>
  <c r="S237" i="26" s="1"/>
  <c r="T231" i="26"/>
  <c r="U231" i="26"/>
  <c r="V231" i="26"/>
  <c r="W231" i="26"/>
  <c r="X231" i="26"/>
  <c r="Y231" i="26"/>
  <c r="O240" i="26"/>
  <c r="P240" i="26"/>
  <c r="Q240" i="26"/>
  <c r="R240" i="26"/>
  <c r="S240" i="26"/>
  <c r="T240" i="26"/>
  <c r="U240" i="26"/>
  <c r="V240" i="26"/>
  <c r="W240" i="26"/>
  <c r="X240" i="26"/>
  <c r="Y240" i="26"/>
  <c r="O241" i="26"/>
  <c r="P241" i="26"/>
  <c r="Q241" i="26"/>
  <c r="R241" i="26"/>
  <c r="S241" i="26"/>
  <c r="S242" i="26" s="1"/>
  <c r="T241" i="26"/>
  <c r="U241" i="26"/>
  <c r="U242" i="26" s="1"/>
  <c r="V241" i="26"/>
  <c r="W241" i="26"/>
  <c r="W242" i="26" s="1"/>
  <c r="X241" i="26"/>
  <c r="Y241" i="26"/>
  <c r="O243" i="26"/>
  <c r="P243" i="26"/>
  <c r="Q243" i="26"/>
  <c r="R243" i="26"/>
  <c r="S243" i="26"/>
  <c r="T243" i="26"/>
  <c r="U243" i="26"/>
  <c r="V243" i="26"/>
  <c r="W243" i="26"/>
  <c r="X243" i="26"/>
  <c r="Y243" i="26"/>
  <c r="P244" i="26"/>
  <c r="Q244" i="26"/>
  <c r="R244" i="26"/>
  <c r="S244" i="26"/>
  <c r="T244" i="26"/>
  <c r="U244" i="26"/>
  <c r="V244" i="26"/>
  <c r="W244" i="26"/>
  <c r="X244" i="26"/>
  <c r="Y244" i="26"/>
  <c r="K8" i="25"/>
  <c r="H6" i="65" s="1"/>
  <c r="K9" i="25"/>
  <c r="H13" i="66" s="1"/>
  <c r="N9" i="25"/>
  <c r="T9" i="25"/>
  <c r="K10" i="25"/>
  <c r="Y6" i="65" s="1"/>
  <c r="T29" i="25"/>
  <c r="U29" i="25"/>
  <c r="V29" i="25"/>
  <c r="W29" i="25"/>
  <c r="X29" i="25"/>
  <c r="K32" i="25"/>
  <c r="J5" i="22" s="1"/>
  <c r="J7" i="22" s="1"/>
  <c r="T39" i="25"/>
  <c r="U39" i="25"/>
  <c r="V39" i="25"/>
  <c r="W39" i="25"/>
  <c r="X39" i="25"/>
  <c r="AF41" i="25"/>
  <c r="B48" i="22"/>
  <c r="B49" i="22"/>
  <c r="F49" i="22"/>
  <c r="I49" i="25"/>
  <c r="U50" i="25"/>
  <c r="V50" i="25"/>
  <c r="W50" i="25"/>
  <c r="X50" i="25"/>
  <c r="Y50" i="25"/>
  <c r="AF52" i="25"/>
  <c r="M60" i="25"/>
  <c r="U61" i="25"/>
  <c r="V61" i="25"/>
  <c r="W61" i="25"/>
  <c r="X61" i="25"/>
  <c r="Y61" i="25"/>
  <c r="AF63" i="25"/>
  <c r="AD37" i="66" s="1"/>
  <c r="C68" i="25"/>
  <c r="L68" i="25"/>
  <c r="C69" i="25"/>
  <c r="L69" i="25"/>
  <c r="C70" i="25"/>
  <c r="L70" i="25"/>
  <c r="U81" i="25"/>
  <c r="V81" i="25"/>
  <c r="W81" i="25"/>
  <c r="X81" i="25"/>
  <c r="Y81" i="25"/>
  <c r="W84" i="25"/>
  <c r="AF84" i="25"/>
  <c r="AD137" i="66" s="1"/>
  <c r="U113" i="25"/>
  <c r="V113" i="25"/>
  <c r="W113" i="25"/>
  <c r="X113" i="25"/>
  <c r="Y113" i="25"/>
  <c r="AF115" i="25"/>
  <c r="AF130" i="25"/>
  <c r="C133" i="25"/>
  <c r="P133" i="25"/>
  <c r="E10" i="59" s="1"/>
  <c r="U133" i="25"/>
  <c r="E11" i="59" s="1"/>
  <c r="C138" i="25"/>
  <c r="P138" i="25"/>
  <c r="B10" i="59" s="1"/>
  <c r="U138" i="25"/>
  <c r="B11" i="59" s="1"/>
  <c r="C3" i="29"/>
  <c r="L11" i="29" s="1"/>
  <c r="D110" i="26" s="1"/>
  <c r="D3" i="29"/>
  <c r="D57" i="29" s="1"/>
  <c r="E3" i="29"/>
  <c r="N11" i="29" s="1"/>
  <c r="F110" i="26" s="1"/>
  <c r="L3" i="29"/>
  <c r="O11" i="29"/>
  <c r="G110" i="26" s="1"/>
  <c r="P11" i="29"/>
  <c r="H110" i="26" s="1"/>
  <c r="C19" i="29"/>
  <c r="G17" i="29"/>
  <c r="E71" i="26"/>
  <c r="E19" i="29"/>
  <c r="D83" i="26"/>
  <c r="F100" i="22" s="1"/>
  <c r="F83" i="26"/>
  <c r="H83" i="26" s="1"/>
  <c r="I100" i="22" s="1"/>
  <c r="N35" i="29"/>
  <c r="F135" i="26" s="1"/>
  <c r="D89" i="26"/>
  <c r="F106" i="22" s="1"/>
  <c r="D90" i="26"/>
  <c r="F107" i="22" s="1"/>
  <c r="F36" i="29"/>
  <c r="G36" i="29"/>
  <c r="F40" i="29"/>
  <c r="F98" i="26"/>
  <c r="H115" i="22" s="1"/>
  <c r="D100" i="26"/>
  <c r="F117" i="22" s="1"/>
  <c r="F103" i="26"/>
  <c r="H120" i="22" s="1"/>
  <c r="F57" i="29"/>
  <c r="G57" i="29"/>
  <c r="H57" i="29"/>
  <c r="D39" i="26"/>
  <c r="F145" i="22" s="1"/>
  <c r="F68" i="29"/>
  <c r="E39" i="26"/>
  <c r="G145" i="22" s="1"/>
  <c r="A15" i="28"/>
  <c r="A16" i="28" s="1"/>
  <c r="A19" i="28"/>
  <c r="A20" i="28" s="1"/>
  <c r="A21" i="28" s="1"/>
  <c r="A26" i="28" s="1"/>
  <c r="A27" i="28" s="1"/>
  <c r="A29" i="28" s="1"/>
  <c r="A31" i="28" s="1"/>
  <c r="A33" i="28" s="1"/>
  <c r="A35" i="28" s="1"/>
  <c r="A37" i="28" s="1"/>
  <c r="A39" i="28" s="1"/>
  <c r="A41" i="28" s="1"/>
  <c r="A43" i="28" s="1"/>
  <c r="A44" i="28" s="1"/>
  <c r="A45" i="28" s="1"/>
  <c r="A46" i="28" s="1"/>
  <c r="A47" i="28" s="1"/>
  <c r="A48" i="28" s="1"/>
  <c r="A49" i="28" s="1"/>
  <c r="A50" i="28" s="1"/>
  <c r="A51" i="28" s="1"/>
  <c r="D19" i="29"/>
  <c r="E90" i="26"/>
  <c r="G107" i="22" s="1"/>
  <c r="D98" i="26"/>
  <c r="F115" i="22" s="1"/>
  <c r="D71" i="26"/>
  <c r="F88" i="22" s="1"/>
  <c r="F39" i="26"/>
  <c r="H145" i="22" s="1"/>
  <c r="F45" i="29"/>
  <c r="E98" i="26"/>
  <c r="G115" i="22" s="1"/>
  <c r="D64" i="26"/>
  <c r="F81" i="22" s="1"/>
  <c r="F90" i="26"/>
  <c r="H107" i="22" s="1"/>
  <c r="E88" i="26"/>
  <c r="G105" i="22" s="1"/>
  <c r="G45" i="29"/>
  <c r="G68" i="29"/>
  <c r="G34" i="29"/>
  <c r="F17" i="29"/>
  <c r="K124" i="40"/>
  <c r="K132" i="40" s="1"/>
  <c r="J49" i="41"/>
  <c r="I49" i="41" s="1"/>
  <c r="I51" i="41"/>
  <c r="L64" i="22"/>
  <c r="S62" i="40"/>
  <c r="T66" i="40" s="1"/>
  <c r="Q18" i="40"/>
  <c r="P159" i="40"/>
  <c r="P162" i="40"/>
  <c r="P155" i="40"/>
  <c r="V232" i="26"/>
  <c r="V237" i="26" s="1"/>
  <c r="P197" i="26"/>
  <c r="P199" i="26" s="1"/>
  <c r="K105" i="41"/>
  <c r="D8" i="45"/>
  <c r="AD40" i="44"/>
  <c r="W57" i="44"/>
  <c r="G75" i="29"/>
  <c r="X30" i="44"/>
  <c r="Y30" i="44" s="1"/>
  <c r="X34" i="44"/>
  <c r="Y34" i="44" s="1"/>
  <c r="T455" i="22"/>
  <c r="T456" i="22" s="1"/>
  <c r="M160" i="22"/>
  <c r="M161" i="22" s="1"/>
  <c r="O161" i="22" s="1"/>
  <c r="N195" i="40"/>
  <c r="W78" i="40"/>
  <c r="X78" i="40" s="1"/>
  <c r="C69" i="29"/>
  <c r="D40" i="26" s="1"/>
  <c r="F146" i="22" s="1"/>
  <c r="G30" i="29"/>
  <c r="G46" i="29"/>
  <c r="F74" i="29"/>
  <c r="E45" i="26"/>
  <c r="F48" i="29"/>
  <c r="G74" i="29"/>
  <c r="E51" i="29"/>
  <c r="H49" i="29" s="1"/>
  <c r="E84" i="26"/>
  <c r="H15" i="43"/>
  <c r="H32" i="43" s="1"/>
  <c r="F106" i="25"/>
  <c r="G189" i="22" s="1"/>
  <c r="F13" i="29"/>
  <c r="D51" i="29"/>
  <c r="F50" i="29"/>
  <c r="F79" i="29"/>
  <c r="E31" i="26"/>
  <c r="G137" i="22" s="1"/>
  <c r="F75" i="29"/>
  <c r="F147" i="41"/>
  <c r="H17" i="40"/>
  <c r="G29" i="29"/>
  <c r="E101" i="26"/>
  <c r="F46" i="29"/>
  <c r="G22" i="29"/>
  <c r="F30" i="43"/>
  <c r="F118" i="22"/>
  <c r="F29" i="29"/>
  <c r="I110" i="25" s="1"/>
  <c r="H193" i="22" s="1"/>
  <c r="E89" i="26"/>
  <c r="D38" i="29"/>
  <c r="G77" i="22"/>
  <c r="F100" i="26"/>
  <c r="D64" i="29"/>
  <c r="D102" i="26"/>
  <c r="F119" i="22" s="1"/>
  <c r="E75" i="26"/>
  <c r="E77" i="26" s="1"/>
  <c r="F21" i="29"/>
  <c r="F49" i="29"/>
  <c r="G48" i="29"/>
  <c r="F60" i="29"/>
  <c r="P156" i="40"/>
  <c r="Q16" i="40"/>
  <c r="O95" i="40"/>
  <c r="K95" i="40"/>
  <c r="F11" i="29"/>
  <c r="F35" i="29"/>
  <c r="D76" i="26"/>
  <c r="F93" i="22" s="1"/>
  <c r="E67" i="26"/>
  <c r="N193" i="40"/>
  <c r="H152" i="22"/>
  <c r="D103" i="26"/>
  <c r="F120" i="22" s="1"/>
  <c r="P161" i="40"/>
  <c r="S40" i="40"/>
  <c r="T43" i="40" s="1"/>
  <c r="P160" i="40"/>
  <c r="Q226" i="26"/>
  <c r="R226" i="26" s="1"/>
  <c r="P228" i="26"/>
  <c r="T366" i="22"/>
  <c r="T365" i="22"/>
  <c r="T45" i="40"/>
  <c r="S46" i="40" s="1"/>
  <c r="Q62" i="40"/>
  <c r="D7" i="29"/>
  <c r="E61" i="26" s="1"/>
  <c r="G92" i="41"/>
  <c r="E104" i="41"/>
  <c r="C57" i="29"/>
  <c r="K50" i="22"/>
  <c r="L47" i="25"/>
  <c r="K49" i="22" s="1"/>
  <c r="L46" i="25"/>
  <c r="L49" i="25" s="1"/>
  <c r="O219" i="26"/>
  <c r="P217" i="26"/>
  <c r="T318" i="22"/>
  <c r="N575" i="22" s="1"/>
  <c r="G57" i="43"/>
  <c r="S52" i="40"/>
  <c r="T54" i="40" s="1"/>
  <c r="Q17" i="40"/>
  <c r="F63" i="43"/>
  <c r="E25" i="29"/>
  <c r="F152" i="22"/>
  <c r="T52" i="22"/>
  <c r="X52" i="22"/>
  <c r="AF54" i="22"/>
  <c r="I85" i="41"/>
  <c r="M95" i="40"/>
  <c r="M97" i="40" s="1"/>
  <c r="H103" i="26"/>
  <c r="I120" i="22" s="1"/>
  <c r="H75" i="26"/>
  <c r="I92" i="22" s="1"/>
  <c r="H83" i="22"/>
  <c r="P198" i="26"/>
  <c r="F116" i="22"/>
  <c r="G108" i="22"/>
  <c r="G91" i="26"/>
  <c r="J196" i="40"/>
  <c r="J193" i="40"/>
  <c r="J195" i="40"/>
  <c r="J194" i="40"/>
  <c r="J197" i="40"/>
  <c r="G82" i="41"/>
  <c r="T197" i="22"/>
  <c r="T198" i="22" s="1"/>
  <c r="V198" i="22" s="1"/>
  <c r="H45" i="29"/>
  <c r="G15" i="43"/>
  <c r="G32" i="43" s="1"/>
  <c r="T242" i="26"/>
  <c r="P242" i="26"/>
  <c r="O198" i="26"/>
  <c r="T429" i="22"/>
  <c r="T430" i="22" s="1"/>
  <c r="R575" i="22" s="1"/>
  <c r="W49" i="40"/>
  <c r="X49" i="40" s="1"/>
  <c r="H46" i="44"/>
  <c r="K46" i="44" s="1"/>
  <c r="T57" i="44"/>
  <c r="G88" i="22"/>
  <c r="E62" i="26"/>
  <c r="G79" i="22" s="1"/>
  <c r="H72" i="26"/>
  <c r="I89" i="22" s="1"/>
  <c r="T505" i="22"/>
  <c r="T506" i="22" s="1"/>
  <c r="D69" i="29"/>
  <c r="E40" i="26" s="1"/>
  <c r="G40" i="26" s="1"/>
  <c r="O242" i="26"/>
  <c r="W232" i="26"/>
  <c r="W237" i="26" s="1"/>
  <c r="T572" i="22"/>
  <c r="T573" i="22" s="1"/>
  <c r="T381" i="22"/>
  <c r="T382" i="22" s="1"/>
  <c r="V382" i="22" s="1"/>
  <c r="X10" i="44"/>
  <c r="Y10" i="44"/>
  <c r="L11" i="44"/>
  <c r="S11" i="44" s="1"/>
  <c r="G26" i="43"/>
  <c r="F10" i="29"/>
  <c r="J145" i="40"/>
  <c r="J139" i="40"/>
  <c r="J143" i="40"/>
  <c r="J147" i="40"/>
  <c r="J144" i="40"/>
  <c r="J140" i="40"/>
  <c r="J137" i="40"/>
  <c r="J138" i="40"/>
  <c r="J141" i="40"/>
  <c r="J142" i="40"/>
  <c r="J146" i="40"/>
  <c r="J136" i="40"/>
  <c r="F63" i="29"/>
  <c r="F41" i="26"/>
  <c r="H147" i="22" s="1"/>
  <c r="F46" i="42"/>
  <c r="F47" i="42"/>
  <c r="F45" i="42"/>
  <c r="P126" i="40"/>
  <c r="P124" i="40"/>
  <c r="P125" i="40"/>
  <c r="P129" i="40"/>
  <c r="P128" i="40"/>
  <c r="P127" i="40"/>
  <c r="H151" i="22"/>
  <c r="W65" i="40"/>
  <c r="P154" i="40"/>
  <c r="H41" i="44"/>
  <c r="K41" i="44" s="1"/>
  <c r="F46" i="44"/>
  <c r="I46" i="44" s="1"/>
  <c r="G47" i="44"/>
  <c r="J47" i="44" s="1"/>
  <c r="C25" i="29"/>
  <c r="D79" i="26" s="1"/>
  <c r="F96" i="22" s="1"/>
  <c r="F47" i="26"/>
  <c r="J148" i="40"/>
  <c r="H57" i="43"/>
  <c r="D25" i="29"/>
  <c r="E79" i="26" s="1"/>
  <c r="W64" i="40"/>
  <c r="P157" i="40"/>
  <c r="P158" i="40"/>
  <c r="G41" i="44"/>
  <c r="J41" i="44" s="1"/>
  <c r="V456" i="22"/>
  <c r="T65" i="40"/>
  <c r="T67" i="40"/>
  <c r="S68" i="40" s="1"/>
  <c r="G151" i="22"/>
  <c r="G84" i="22"/>
  <c r="G106" i="22"/>
  <c r="G7" i="29"/>
  <c r="G92" i="22"/>
  <c r="T44" i="40"/>
  <c r="V318" i="22"/>
  <c r="L93" i="40"/>
  <c r="K48" i="22"/>
  <c r="T55" i="40"/>
  <c r="O224" i="26"/>
  <c r="O246" i="26" s="1"/>
  <c r="P47" i="40"/>
  <c r="P46" i="40"/>
  <c r="P53" i="40"/>
  <c r="P51" i="40"/>
  <c r="P44" i="40"/>
  <c r="V366" i="22"/>
  <c r="P575" i="22"/>
  <c r="H10" i="43"/>
  <c r="J160" i="40"/>
  <c r="J155" i="40"/>
  <c r="J156" i="40"/>
  <c r="J154" i="40"/>
  <c r="J157" i="40"/>
  <c r="J163" i="40"/>
  <c r="G96" i="22"/>
  <c r="D9" i="41"/>
  <c r="G94" i="41"/>
  <c r="F67" i="41"/>
  <c r="F45" i="44"/>
  <c r="I45" i="44" s="1"/>
  <c r="H45" i="44"/>
  <c r="K45" i="44" s="1"/>
  <c r="G45" i="44"/>
  <c r="J45" i="44" s="1"/>
  <c r="D13" i="41"/>
  <c r="G109" i="41"/>
  <c r="F42" i="44"/>
  <c r="I42" i="44" s="1"/>
  <c r="E117" i="41"/>
  <c r="P219" i="26"/>
  <c r="Q217" i="26"/>
  <c r="R217" i="26" s="1"/>
  <c r="H9" i="43"/>
  <c r="H21" i="43" s="1"/>
  <c r="P55" i="40"/>
  <c r="P45" i="40"/>
  <c r="P52" i="40"/>
  <c r="H117" i="22"/>
  <c r="G101" i="26"/>
  <c r="G118" i="22"/>
  <c r="G101" i="22"/>
  <c r="P54" i="40"/>
  <c r="P56" i="40"/>
  <c r="P58" i="40"/>
  <c r="P60" i="40"/>
  <c r="P49" i="40"/>
  <c r="F151" i="22"/>
  <c r="D47" i="26"/>
  <c r="F140" i="22"/>
  <c r="G34" i="26"/>
  <c r="M125" i="22"/>
  <c r="M126" i="22" s="1"/>
  <c r="O126" i="22" s="1"/>
  <c r="T66" i="22"/>
  <c r="T67" i="22" s="1"/>
  <c r="V67" i="22" s="1"/>
  <c r="G103" i="26"/>
  <c r="F38" i="26"/>
  <c r="H144" i="22" s="1"/>
  <c r="I103" i="41"/>
  <c r="E105" i="41"/>
  <c r="N96" i="41"/>
  <c r="E85" i="41"/>
  <c r="G100" i="41"/>
  <c r="J10" i="41"/>
  <c r="I10" i="41" s="1"/>
  <c r="J39" i="41"/>
  <c r="J37" i="41" s="1"/>
  <c r="I37" i="41" s="1"/>
  <c r="I97" i="41"/>
  <c r="O10" i="44"/>
  <c r="X40" i="44"/>
  <c r="I24" i="43"/>
  <c r="J47" i="41"/>
  <c r="J45" i="41" s="1"/>
  <c r="I45" i="41" s="1"/>
  <c r="I131" i="41"/>
  <c r="Q219" i="26"/>
  <c r="Q224" i="26" s="1"/>
  <c r="Q246" i="26" s="1"/>
  <c r="H90" i="26"/>
  <c r="I107" i="22" s="1"/>
  <c r="V336" i="22" l="1"/>
  <c r="O575" i="22"/>
  <c r="T283" i="22"/>
  <c r="T284" i="22" s="1"/>
  <c r="T52" i="65" s="1"/>
  <c r="X52" i="65" s="1"/>
  <c r="L232" i="22"/>
  <c r="U71" i="66" s="1"/>
  <c r="G138" i="22"/>
  <c r="G32" i="26"/>
  <c r="S47" i="40"/>
  <c r="F19" i="29"/>
  <c r="F73" i="26"/>
  <c r="T530" i="22"/>
  <c r="T531" i="22" s="1"/>
  <c r="R576" i="22" s="1"/>
  <c r="T480" i="22"/>
  <c r="T481" i="22" s="1"/>
  <c r="Q148" i="40"/>
  <c r="AJ34" i="44"/>
  <c r="AK34" i="44" s="1"/>
  <c r="G50" i="29"/>
  <c r="F47" i="29"/>
  <c r="D216" i="22"/>
  <c r="K150" i="40"/>
  <c r="K167" i="40" s="1"/>
  <c r="K173" i="40" s="1"/>
  <c r="T232" i="26"/>
  <c r="T237" i="26" s="1"/>
  <c r="W66" i="40"/>
  <c r="X64" i="40" s="1"/>
  <c r="Y232" i="26"/>
  <c r="F60" i="26"/>
  <c r="E15" i="29"/>
  <c r="H227" i="22"/>
  <c r="J227" i="22" s="1"/>
  <c r="K51" i="22"/>
  <c r="H34" i="26"/>
  <c r="I140" i="22" s="1"/>
  <c r="C76" i="29"/>
  <c r="F34" i="29"/>
  <c r="F9" i="29"/>
  <c r="L128" i="40"/>
  <c r="L126" i="40"/>
  <c r="L129" i="40"/>
  <c r="L127" i="40"/>
  <c r="L125" i="40"/>
  <c r="H121" i="41"/>
  <c r="O132" i="40"/>
  <c r="O150" i="40" s="1"/>
  <c r="H84" i="26"/>
  <c r="I101" i="22" s="1"/>
  <c r="H101" i="22"/>
  <c r="L92" i="40"/>
  <c r="L77" i="40"/>
  <c r="L75" i="40"/>
  <c r="L71" i="40"/>
  <c r="L87" i="40"/>
  <c r="L67" i="40"/>
  <c r="L90" i="40"/>
  <c r="L88" i="40"/>
  <c r="L86" i="40"/>
  <c r="L84" i="40"/>
  <c r="L82" i="40"/>
  <c r="L66" i="40"/>
  <c r="L89" i="40"/>
  <c r="L85" i="40"/>
  <c r="L81" i="40"/>
  <c r="L65" i="40"/>
  <c r="L76" i="40"/>
  <c r="L72" i="40"/>
  <c r="L70" i="40"/>
  <c r="L83" i="40"/>
  <c r="L78" i="40"/>
  <c r="L74" i="40"/>
  <c r="L69" i="40"/>
  <c r="L73" i="40"/>
  <c r="L68" i="40"/>
  <c r="H102" i="41"/>
  <c r="N89" i="40"/>
  <c r="N87" i="40"/>
  <c r="N85" i="40"/>
  <c r="N83" i="40"/>
  <c r="N81" i="40"/>
  <c r="N68" i="40"/>
  <c r="N67" i="40"/>
  <c r="N65" i="40"/>
  <c r="N72" i="40"/>
  <c r="N77" i="40"/>
  <c r="N75" i="40"/>
  <c r="N71" i="40"/>
  <c r="N76" i="40"/>
  <c r="N70" i="40"/>
  <c r="N92" i="40"/>
  <c r="N90" i="40"/>
  <c r="N88" i="40"/>
  <c r="N86" i="40"/>
  <c r="N84" i="40"/>
  <c r="N82" i="40"/>
  <c r="N73" i="40"/>
  <c r="N66" i="40"/>
  <c r="N91" i="40"/>
  <c r="N78" i="40"/>
  <c r="N74" i="40"/>
  <c r="N69" i="40"/>
  <c r="F91" i="41"/>
  <c r="F55" i="41" s="1"/>
  <c r="L59" i="40"/>
  <c r="L57" i="40"/>
  <c r="L55" i="40"/>
  <c r="L53" i="40"/>
  <c r="L51" i="40"/>
  <c r="L47" i="40"/>
  <c r="L58" i="40"/>
  <c r="L56" i="40"/>
  <c r="L54" i="40"/>
  <c r="L52" i="40"/>
  <c r="L50" i="40"/>
  <c r="L41" i="40"/>
  <c r="L45" i="40"/>
  <c r="L48" i="40"/>
  <c r="L46" i="40"/>
  <c r="L44" i="40"/>
  <c r="L42" i="40"/>
  <c r="L60" i="40"/>
  <c r="L61" i="40"/>
  <c r="L43" i="40"/>
  <c r="L49" i="40"/>
  <c r="H91" i="41"/>
  <c r="H55" i="41" s="1"/>
  <c r="N48" i="40"/>
  <c r="N46" i="40"/>
  <c r="N60" i="40"/>
  <c r="N59" i="40"/>
  <c r="N57" i="40"/>
  <c r="N55" i="40"/>
  <c r="N53" i="40"/>
  <c r="N51" i="40"/>
  <c r="N47" i="40"/>
  <c r="N45" i="40"/>
  <c r="N43" i="40"/>
  <c r="N58" i="40"/>
  <c r="N56" i="40"/>
  <c r="N54" i="40"/>
  <c r="N52" i="40"/>
  <c r="N50" i="40"/>
  <c r="N41" i="40"/>
  <c r="N44" i="40"/>
  <c r="N42" i="40"/>
  <c r="N49" i="40"/>
  <c r="N61" i="40"/>
  <c r="H77" i="22"/>
  <c r="H167" i="22"/>
  <c r="E57" i="29"/>
  <c r="E76" i="44"/>
  <c r="I106" i="41"/>
  <c r="J71" i="41"/>
  <c r="I71" i="41" s="1"/>
  <c r="E22" i="41"/>
  <c r="E26" i="41"/>
  <c r="AA241" i="66"/>
  <c r="M575" i="22"/>
  <c r="U80" i="66"/>
  <c r="T20" i="65"/>
  <c r="X20" i="65" s="1"/>
  <c r="D102" i="41"/>
  <c r="J77" i="40"/>
  <c r="J70" i="40"/>
  <c r="J67" i="40"/>
  <c r="J84" i="40"/>
  <c r="J83" i="40"/>
  <c r="J82" i="40"/>
  <c r="J72" i="40"/>
  <c r="J89" i="40"/>
  <c r="J75" i="40"/>
  <c r="J65" i="40"/>
  <c r="J88" i="40"/>
  <c r="J66" i="40"/>
  <c r="J81" i="40"/>
  <c r="G19" i="29"/>
  <c r="V242" i="26"/>
  <c r="I134" i="41"/>
  <c r="J43" i="41"/>
  <c r="G49" i="29"/>
  <c r="F102" i="26"/>
  <c r="H119" i="22" s="1"/>
  <c r="U125" i="66"/>
  <c r="AA261" i="66"/>
  <c r="T36" i="65"/>
  <c r="X36" i="65" s="1"/>
  <c r="D121" i="41"/>
  <c r="L121" i="41" s="1"/>
  <c r="L122" i="41" s="1"/>
  <c r="G83" i="22"/>
  <c r="G66" i="26"/>
  <c r="J161" i="40"/>
  <c r="J158" i="40"/>
  <c r="J165" i="40"/>
  <c r="T56" i="40"/>
  <c r="S69" i="40"/>
  <c r="H48" i="43"/>
  <c r="H128" i="41"/>
  <c r="H153" i="22"/>
  <c r="U168" i="66"/>
  <c r="AA249" i="66"/>
  <c r="T64" i="65"/>
  <c r="X64" i="65" s="1"/>
  <c r="P211" i="26"/>
  <c r="H50" i="29"/>
  <c r="G10" i="43"/>
  <c r="G9" i="43" s="1"/>
  <c r="G21" i="43" s="1"/>
  <c r="G48" i="43"/>
  <c r="F128" i="41"/>
  <c r="U151" i="66"/>
  <c r="AA245" i="66"/>
  <c r="T56" i="65"/>
  <c r="X56" i="65" s="1"/>
  <c r="F124" i="41"/>
  <c r="F125" i="41"/>
  <c r="O199" i="26"/>
  <c r="E73" i="26"/>
  <c r="H73" i="26" s="1"/>
  <c r="Q242" i="26"/>
  <c r="Q232" i="26"/>
  <c r="Q237" i="26" s="1"/>
  <c r="F96" i="26"/>
  <c r="H113" i="22" s="1"/>
  <c r="C31" i="29"/>
  <c r="H103" i="41"/>
  <c r="E35" i="29"/>
  <c r="F89" i="26" s="1"/>
  <c r="H106" i="22" s="1"/>
  <c r="D112" i="41"/>
  <c r="F46" i="41"/>
  <c r="F77" i="41" s="1"/>
  <c r="D67" i="29"/>
  <c r="L57" i="66"/>
  <c r="G217" i="22"/>
  <c r="J159" i="40"/>
  <c r="J162" i="40"/>
  <c r="U168" i="40"/>
  <c r="T57" i="40"/>
  <c r="S58" i="40" s="1"/>
  <c r="G51" i="29"/>
  <c r="T22" i="65"/>
  <c r="X22" i="65" s="1"/>
  <c r="AA265" i="66"/>
  <c r="U86" i="66"/>
  <c r="H51" i="29"/>
  <c r="U156" i="66"/>
  <c r="AA247" i="66"/>
  <c r="T58" i="65"/>
  <c r="X58" i="65" s="1"/>
  <c r="G79" i="29"/>
  <c r="G97" i="26"/>
  <c r="U100" i="66"/>
  <c r="AA253" i="66"/>
  <c r="T28" i="65"/>
  <c r="X28" i="65" s="1"/>
  <c r="X242" i="26"/>
  <c r="F67" i="26"/>
  <c r="H84" i="22" s="1"/>
  <c r="G6" i="29"/>
  <c r="E11" i="29"/>
  <c r="F65" i="26" s="1"/>
  <c r="D101" i="41"/>
  <c r="E129" i="41"/>
  <c r="G213" i="22"/>
  <c r="L53" i="66"/>
  <c r="G218" i="22"/>
  <c r="L58" i="66"/>
  <c r="F69" i="29"/>
  <c r="F153" i="22"/>
  <c r="G89" i="26"/>
  <c r="D124" i="41"/>
  <c r="D125" i="41"/>
  <c r="D29" i="41" s="1"/>
  <c r="U173" i="66"/>
  <c r="AA251" i="66"/>
  <c r="T66" i="65"/>
  <c r="X66" i="65" s="1"/>
  <c r="X67" i="65" s="1"/>
  <c r="H66" i="26"/>
  <c r="I83" i="22" s="1"/>
  <c r="F34" i="41"/>
  <c r="F102" i="41"/>
  <c r="E102" i="41" s="1"/>
  <c r="H43" i="29"/>
  <c r="U146" i="66"/>
  <c r="AA243" i="66"/>
  <c r="T54" i="65"/>
  <c r="X54" i="65" s="1"/>
  <c r="H60" i="26"/>
  <c r="I77" i="22" s="1"/>
  <c r="Q197" i="26"/>
  <c r="Q199" i="26" s="1"/>
  <c r="Y237" i="26"/>
  <c r="H114" i="22"/>
  <c r="F90" i="22"/>
  <c r="T497" i="22"/>
  <c r="T498" i="22" s="1"/>
  <c r="T489" i="22"/>
  <c r="T490" i="22" s="1"/>
  <c r="M181" i="22"/>
  <c r="M182" i="22" s="1"/>
  <c r="O182" i="22" s="1"/>
  <c r="F10" i="43"/>
  <c r="F9" i="43" s="1"/>
  <c r="F48" i="43"/>
  <c r="F65" i="43" s="1"/>
  <c r="D128" i="41"/>
  <c r="H122" i="41"/>
  <c r="AJ10" i="44"/>
  <c r="AK10" i="44" s="1"/>
  <c r="L12" i="44"/>
  <c r="S12" i="44" s="1"/>
  <c r="AD10" i="44"/>
  <c r="AE10" i="44" s="1"/>
  <c r="L14" i="44"/>
  <c r="S14" i="44" s="1"/>
  <c r="L15" i="44"/>
  <c r="S15" i="44" s="1"/>
  <c r="AJ14" i="44"/>
  <c r="AK14" i="44" s="1"/>
  <c r="L16" i="44"/>
  <c r="S16" i="44" s="1"/>
  <c r="AD14" i="44"/>
  <c r="AE14" i="44" s="1"/>
  <c r="L17" i="44"/>
  <c r="S17" i="44" s="1"/>
  <c r="X14" i="44"/>
  <c r="Y14" i="44" s="1"/>
  <c r="L18" i="44"/>
  <c r="S18" i="44" s="1"/>
  <c r="L19" i="44"/>
  <c r="S19" i="44" s="1"/>
  <c r="L21" i="44"/>
  <c r="S21" i="44" s="1"/>
  <c r="X21" i="44"/>
  <c r="Y21" i="44" s="1"/>
  <c r="L22" i="44"/>
  <c r="S22" i="44" s="1"/>
  <c r="L23" i="44"/>
  <c r="S23" i="44" s="1"/>
  <c r="AJ21" i="44"/>
  <c r="AK21" i="44" s="1"/>
  <c r="L24" i="44"/>
  <c r="S24" i="44" s="1"/>
  <c r="AD21" i="44"/>
  <c r="AE21" i="44" s="1"/>
  <c r="L25" i="44"/>
  <c r="S25" i="44" s="1"/>
  <c r="L26" i="44"/>
  <c r="S26" i="44" s="1"/>
  <c r="L27" i="44"/>
  <c r="S27" i="44" s="1"/>
  <c r="L28" i="44"/>
  <c r="S28" i="44" s="1"/>
  <c r="L31" i="44"/>
  <c r="S31" i="44" s="1"/>
  <c r="AJ30" i="44"/>
  <c r="AK30" i="44" s="1"/>
  <c r="L32" i="44"/>
  <c r="S32" i="44" s="1"/>
  <c r="AD30" i="44"/>
  <c r="AE30" i="44" s="1"/>
  <c r="L34" i="44"/>
  <c r="S34" i="44" s="1"/>
  <c r="F15" i="43"/>
  <c r="F32" i="43" s="1"/>
  <c r="F126" i="59"/>
  <c r="G212" i="22"/>
  <c r="J54" i="66"/>
  <c r="J59" i="66"/>
  <c r="C67" i="66"/>
  <c r="C68" i="66"/>
  <c r="F96" i="41"/>
  <c r="G96" i="41" s="1"/>
  <c r="D78" i="41"/>
  <c r="D97" i="41"/>
  <c r="D35" i="41"/>
  <c r="D116" i="41"/>
  <c r="E116" i="41" s="1"/>
  <c r="H45" i="26"/>
  <c r="I151" i="22" s="1"/>
  <c r="F121" i="59"/>
  <c r="G211" i="22"/>
  <c r="G216" i="22"/>
  <c r="H222" i="22"/>
  <c r="J222" i="22" s="1"/>
  <c r="H224" i="22"/>
  <c r="J224" i="22" s="1"/>
  <c r="L54" i="66"/>
  <c r="L59" i="66"/>
  <c r="G142" i="22"/>
  <c r="R242" i="26"/>
  <c r="Y242" i="26"/>
  <c r="P232" i="26"/>
  <c r="P237" i="26" s="1"/>
  <c r="U232" i="26"/>
  <c r="U237" i="26" s="1"/>
  <c r="P224" i="26"/>
  <c r="P246" i="26" s="1"/>
  <c r="D61" i="26"/>
  <c r="G61" i="26" s="1"/>
  <c r="F78" i="41"/>
  <c r="F76" i="41" s="1"/>
  <c r="F97" i="41"/>
  <c r="U58" i="40"/>
  <c r="T59" i="40" s="1"/>
  <c r="E31" i="29"/>
  <c r="D103" i="41"/>
  <c r="E103" i="41" s="1"/>
  <c r="F35" i="41"/>
  <c r="F116" i="41"/>
  <c r="G47" i="29"/>
  <c r="AD34" i="44"/>
  <c r="AE34" i="44" s="1"/>
  <c r="F119" i="59"/>
  <c r="F125" i="59"/>
  <c r="F127" i="59"/>
  <c r="D213" i="22"/>
  <c r="D218" i="22"/>
  <c r="J51" i="66"/>
  <c r="J57" i="66"/>
  <c r="O62" i="66"/>
  <c r="O63" i="66"/>
  <c r="O67" i="66"/>
  <c r="O68" i="66"/>
  <c r="H78" i="41"/>
  <c r="H76" i="41" s="1"/>
  <c r="H97" i="41"/>
  <c r="H5" i="41" s="1"/>
  <c r="D31" i="29"/>
  <c r="F103" i="41"/>
  <c r="F14" i="41" s="1"/>
  <c r="H35" i="41"/>
  <c r="H116" i="41"/>
  <c r="F121" i="41"/>
  <c r="E69" i="29"/>
  <c r="F120" i="59"/>
  <c r="F122" i="59"/>
  <c r="D212" i="22"/>
  <c r="J53" i="66"/>
  <c r="J58" i="66"/>
  <c r="H81" i="22"/>
  <c r="H64" i="26"/>
  <c r="I81" i="22" s="1"/>
  <c r="H93" i="22"/>
  <c r="H76" i="26"/>
  <c r="I93" i="22" s="1"/>
  <c r="F77" i="26"/>
  <c r="H77" i="26" s="1"/>
  <c r="H101" i="26"/>
  <c r="I118" i="22" s="1"/>
  <c r="H118" i="22"/>
  <c r="F92" i="26"/>
  <c r="H105" i="22"/>
  <c r="H88" i="26"/>
  <c r="I105" i="22" s="1"/>
  <c r="H139" i="22"/>
  <c r="O207" i="26"/>
  <c r="P207" i="26" s="1"/>
  <c r="Q207" i="26" s="1"/>
  <c r="R207" i="26" s="1"/>
  <c r="S207" i="26" s="1"/>
  <c r="T207" i="26" s="1"/>
  <c r="U207" i="26" s="1"/>
  <c r="V207" i="26" s="1"/>
  <c r="W207" i="26" s="1"/>
  <c r="X207" i="26" s="1"/>
  <c r="Y207" i="26" s="1"/>
  <c r="H33" i="26"/>
  <c r="I139" i="22" s="1"/>
  <c r="G85" i="22"/>
  <c r="H68" i="26"/>
  <c r="I85" i="22" s="1"/>
  <c r="F80" i="22"/>
  <c r="D62" i="26"/>
  <c r="F79" i="22" s="1"/>
  <c r="F82" i="22"/>
  <c r="G65" i="26"/>
  <c r="G76" i="26"/>
  <c r="G93" i="22"/>
  <c r="G113" i="22"/>
  <c r="H96" i="26"/>
  <c r="I113" i="22" s="1"/>
  <c r="D92" i="26"/>
  <c r="F105" i="22"/>
  <c r="F109" i="22" s="1"/>
  <c r="F92" i="22"/>
  <c r="D77" i="26"/>
  <c r="G100" i="22"/>
  <c r="G152" i="22"/>
  <c r="G46" i="26"/>
  <c r="F137" i="22"/>
  <c r="D36" i="26"/>
  <c r="G36" i="26" s="1"/>
  <c r="G31" i="26"/>
  <c r="F139" i="22"/>
  <c r="G33" i="26"/>
  <c r="H82" i="22"/>
  <c r="H65" i="26"/>
  <c r="I82" i="22" s="1"/>
  <c r="G147" i="22"/>
  <c r="H41" i="26"/>
  <c r="I147" i="22" s="1"/>
  <c r="F62" i="26"/>
  <c r="H63" i="26"/>
  <c r="I80" i="22" s="1"/>
  <c r="H80" i="22"/>
  <c r="H138" i="22"/>
  <c r="H32" i="26"/>
  <c r="I138" i="22" s="1"/>
  <c r="F77" i="22"/>
  <c r="G60" i="26"/>
  <c r="G77" i="26"/>
  <c r="H109" i="22"/>
  <c r="G94" i="22"/>
  <c r="F28" i="43"/>
  <c r="D130" i="41" s="1"/>
  <c r="G31" i="43"/>
  <c r="F131" i="41"/>
  <c r="G153" i="22"/>
  <c r="F21" i="43"/>
  <c r="E47" i="26"/>
  <c r="G47" i="26" s="1"/>
  <c r="H28" i="43"/>
  <c r="H130" i="41" s="1"/>
  <c r="G88" i="26"/>
  <c r="G75" i="26"/>
  <c r="E46" i="41"/>
  <c r="G46" i="41"/>
  <c r="E92" i="26"/>
  <c r="H67" i="26"/>
  <c r="I84" i="22" s="1"/>
  <c r="C71" i="29"/>
  <c r="E36" i="26"/>
  <c r="D8" i="29"/>
  <c r="D15" i="29" s="1"/>
  <c r="E38" i="29"/>
  <c r="G70" i="29"/>
  <c r="G35" i="26"/>
  <c r="G11" i="29"/>
  <c r="F7" i="29"/>
  <c r="G90" i="22"/>
  <c r="G71" i="26"/>
  <c r="H48" i="29"/>
  <c r="D73" i="26"/>
  <c r="G73" i="26" s="1"/>
  <c r="H98" i="26"/>
  <c r="I115" i="22" s="1"/>
  <c r="G63" i="26"/>
  <c r="G72" i="26"/>
  <c r="V52" i="22"/>
  <c r="U52" i="22"/>
  <c r="H44" i="29"/>
  <c r="H46" i="29"/>
  <c r="G64" i="26"/>
  <c r="F167" i="22"/>
  <c r="C23" i="29"/>
  <c r="G61" i="29"/>
  <c r="G9" i="29"/>
  <c r="F43" i="29"/>
  <c r="E23" i="29"/>
  <c r="D76" i="29"/>
  <c r="F76" i="29" s="1"/>
  <c r="H47" i="29"/>
  <c r="E64" i="29"/>
  <c r="G64" i="29" s="1"/>
  <c r="G10" i="29"/>
  <c r="C64" i="29"/>
  <c r="F64" i="29" s="1"/>
  <c r="G90" i="26"/>
  <c r="F22" i="29"/>
  <c r="C51" i="29"/>
  <c r="G35" i="29"/>
  <c r="E8" i="29"/>
  <c r="C8" i="29"/>
  <c r="C15" i="29" s="1"/>
  <c r="F31" i="26"/>
  <c r="C38" i="29"/>
  <c r="E76" i="29"/>
  <c r="E100" i="26"/>
  <c r="H91" i="26"/>
  <c r="I108" i="22" s="1"/>
  <c r="G60" i="29"/>
  <c r="H148" i="41"/>
  <c r="D76" i="41"/>
  <c r="G28" i="43"/>
  <c r="F130" i="41" s="1"/>
  <c r="F61" i="29"/>
  <c r="M21" i="66"/>
  <c r="N26" i="66" s="1"/>
  <c r="V26" i="66" s="1"/>
  <c r="V31" i="66" s="1"/>
  <c r="J5" i="41"/>
  <c r="I5" i="41" s="1"/>
  <c r="D146" i="41"/>
  <c r="G50" i="44"/>
  <c r="J50" i="44" s="1"/>
  <c r="F71" i="41"/>
  <c r="E71" i="41" s="1"/>
  <c r="I101" i="41"/>
  <c r="H42" i="44"/>
  <c r="K42" i="44" s="1"/>
  <c r="L42" i="44" s="1"/>
  <c r="S42" i="44" s="1"/>
  <c r="J74" i="41"/>
  <c r="I74" i="41" s="1"/>
  <c r="D148" i="41"/>
  <c r="J54" i="41"/>
  <c r="I54" i="41" s="1"/>
  <c r="AF82" i="65"/>
  <c r="X82" i="65" s="1"/>
  <c r="S41" i="40"/>
  <c r="D120" i="41"/>
  <c r="S53" i="40"/>
  <c r="F120" i="41"/>
  <c r="H12" i="65"/>
  <c r="S63" i="40"/>
  <c r="H120" i="41"/>
  <c r="Y11" i="65"/>
  <c r="F12" i="22"/>
  <c r="H7" i="66"/>
  <c r="C3" i="26"/>
  <c r="B56" i="29"/>
  <c r="L5" i="29"/>
  <c r="U38" i="22"/>
  <c r="I47" i="41"/>
  <c r="D147" i="41"/>
  <c r="H40" i="44"/>
  <c r="K40" i="44" s="1"/>
  <c r="H50" i="44"/>
  <c r="K50" i="44" s="1"/>
  <c r="D144" i="41"/>
  <c r="G70" i="41"/>
  <c r="D68" i="41"/>
  <c r="F154" i="41"/>
  <c r="F74" i="41"/>
  <c r="E74" i="41" s="1"/>
  <c r="J140" i="41"/>
  <c r="J76" i="41"/>
  <c r="I76" i="41" s="1"/>
  <c r="G49" i="44"/>
  <c r="J49" i="44" s="1"/>
  <c r="J6" i="41"/>
  <c r="I6" i="41" s="1"/>
  <c r="I22" i="41"/>
  <c r="L45" i="44"/>
  <c r="S45" i="44" s="1"/>
  <c r="H71" i="41"/>
  <c r="G71" i="41" s="1"/>
  <c r="J25" i="41"/>
  <c r="I25" i="41" s="1"/>
  <c r="I126" i="41"/>
  <c r="H149" i="41"/>
  <c r="E73" i="44"/>
  <c r="G40" i="44"/>
  <c r="J40" i="44" s="1"/>
  <c r="H147" i="41"/>
  <c r="F149" i="41"/>
  <c r="J33" i="41"/>
  <c r="I33" i="41" s="1"/>
  <c r="J21" i="41"/>
  <c r="I21" i="41" s="1"/>
  <c r="H144" i="41"/>
  <c r="D71" i="41"/>
  <c r="E73" i="41"/>
  <c r="I39" i="41"/>
  <c r="J57" i="41"/>
  <c r="I57" i="41" s="1"/>
  <c r="D65" i="41"/>
  <c r="G63" i="41"/>
  <c r="N153" i="65"/>
  <c r="N154" i="65" s="1"/>
  <c r="M99" i="65"/>
  <c r="M100" i="65" s="1"/>
  <c r="M128" i="65"/>
  <c r="M129" i="65" s="1"/>
  <c r="F33" i="43"/>
  <c r="D51" i="41"/>
  <c r="F85" i="22"/>
  <c r="G68" i="26"/>
  <c r="D104" i="26"/>
  <c r="G96" i="26"/>
  <c r="F113" i="22"/>
  <c r="F121" i="22" s="1"/>
  <c r="H156" i="22"/>
  <c r="H50" i="26"/>
  <c r="I156" i="22" s="1"/>
  <c r="H33" i="43"/>
  <c r="G33" i="43"/>
  <c r="F84" i="22"/>
  <c r="G67" i="26"/>
  <c r="G79" i="26"/>
  <c r="F25" i="29"/>
  <c r="G109" i="22"/>
  <c r="H121" i="22"/>
  <c r="E71" i="29"/>
  <c r="D140" i="41"/>
  <c r="D54" i="41"/>
  <c r="H65" i="43"/>
  <c r="I8" i="42" s="1"/>
  <c r="I32" i="42" s="1"/>
  <c r="G81" i="22"/>
  <c r="D23" i="29"/>
  <c r="U62" i="25"/>
  <c r="U36" i="66" s="1"/>
  <c r="U37" i="66" s="1"/>
  <c r="W37" i="66" s="1"/>
  <c r="T30" i="25"/>
  <c r="T31" i="25" s="1"/>
  <c r="Y219" i="66" s="1"/>
  <c r="V38" i="22"/>
  <c r="U129" i="25"/>
  <c r="U130" i="25" s="1"/>
  <c r="W130" i="25" s="1"/>
  <c r="W38" i="22"/>
  <c r="X38" i="22"/>
  <c r="U114" i="25"/>
  <c r="U115" i="25" s="1"/>
  <c r="T38" i="22"/>
  <c r="AF40" i="22"/>
  <c r="U82" i="25"/>
  <c r="U83" i="25" s="1"/>
  <c r="U51" i="25"/>
  <c r="U52" i="25" s="1"/>
  <c r="Y223" i="66" s="1"/>
  <c r="T40" i="25"/>
  <c r="T41" i="25" s="1"/>
  <c r="Y221" i="66" s="1"/>
  <c r="J46" i="41"/>
  <c r="I46" i="41" s="1"/>
  <c r="F80" i="41"/>
  <c r="E80" i="41" s="1"/>
  <c r="E70" i="41"/>
  <c r="D74" i="41"/>
  <c r="G43" i="44"/>
  <c r="J43" i="44" s="1"/>
  <c r="E112" i="41"/>
  <c r="E98" i="41"/>
  <c r="G99" i="41"/>
  <c r="E114" i="41"/>
  <c r="F48" i="44"/>
  <c r="I48" i="44" s="1"/>
  <c r="G24" i="42"/>
  <c r="I18" i="41"/>
  <c r="H80" i="41"/>
  <c r="G80" i="41" s="1"/>
  <c r="J24" i="41"/>
  <c r="I24" i="41" s="1"/>
  <c r="J30" i="41"/>
  <c r="I30" i="41" s="1"/>
  <c r="G73" i="41"/>
  <c r="G48" i="44"/>
  <c r="J48" i="44" s="1"/>
  <c r="F68" i="41"/>
  <c r="E68" i="41" s="1"/>
  <c r="L47" i="44"/>
  <c r="S47" i="44" s="1"/>
  <c r="F43" i="44"/>
  <c r="I43" i="44" s="1"/>
  <c r="J29" i="41"/>
  <c r="I29" i="41" s="1"/>
  <c r="D84" i="41"/>
  <c r="S226" i="26"/>
  <c r="T226" i="26" s="1"/>
  <c r="R228" i="26"/>
  <c r="S217" i="26"/>
  <c r="R219" i="26"/>
  <c r="R224" i="26" s="1"/>
  <c r="R246" i="26" s="1"/>
  <c r="P236" i="26"/>
  <c r="P245" i="26" s="1"/>
  <c r="O203" i="26"/>
  <c r="E63" i="41"/>
  <c r="H84" i="41"/>
  <c r="G84" i="41" s="1"/>
  <c r="H38" i="41"/>
  <c r="D14" i="41"/>
  <c r="D12" i="41" s="1"/>
  <c r="N14" i="29" s="1"/>
  <c r="E92" i="41"/>
  <c r="E99" i="41"/>
  <c r="D50" i="41"/>
  <c r="D49" i="41" s="1"/>
  <c r="E97" i="41"/>
  <c r="G98" i="41"/>
  <c r="F141" i="41"/>
  <c r="E101" i="41"/>
  <c r="G129" i="41"/>
  <c r="I65" i="43"/>
  <c r="D17" i="41"/>
  <c r="F140" i="41"/>
  <c r="H89" i="41"/>
  <c r="H13" i="41"/>
  <c r="G95" i="41"/>
  <c r="J9" i="41"/>
  <c r="I9" i="41" s="1"/>
  <c r="L41" i="44"/>
  <c r="S41" i="44" s="1"/>
  <c r="D58" i="41"/>
  <c r="G22" i="41"/>
  <c r="J38" i="41"/>
  <c r="I38" i="41" s="1"/>
  <c r="H14" i="41"/>
  <c r="G14" i="41" s="1"/>
  <c r="F13" i="41"/>
  <c r="E13" i="41" s="1"/>
  <c r="H9" i="41"/>
  <c r="L46" i="44"/>
  <c r="S46" i="44" s="1"/>
  <c r="E67" i="41"/>
  <c r="D152" i="41"/>
  <c r="J65" i="41"/>
  <c r="I65" i="41" s="1"/>
  <c r="G104" i="41"/>
  <c r="H67" i="41"/>
  <c r="J89" i="41"/>
  <c r="D153" i="41"/>
  <c r="F54" i="41"/>
  <c r="I67" i="41"/>
  <c r="E71" i="44"/>
  <c r="F49" i="44"/>
  <c r="I49" i="44" s="1"/>
  <c r="F17" i="41"/>
  <c r="G102" i="41"/>
  <c r="E70" i="44"/>
  <c r="E69" i="44"/>
  <c r="F65" i="41"/>
  <c r="E65" i="41" s="1"/>
  <c r="G93" i="41"/>
  <c r="I28" i="43"/>
  <c r="I34" i="43" s="1"/>
  <c r="F84" i="41"/>
  <c r="E84" i="41" s="1"/>
  <c r="I107" i="41"/>
  <c r="F152" i="41"/>
  <c r="J14" i="41"/>
  <c r="J13" i="41"/>
  <c r="I13" i="41" s="1"/>
  <c r="F153" i="41"/>
  <c r="F144" i="41"/>
  <c r="E68" i="44"/>
  <c r="G26" i="41"/>
  <c r="I15" i="43"/>
  <c r="H58" i="41"/>
  <c r="H17" i="41"/>
  <c r="E106" i="41"/>
  <c r="G106" i="41"/>
  <c r="G105" i="41"/>
  <c r="K106" i="41" s="1"/>
  <c r="F148" i="41"/>
  <c r="J63" i="41"/>
  <c r="G65" i="43"/>
  <c r="F134" i="41" s="1"/>
  <c r="F58" i="41"/>
  <c r="G114" i="41"/>
  <c r="H49" i="44"/>
  <c r="K49" i="44" s="1"/>
  <c r="H24" i="42"/>
  <c r="J24" i="42"/>
  <c r="J27" i="42" s="1"/>
  <c r="J35" i="42" s="1"/>
  <c r="J37" i="42" s="1"/>
  <c r="I24" i="42"/>
  <c r="N31" i="66"/>
  <c r="J26" i="66"/>
  <c r="AD178" i="66"/>
  <c r="X47" i="65"/>
  <c r="X23" i="65"/>
  <c r="F124" i="59"/>
  <c r="H22" i="26"/>
  <c r="H23" i="26" s="1"/>
  <c r="O236" i="26"/>
  <c r="O245" i="26" s="1"/>
  <c r="O233" i="26"/>
  <c r="P10" i="44"/>
  <c r="H10" i="44"/>
  <c r="H31" i="43"/>
  <c r="H131" i="41"/>
  <c r="V573" i="22"/>
  <c r="M577" i="22"/>
  <c r="F101" i="22"/>
  <c r="G84" i="26"/>
  <c r="U46" i="40"/>
  <c r="T47" i="40" s="1"/>
  <c r="T42" i="40"/>
  <c r="T46" i="40" s="1"/>
  <c r="G146" i="22"/>
  <c r="R233" i="26"/>
  <c r="R236" i="26"/>
  <c r="R245" i="26" s="1"/>
  <c r="L30" i="44"/>
  <c r="S30" i="44" s="1"/>
  <c r="J8" i="41"/>
  <c r="I8" i="41" s="1"/>
  <c r="I51" i="22"/>
  <c r="H100" i="22"/>
  <c r="F14" i="22"/>
  <c r="C4" i="26"/>
  <c r="G78" i="22"/>
  <c r="G86" i="22" s="1"/>
  <c r="G97" i="22" s="1"/>
  <c r="H61" i="26"/>
  <c r="I78" i="22" s="1"/>
  <c r="E69" i="26"/>
  <c r="H34" i="41"/>
  <c r="N93" i="40"/>
  <c r="O97" i="40"/>
  <c r="U97" i="40"/>
  <c r="F51" i="41"/>
  <c r="G34" i="43"/>
  <c r="H25" i="42" s="1"/>
  <c r="Z10" i="44"/>
  <c r="Q576" i="22"/>
  <c r="V430" i="22"/>
  <c r="P57" i="40"/>
  <c r="P59" i="40"/>
  <c r="P41" i="40"/>
  <c r="P43" i="40"/>
  <c r="P50" i="40"/>
  <c r="P48" i="40"/>
  <c r="P42" i="40"/>
  <c r="K30" i="43"/>
  <c r="F34" i="43"/>
  <c r="G25" i="42" s="1"/>
  <c r="V531" i="22"/>
  <c r="J124" i="40"/>
  <c r="J127" i="40"/>
  <c r="J126" i="40"/>
  <c r="J125" i="40"/>
  <c r="J129" i="40"/>
  <c r="V41" i="25"/>
  <c r="G116" i="22"/>
  <c r="G99" i="26"/>
  <c r="H99" i="26"/>
  <c r="I116" i="22" s="1"/>
  <c r="H71" i="26"/>
  <c r="I88" i="22" s="1"/>
  <c r="H88" i="22"/>
  <c r="H90" i="22" s="1"/>
  <c r="I43" i="41"/>
  <c r="J41" i="41"/>
  <c r="I41" i="41" s="1"/>
  <c r="J17" i="41"/>
  <c r="I17" i="41" s="1"/>
  <c r="I98" i="41"/>
  <c r="J58" i="41"/>
  <c r="I58" i="41" s="1"/>
  <c r="G55" i="41"/>
  <c r="F79" i="26"/>
  <c r="G25" i="29"/>
  <c r="Q228" i="26"/>
  <c r="M576" i="22"/>
  <c r="D41" i="26"/>
  <c r="F70" i="29"/>
  <c r="V506" i="22"/>
  <c r="D34" i="41"/>
  <c r="M34" i="41"/>
  <c r="J87" i="40"/>
  <c r="J68" i="40"/>
  <c r="J86" i="40"/>
  <c r="J76" i="40"/>
  <c r="J69" i="40"/>
  <c r="J91" i="40"/>
  <c r="J93" i="40"/>
  <c r="J78" i="40"/>
  <c r="J85" i="40"/>
  <c r="J73" i="40"/>
  <c r="J90" i="40"/>
  <c r="J92" i="40"/>
  <c r="J71" i="40"/>
  <c r="J74" i="40"/>
  <c r="H134" i="41"/>
  <c r="N95" i="41"/>
  <c r="N97" i="41" s="1"/>
  <c r="D139" i="41"/>
  <c r="D141" i="41"/>
  <c r="Q575" i="22"/>
  <c r="F112" i="25"/>
  <c r="G195" i="22" s="1"/>
  <c r="F51" i="29"/>
  <c r="I112" i="25" s="1"/>
  <c r="H195" i="22" s="1"/>
  <c r="Q198" i="26"/>
  <c r="R197" i="26"/>
  <c r="Q211" i="26"/>
  <c r="G98" i="26"/>
  <c r="H39" i="26"/>
  <c r="I145" i="22" s="1"/>
  <c r="G39" i="26"/>
  <c r="G167" i="22"/>
  <c r="M11" i="29"/>
  <c r="E110" i="26" s="1"/>
  <c r="U96" i="25"/>
  <c r="G119" i="22"/>
  <c r="G102" i="26"/>
  <c r="F94" i="22"/>
  <c r="D69" i="26"/>
  <c r="D80" i="26" s="1"/>
  <c r="H8" i="42"/>
  <c r="H32" i="42" s="1"/>
  <c r="T64" i="40"/>
  <c r="T68" i="40" s="1"/>
  <c r="U68" i="40"/>
  <c r="T69" i="40" s="1"/>
  <c r="J49" i="40"/>
  <c r="J51" i="40"/>
  <c r="J50" i="40"/>
  <c r="J48" i="40"/>
  <c r="J60" i="40"/>
  <c r="G83" i="26"/>
  <c r="G45" i="26"/>
  <c r="H44" i="44"/>
  <c r="K44" i="44" s="1"/>
  <c r="F44" i="44"/>
  <c r="I44" i="44" s="1"/>
  <c r="G44" i="44"/>
  <c r="J44" i="44" s="1"/>
  <c r="H94" i="22"/>
  <c r="F122" i="41"/>
  <c r="E122" i="41" s="1"/>
  <c r="I81" i="41"/>
  <c r="J80" i="41"/>
  <c r="I80" i="41" s="1"/>
  <c r="F35" i="26"/>
  <c r="G63" i="29"/>
  <c r="G156" i="22"/>
  <c r="G50" i="26"/>
  <c r="J56" i="40"/>
  <c r="J55" i="40"/>
  <c r="J44" i="40"/>
  <c r="J47" i="40"/>
  <c r="G72" i="41"/>
  <c r="H74" i="41"/>
  <c r="G74" i="41" s="1"/>
  <c r="I91" i="41"/>
  <c r="J55" i="41"/>
  <c r="G101" i="41"/>
  <c r="F50" i="41"/>
  <c r="L35" i="44"/>
  <c r="S35" i="44" s="1"/>
  <c r="AA40" i="44"/>
  <c r="F110" i="25"/>
  <c r="G193" i="22" s="1"/>
  <c r="J223" i="22"/>
  <c r="AA263" i="66" l="1"/>
  <c r="V284" i="22"/>
  <c r="U143" i="66"/>
  <c r="AD162" i="66" s="1"/>
  <c r="L233" i="22"/>
  <c r="AA255" i="66"/>
  <c r="V481" i="22"/>
  <c r="T30" i="65"/>
  <c r="X30" i="65" s="1"/>
  <c r="N576" i="22"/>
  <c r="AF575" i="22" s="1"/>
  <c r="U106" i="66"/>
  <c r="G76" i="41"/>
  <c r="G122" i="41"/>
  <c r="H102" i="26"/>
  <c r="I119" i="22" s="1"/>
  <c r="Q233" i="26"/>
  <c r="H34" i="43"/>
  <c r="I25" i="42" s="1"/>
  <c r="I27" i="42" s="1"/>
  <c r="I35" i="42" s="1"/>
  <c r="I37" i="42" s="1"/>
  <c r="I39" i="42" s="1"/>
  <c r="I41" i="42" s="1"/>
  <c r="M101" i="65"/>
  <c r="Y104" i="65" s="1"/>
  <c r="Z104" i="65" s="1"/>
  <c r="E130" i="41"/>
  <c r="H89" i="26"/>
  <c r="I106" i="22" s="1"/>
  <c r="F142" i="22"/>
  <c r="E128" i="41"/>
  <c r="L50" i="44"/>
  <c r="S50" i="44" s="1"/>
  <c r="G121" i="41"/>
  <c r="X59" i="65"/>
  <c r="V31" i="25"/>
  <c r="E96" i="41"/>
  <c r="F69" i="26"/>
  <c r="F174" i="26" s="1"/>
  <c r="J176" i="26" s="1"/>
  <c r="G91" i="41"/>
  <c r="F104" i="26"/>
  <c r="P144" i="40"/>
  <c r="P140" i="40"/>
  <c r="P142" i="40"/>
  <c r="P139" i="40"/>
  <c r="P146" i="40"/>
  <c r="Q150" i="40"/>
  <c r="P143" i="40"/>
  <c r="P141" i="40"/>
  <c r="P136" i="40"/>
  <c r="P138" i="40"/>
  <c r="P145" i="40"/>
  <c r="P137" i="40"/>
  <c r="G62" i="26"/>
  <c r="L150" i="40"/>
  <c r="M167" i="40"/>
  <c r="M173" i="40" s="1"/>
  <c r="N128" i="40"/>
  <c r="N126" i="40"/>
  <c r="N127" i="40"/>
  <c r="N125" i="40"/>
  <c r="N129" i="40"/>
  <c r="G116" i="41"/>
  <c r="G31" i="29"/>
  <c r="T58" i="40"/>
  <c r="H51" i="41"/>
  <c r="H49" i="41" s="1"/>
  <c r="T53" i="22"/>
  <c r="T54" i="22" s="1"/>
  <c r="V54" i="22" s="1"/>
  <c r="L43" i="44"/>
  <c r="S43" i="44" s="1"/>
  <c r="J4" i="41"/>
  <c r="I4" i="41" s="1"/>
  <c r="L48" i="44"/>
  <c r="S48" i="44" s="1"/>
  <c r="G8" i="42"/>
  <c r="G32" i="42" s="1"/>
  <c r="D134" i="41"/>
  <c r="D43" i="41" s="1"/>
  <c r="H120" i="59"/>
  <c r="U52" i="66" s="1"/>
  <c r="H212" i="22"/>
  <c r="J212" i="22" s="1"/>
  <c r="O57" i="66"/>
  <c r="O52" i="66"/>
  <c r="AA259" i="66"/>
  <c r="T34" i="65"/>
  <c r="X34" i="65" s="1"/>
  <c r="U119" i="66"/>
  <c r="V498" i="22"/>
  <c r="P576" i="22"/>
  <c r="D85" i="26"/>
  <c r="C32" i="29"/>
  <c r="T34" i="44"/>
  <c r="F78" i="22"/>
  <c r="F86" i="22" s="1"/>
  <c r="F97" i="22" s="1"/>
  <c r="F38" i="29"/>
  <c r="S59" i="40"/>
  <c r="T30" i="44"/>
  <c r="H124" i="59"/>
  <c r="U56" i="66" s="1"/>
  <c r="H216" i="22"/>
  <c r="F9" i="41"/>
  <c r="E9" i="41" s="1"/>
  <c r="H18" i="41"/>
  <c r="F38" i="41"/>
  <c r="G38" i="41" s="1"/>
  <c r="H141" i="41"/>
  <c r="F40" i="26"/>
  <c r="G69" i="29"/>
  <c r="G35" i="41"/>
  <c r="H121" i="59"/>
  <c r="U53" i="66" s="1"/>
  <c r="O58" i="66"/>
  <c r="O53" i="66"/>
  <c r="H213" i="22"/>
  <c r="J141" i="41"/>
  <c r="F139" i="41"/>
  <c r="D5" i="41"/>
  <c r="D18" i="41"/>
  <c r="D16" i="41" s="1"/>
  <c r="E16" i="41" s="1"/>
  <c r="AF10" i="44"/>
  <c r="J139" i="41"/>
  <c r="J128" i="40"/>
  <c r="H139" i="41"/>
  <c r="F89" i="41"/>
  <c r="G97" i="41"/>
  <c r="G128" i="41"/>
  <c r="E121" i="41"/>
  <c r="H127" i="59"/>
  <c r="U59" i="66" s="1"/>
  <c r="H219" i="22"/>
  <c r="E35" i="41"/>
  <c r="F5" i="41"/>
  <c r="F18" i="41"/>
  <c r="H126" i="59"/>
  <c r="U58" i="66" s="1"/>
  <c r="H218" i="22"/>
  <c r="J218" i="22" s="1"/>
  <c r="F33" i="41"/>
  <c r="M23" i="29" s="1"/>
  <c r="E38" i="26"/>
  <c r="F67" i="29"/>
  <c r="D71" i="29"/>
  <c r="D73" i="29" s="1"/>
  <c r="M41" i="29" s="1"/>
  <c r="G67" i="29"/>
  <c r="F29" i="41"/>
  <c r="E29" i="41" s="1"/>
  <c r="E125" i="41"/>
  <c r="AD267" i="66"/>
  <c r="AA267" i="66" s="1"/>
  <c r="F16" i="41"/>
  <c r="H119" i="59"/>
  <c r="O56" i="66"/>
  <c r="H211" i="22"/>
  <c r="J211" i="22" s="1"/>
  <c r="O51" i="66"/>
  <c r="F85" i="26"/>
  <c r="E32" i="29"/>
  <c r="T14" i="44"/>
  <c r="AD94" i="66"/>
  <c r="H140" i="41"/>
  <c r="H54" i="41"/>
  <c r="H53" i="41" s="1"/>
  <c r="S228" i="26"/>
  <c r="S233" i="26" s="1"/>
  <c r="U93" i="66"/>
  <c r="G76" i="29"/>
  <c r="H122" i="59"/>
  <c r="U54" i="66" s="1"/>
  <c r="H214" i="22"/>
  <c r="O59" i="66"/>
  <c r="O54" i="66"/>
  <c r="L124" i="40"/>
  <c r="F31" i="29"/>
  <c r="E85" i="26"/>
  <c r="D32" i="29"/>
  <c r="H125" i="59"/>
  <c r="U57" i="66" s="1"/>
  <c r="H217" i="22"/>
  <c r="H124" i="41"/>
  <c r="G124" i="41" s="1"/>
  <c r="H125" i="41"/>
  <c r="L115" i="41"/>
  <c r="D38" i="41"/>
  <c r="G78" i="41"/>
  <c r="E78" i="41"/>
  <c r="T21" i="44"/>
  <c r="AL10" i="44"/>
  <c r="D91" i="41"/>
  <c r="J52" i="40"/>
  <c r="J59" i="40"/>
  <c r="J46" i="40"/>
  <c r="J57" i="40"/>
  <c r="J54" i="40"/>
  <c r="J58" i="40"/>
  <c r="J41" i="40"/>
  <c r="J43" i="40"/>
  <c r="J45" i="40"/>
  <c r="J42" i="40"/>
  <c r="J53" i="40"/>
  <c r="W62" i="40"/>
  <c r="X62" i="40" s="1"/>
  <c r="U113" i="66"/>
  <c r="AD132" i="66" s="1"/>
  <c r="AA257" i="66"/>
  <c r="T32" i="65"/>
  <c r="X32" i="65" s="1"/>
  <c r="O576" i="22"/>
  <c r="V490" i="22"/>
  <c r="P233" i="26"/>
  <c r="E77" i="41"/>
  <c r="G77" i="41"/>
  <c r="G103" i="41"/>
  <c r="E124" i="41"/>
  <c r="N124" i="40"/>
  <c r="U177" i="66"/>
  <c r="U178" i="66" s="1"/>
  <c r="W178" i="66" s="1"/>
  <c r="K97" i="40"/>
  <c r="H137" i="22"/>
  <c r="H31" i="26"/>
  <c r="I137" i="22" s="1"/>
  <c r="O204" i="26"/>
  <c r="O234" i="26" s="1"/>
  <c r="N32" i="29"/>
  <c r="G8" i="29"/>
  <c r="H79" i="22"/>
  <c r="H86" i="22" s="1"/>
  <c r="H62" i="26"/>
  <c r="E76" i="41"/>
  <c r="H47" i="26"/>
  <c r="H92" i="26"/>
  <c r="G117" i="22"/>
  <c r="G121" i="22" s="1"/>
  <c r="G100" i="26"/>
  <c r="H100" i="26"/>
  <c r="I117" i="22" s="1"/>
  <c r="L32" i="29"/>
  <c r="D132" i="26" s="1"/>
  <c r="F15" i="29"/>
  <c r="G38" i="29"/>
  <c r="F8" i="29"/>
  <c r="I108" i="25" s="1"/>
  <c r="H191" i="22" s="1"/>
  <c r="F108" i="25"/>
  <c r="G191" i="22" s="1"/>
  <c r="M32" i="29"/>
  <c r="C73" i="29"/>
  <c r="K98" i="26"/>
  <c r="K99" i="26"/>
  <c r="K104" i="26"/>
  <c r="K97" i="26"/>
  <c r="K96" i="26"/>
  <c r="D131" i="41"/>
  <c r="E131" i="41" s="1"/>
  <c r="F31" i="43"/>
  <c r="G92" i="26"/>
  <c r="E104" i="26"/>
  <c r="H27" i="42"/>
  <c r="F132" i="41" s="1"/>
  <c r="L40" i="44"/>
  <c r="S40" i="44" s="1"/>
  <c r="J23" i="26"/>
  <c r="AA237" i="66"/>
  <c r="U182" i="66"/>
  <c r="W182" i="66" s="1"/>
  <c r="U97" i="25"/>
  <c r="Y229" i="66" s="1"/>
  <c r="H115" i="59"/>
  <c r="U47" i="66" s="1"/>
  <c r="U45" i="66"/>
  <c r="J205" i="22"/>
  <c r="U46" i="66"/>
  <c r="J206" i="22"/>
  <c r="G27" i="42"/>
  <c r="D132" i="42" s="1"/>
  <c r="M13" i="41"/>
  <c r="E14" i="41"/>
  <c r="E58" i="41"/>
  <c r="H12" i="41"/>
  <c r="L14" i="29" s="1"/>
  <c r="D14" i="26" s="1"/>
  <c r="F173" i="22" s="1"/>
  <c r="J31" i="41"/>
  <c r="I31" i="41" s="1"/>
  <c r="G23" i="29"/>
  <c r="F23" i="29"/>
  <c r="E73" i="29"/>
  <c r="G130" i="41"/>
  <c r="D26" i="29"/>
  <c r="Y233" i="66"/>
  <c r="T39" i="22"/>
  <c r="T40" i="22" s="1"/>
  <c r="V40" i="22" s="1"/>
  <c r="W83" i="25"/>
  <c r="Y227" i="66"/>
  <c r="U136" i="66"/>
  <c r="W136" i="66" s="1"/>
  <c r="Y231" i="66"/>
  <c r="W115" i="25"/>
  <c r="Y225" i="66"/>
  <c r="W63" i="25"/>
  <c r="F12" i="41"/>
  <c r="J28" i="41"/>
  <c r="I28" i="41" s="1"/>
  <c r="J39" i="42"/>
  <c r="J41" i="42" s="1"/>
  <c r="J46" i="42" s="1"/>
  <c r="G17" i="41"/>
  <c r="D154" i="41"/>
  <c r="Q236" i="26"/>
  <c r="Q245" i="26" s="1"/>
  <c r="T217" i="26"/>
  <c r="S219" i="26"/>
  <c r="U226" i="26"/>
  <c r="T228" i="26"/>
  <c r="T233" i="26" s="1"/>
  <c r="E17" i="41"/>
  <c r="G13" i="41"/>
  <c r="E54" i="41"/>
  <c r="F53" i="41"/>
  <c r="G58" i="41"/>
  <c r="G9" i="41"/>
  <c r="L44" i="44"/>
  <c r="S44" i="44" s="1"/>
  <c r="I32" i="43"/>
  <c r="I21" i="43"/>
  <c r="I31" i="43" s="1"/>
  <c r="I63" i="41"/>
  <c r="J61" i="41"/>
  <c r="I61" i="41" s="1"/>
  <c r="F155" i="41"/>
  <c r="L49" i="44"/>
  <c r="S49" i="44" s="1"/>
  <c r="I33" i="43"/>
  <c r="J12" i="41"/>
  <c r="I12" i="41" s="1"/>
  <c r="I14" i="41"/>
  <c r="H16" i="41"/>
  <c r="H68" i="41"/>
  <c r="G68" i="41" s="1"/>
  <c r="G67" i="41"/>
  <c r="H65" i="41"/>
  <c r="G65" i="41" s="1"/>
  <c r="J31" i="66"/>
  <c r="R26" i="66"/>
  <c r="R31" i="66" s="1"/>
  <c r="M130" i="65"/>
  <c r="R199" i="26"/>
  <c r="R198" i="26"/>
  <c r="S197" i="26"/>
  <c r="R211" i="26"/>
  <c r="H96" i="22"/>
  <c r="F80" i="26"/>
  <c r="H79" i="26"/>
  <c r="I96" i="22" s="1"/>
  <c r="W52" i="25"/>
  <c r="J214" i="22"/>
  <c r="I55" i="41"/>
  <c r="J53" i="41"/>
  <c r="I53" i="41" s="1"/>
  <c r="H141" i="22"/>
  <c r="H35" i="26"/>
  <c r="I141" i="22" s="1"/>
  <c r="F36" i="26"/>
  <c r="O208" i="26"/>
  <c r="J216" i="22"/>
  <c r="F147" i="22"/>
  <c r="F148" i="22" s="1"/>
  <c r="F150" i="22" s="1"/>
  <c r="G41" i="26"/>
  <c r="D42" i="26"/>
  <c r="D44" i="26" s="1"/>
  <c r="D48" i="26" s="1"/>
  <c r="H69" i="26"/>
  <c r="G69" i="26"/>
  <c r="E80" i="26"/>
  <c r="J217" i="22"/>
  <c r="F123" i="41"/>
  <c r="F43" i="41"/>
  <c r="E134" i="41"/>
  <c r="H43" i="41"/>
  <c r="G134" i="41"/>
  <c r="G22" i="40"/>
  <c r="E34" i="41"/>
  <c r="D33" i="41"/>
  <c r="Q10" i="44"/>
  <c r="K10" i="44"/>
  <c r="J213" i="22"/>
  <c r="J219" i="22"/>
  <c r="G50" i="41"/>
  <c r="E50" i="41"/>
  <c r="F47" i="41"/>
  <c r="F59" i="41"/>
  <c r="E51" i="41"/>
  <c r="F49" i="41"/>
  <c r="G51" i="41"/>
  <c r="H33" i="41"/>
  <c r="G34" i="41"/>
  <c r="F14" i="26"/>
  <c r="H173" i="22" s="1"/>
  <c r="P75" i="65" s="1"/>
  <c r="F114" i="26"/>
  <c r="G131" i="41"/>
  <c r="H59" i="41"/>
  <c r="H47" i="41"/>
  <c r="U94" i="66" l="1"/>
  <c r="W94" i="66" s="1"/>
  <c r="U161" i="66"/>
  <c r="U162" i="66" s="1"/>
  <c r="W162" i="66" s="1"/>
  <c r="U72" i="66"/>
  <c r="Y274" i="66" s="1"/>
  <c r="AA274" i="66" s="1"/>
  <c r="N233" i="22"/>
  <c r="W72" i="66" s="1"/>
  <c r="K101" i="26"/>
  <c r="K100" i="26"/>
  <c r="K103" i="26"/>
  <c r="K102" i="26"/>
  <c r="G71" i="29"/>
  <c r="F71" i="29"/>
  <c r="O30" i="29" s="1"/>
  <c r="G130" i="26" s="1"/>
  <c r="X37" i="65"/>
  <c r="T575" i="22"/>
  <c r="T576" i="22" s="1"/>
  <c r="T577" i="22" s="1"/>
  <c r="K219" i="22"/>
  <c r="X59" i="66" s="1"/>
  <c r="W97" i="25"/>
  <c r="H97" i="22"/>
  <c r="K218" i="22"/>
  <c r="X58" i="66" s="1"/>
  <c r="E5" i="41"/>
  <c r="P150" i="40"/>
  <c r="Q167" i="40"/>
  <c r="Q173" i="40" s="1"/>
  <c r="Q178" i="40" s="1"/>
  <c r="Q93" i="40" s="1"/>
  <c r="Q78" i="40" s="1"/>
  <c r="Q95" i="40" s="1"/>
  <c r="O167" i="40"/>
  <c r="O173" i="40" s="1"/>
  <c r="N150" i="40"/>
  <c r="D77" i="29"/>
  <c r="D82" i="29" s="1"/>
  <c r="E18" i="41"/>
  <c r="E38" i="41"/>
  <c r="H132" i="41"/>
  <c r="G132" i="41" s="1"/>
  <c r="I45" i="42"/>
  <c r="I46" i="42"/>
  <c r="I47" i="42"/>
  <c r="G125" i="41"/>
  <c r="H29" i="41"/>
  <c r="G29" i="41" s="1"/>
  <c r="F32" i="29"/>
  <c r="D39" i="29"/>
  <c r="M34" i="29" s="1"/>
  <c r="E134" i="26" s="1"/>
  <c r="G38" i="26"/>
  <c r="H38" i="26"/>
  <c r="I144" i="22" s="1"/>
  <c r="G144" i="22"/>
  <c r="G148" i="22" s="1"/>
  <c r="G150" i="22" s="1"/>
  <c r="E42" i="26"/>
  <c r="E44" i="26" s="1"/>
  <c r="E48" i="26" s="1"/>
  <c r="F30" i="41"/>
  <c r="H35" i="42"/>
  <c r="H37" i="42" s="1"/>
  <c r="H39" i="42" s="1"/>
  <c r="H41" i="42" s="1"/>
  <c r="F133" i="41" s="1"/>
  <c r="M15" i="29"/>
  <c r="E115" i="26" s="1"/>
  <c r="H123" i="41"/>
  <c r="D55" i="41"/>
  <c r="E91" i="41"/>
  <c r="G102" i="22"/>
  <c r="G103" i="22" s="1"/>
  <c r="G110" i="22" s="1"/>
  <c r="G123" i="22" s="1"/>
  <c r="E86" i="26"/>
  <c r="G85" i="26"/>
  <c r="G32" i="29"/>
  <c r="E19" i="26"/>
  <c r="G178" i="22" s="1"/>
  <c r="E123" i="26"/>
  <c r="C39" i="29"/>
  <c r="H142" i="22"/>
  <c r="G16" i="41"/>
  <c r="E39" i="29"/>
  <c r="U131" i="66"/>
  <c r="U132" i="66" s="1"/>
  <c r="W132" i="66" s="1"/>
  <c r="F86" i="26"/>
  <c r="H102" i="22"/>
  <c r="H103" i="22" s="1"/>
  <c r="H110" i="22" s="1"/>
  <c r="H123" i="22" s="1"/>
  <c r="H85" i="26"/>
  <c r="I102" i="22" s="1"/>
  <c r="U51" i="66"/>
  <c r="H137" i="59"/>
  <c r="D9" i="45" s="1"/>
  <c r="F102" i="22"/>
  <c r="F103" i="22" s="1"/>
  <c r="F110" i="22" s="1"/>
  <c r="F123" i="22" s="1"/>
  <c r="D86" i="26"/>
  <c r="D93" i="26" s="1"/>
  <c r="G5" i="41"/>
  <c r="G18" i="41"/>
  <c r="G54" i="41"/>
  <c r="D123" i="41"/>
  <c r="D30" i="41" s="1"/>
  <c r="J150" i="40"/>
  <c r="H40" i="26"/>
  <c r="I146" i="22" s="1"/>
  <c r="H146" i="22"/>
  <c r="H148" i="22" s="1"/>
  <c r="F42" i="26"/>
  <c r="L41" i="29"/>
  <c r="C77" i="29"/>
  <c r="F73" i="29"/>
  <c r="P204" i="26"/>
  <c r="O205" i="26"/>
  <c r="O206" i="26" s="1"/>
  <c r="D89" i="29"/>
  <c r="D83" i="29"/>
  <c r="H104" i="26"/>
  <c r="I121" i="22" s="1"/>
  <c r="G104" i="26"/>
  <c r="D59" i="41"/>
  <c r="E59" i="41" s="1"/>
  <c r="D47" i="41"/>
  <c r="D45" i="41" s="1"/>
  <c r="N25" i="29" s="1"/>
  <c r="E132" i="26"/>
  <c r="O32" i="29"/>
  <c r="G132" i="26" s="1"/>
  <c r="H37" i="29"/>
  <c r="H34" i="29"/>
  <c r="H36" i="29"/>
  <c r="E53" i="29"/>
  <c r="N18" i="29"/>
  <c r="H30" i="29"/>
  <c r="H31" i="29"/>
  <c r="H39" i="29"/>
  <c r="N34" i="29"/>
  <c r="H29" i="29"/>
  <c r="H32" i="29"/>
  <c r="H35" i="29"/>
  <c r="H38" i="29"/>
  <c r="L15" i="29"/>
  <c r="D115" i="26" s="1"/>
  <c r="C26" i="29"/>
  <c r="N15" i="29"/>
  <c r="G15" i="29"/>
  <c r="E26" i="29"/>
  <c r="F132" i="26"/>
  <c r="P32" i="29"/>
  <c r="H132" i="26" s="1"/>
  <c r="J207" i="22"/>
  <c r="D132" i="41"/>
  <c r="D10" i="41" s="1"/>
  <c r="D8" i="41" s="1"/>
  <c r="G35" i="42"/>
  <c r="G37" i="42" s="1"/>
  <c r="G39" i="42" s="1"/>
  <c r="G41" i="42" s="1"/>
  <c r="G46" i="42" s="1"/>
  <c r="I44" i="42"/>
  <c r="H133" i="41"/>
  <c r="H42" i="41" s="1"/>
  <c r="AD234" i="66"/>
  <c r="AA219" i="66" s="1"/>
  <c r="Y270" i="66" s="1"/>
  <c r="D114" i="26"/>
  <c r="G12" i="41"/>
  <c r="J45" i="42"/>
  <c r="L10" i="44"/>
  <c r="S10" i="44" s="1"/>
  <c r="T10" i="44" s="1"/>
  <c r="D37" i="44" s="1"/>
  <c r="F55" i="44" s="1"/>
  <c r="G73" i="29"/>
  <c r="N41" i="29"/>
  <c r="E77" i="29"/>
  <c r="M37" i="29"/>
  <c r="E137" i="26" s="1"/>
  <c r="M17" i="29"/>
  <c r="M31" i="29"/>
  <c r="J44" i="42"/>
  <c r="J47" i="42"/>
  <c r="M14" i="29"/>
  <c r="E12" i="41"/>
  <c r="V226" i="26"/>
  <c r="U228" i="26"/>
  <c r="U233" i="26" s="1"/>
  <c r="S224" i="26"/>
  <c r="S246" i="26" s="1"/>
  <c r="S236" i="26"/>
  <c r="S245" i="26" s="1"/>
  <c r="U217" i="26"/>
  <c r="T219" i="26"/>
  <c r="T40" i="44"/>
  <c r="E51" i="44" s="1"/>
  <c r="F56" i="44" s="1"/>
  <c r="G53" i="41"/>
  <c r="Y133" i="65"/>
  <c r="Z133" i="65" s="1"/>
  <c r="N155" i="65"/>
  <c r="O138" i="65"/>
  <c r="G80" i="26"/>
  <c r="H80" i="26"/>
  <c r="I97" i="22" s="1"/>
  <c r="K60" i="26"/>
  <c r="K72" i="26"/>
  <c r="K69" i="26"/>
  <c r="I86" i="22" s="1"/>
  <c r="K80" i="26"/>
  <c r="K75" i="26"/>
  <c r="K62" i="26"/>
  <c r="I79" i="22" s="1"/>
  <c r="K77" i="26"/>
  <c r="I94" i="22" s="1"/>
  <c r="K71" i="26"/>
  <c r="K68" i="26"/>
  <c r="K63" i="26"/>
  <c r="K79" i="26"/>
  <c r="K76" i="26"/>
  <c r="K65" i="26"/>
  <c r="K73" i="26"/>
  <c r="I90" i="22" s="1"/>
  <c r="K66" i="26"/>
  <c r="K64" i="26"/>
  <c r="K67" i="26"/>
  <c r="K61" i="26"/>
  <c r="G59" i="41"/>
  <c r="H57" i="41"/>
  <c r="F57" i="41"/>
  <c r="E43" i="41"/>
  <c r="F154" i="22"/>
  <c r="F158" i="22" s="1"/>
  <c r="D52" i="26"/>
  <c r="J229" i="22"/>
  <c r="U69" i="66" s="1"/>
  <c r="G47" i="41"/>
  <c r="H45" i="41"/>
  <c r="L23" i="29"/>
  <c r="G33" i="41"/>
  <c r="P208" i="26"/>
  <c r="S198" i="26"/>
  <c r="S199" i="26"/>
  <c r="S211" i="26"/>
  <c r="T197" i="26"/>
  <c r="E49" i="41"/>
  <c r="G49" i="41"/>
  <c r="F45" i="41"/>
  <c r="N23" i="29"/>
  <c r="E33" i="41"/>
  <c r="G43" i="41"/>
  <c r="D106" i="26"/>
  <c r="D105" i="26"/>
  <c r="J150" i="26"/>
  <c r="O209" i="26"/>
  <c r="P209" i="26" s="1"/>
  <c r="Q209" i="26" s="1"/>
  <c r="R209" i="26" s="1"/>
  <c r="S209" i="26" s="1"/>
  <c r="T209" i="26" s="1"/>
  <c r="U209" i="26" s="1"/>
  <c r="V209" i="26" s="1"/>
  <c r="W209" i="26" s="1"/>
  <c r="X209" i="26" s="1"/>
  <c r="Y209" i="26" s="1"/>
  <c r="H36" i="26"/>
  <c r="I142" i="22" s="1"/>
  <c r="J146" i="26"/>
  <c r="F6" i="41"/>
  <c r="F10" i="41"/>
  <c r="F39" i="41"/>
  <c r="E47" i="41" l="1"/>
  <c r="F44" i="26"/>
  <c r="G137" i="59"/>
  <c r="G138" i="59" s="1"/>
  <c r="G39" i="29"/>
  <c r="P23" i="29" s="1"/>
  <c r="H123" i="26" s="1"/>
  <c r="G44" i="26"/>
  <c r="G42" i="26"/>
  <c r="O15" i="29"/>
  <c r="G115" i="26" s="1"/>
  <c r="G44" i="42"/>
  <c r="D57" i="41"/>
  <c r="N19" i="29" s="1"/>
  <c r="H45" i="42"/>
  <c r="D6" i="41"/>
  <c r="D4" i="41" s="1"/>
  <c r="N16" i="29" s="1"/>
  <c r="F15" i="26" s="1"/>
  <c r="H174" i="22" s="1"/>
  <c r="P76" i="65" s="1"/>
  <c r="H46" i="42"/>
  <c r="G133" i="41"/>
  <c r="D39" i="41"/>
  <c r="D37" i="41" s="1"/>
  <c r="H47" i="42"/>
  <c r="E132" i="41"/>
  <c r="D133" i="41"/>
  <c r="D42" i="41" s="1"/>
  <c r="H44" i="42"/>
  <c r="H10" i="41"/>
  <c r="H8" i="41" s="1"/>
  <c r="H39" i="41"/>
  <c r="H37" i="41" s="1"/>
  <c r="H6" i="41"/>
  <c r="H4" i="41" s="1"/>
  <c r="G47" i="42"/>
  <c r="K178" i="40"/>
  <c r="M203" i="40" s="1"/>
  <c r="M204" i="40" s="1"/>
  <c r="D126" i="41"/>
  <c r="F93" i="26"/>
  <c r="H86" i="26"/>
  <c r="H138" i="59"/>
  <c r="P86" i="40"/>
  <c r="P77" i="40"/>
  <c r="P73" i="40"/>
  <c r="P84" i="40"/>
  <c r="P83" i="40"/>
  <c r="P76" i="40"/>
  <c r="P71" i="40"/>
  <c r="P70" i="40"/>
  <c r="Q97" i="40"/>
  <c r="P69" i="40"/>
  <c r="P85" i="40"/>
  <c r="P87" i="40"/>
  <c r="P82" i="40"/>
  <c r="P75" i="40"/>
  <c r="P72" i="40"/>
  <c r="P88" i="40"/>
  <c r="P66" i="40"/>
  <c r="P89" i="40"/>
  <c r="P91" i="40"/>
  <c r="P68" i="40"/>
  <c r="P81" i="40"/>
  <c r="P67" i="40"/>
  <c r="P65" i="40"/>
  <c r="P90" i="40"/>
  <c r="P92" i="40"/>
  <c r="P74" i="40"/>
  <c r="P93" i="40"/>
  <c r="E55" i="41"/>
  <c r="D53" i="41"/>
  <c r="E53" i="41" s="1"/>
  <c r="F31" i="41"/>
  <c r="E30" i="41"/>
  <c r="F28" i="41"/>
  <c r="M178" i="40"/>
  <c r="F126" i="41"/>
  <c r="J154" i="26"/>
  <c r="J157" i="26" s="1"/>
  <c r="F163" i="26" s="1"/>
  <c r="J162" i="26" s="1"/>
  <c r="F169" i="26" s="1"/>
  <c r="J168" i="26" s="1"/>
  <c r="H42" i="26"/>
  <c r="H150" i="22"/>
  <c r="E93" i="26"/>
  <c r="G86" i="26"/>
  <c r="H126" i="41"/>
  <c r="O178" i="40"/>
  <c r="E123" i="41"/>
  <c r="D31" i="41"/>
  <c r="D28" i="41"/>
  <c r="N30" i="29" s="1"/>
  <c r="L18" i="29"/>
  <c r="D118" i="26" s="1"/>
  <c r="C53" i="29"/>
  <c r="G123" i="41"/>
  <c r="H30" i="41"/>
  <c r="P78" i="40"/>
  <c r="D53" i="29"/>
  <c r="G53" i="29" s="1"/>
  <c r="F39" i="29"/>
  <c r="O23" i="29" s="1"/>
  <c r="G123" i="26" s="1"/>
  <c r="M18" i="29"/>
  <c r="P18" i="29" s="1"/>
  <c r="H118" i="26" s="1"/>
  <c r="M22" i="29"/>
  <c r="D52" i="29"/>
  <c r="L34" i="29"/>
  <c r="F123" i="26"/>
  <c r="F19" i="26"/>
  <c r="H23" i="29"/>
  <c r="H6" i="29"/>
  <c r="H26" i="29"/>
  <c r="H10" i="29"/>
  <c r="H14" i="29"/>
  <c r="H17" i="29"/>
  <c r="N17" i="29"/>
  <c r="F117" i="26" s="1"/>
  <c r="H21" i="29"/>
  <c r="H13" i="29"/>
  <c r="H7" i="29"/>
  <c r="H8" i="29"/>
  <c r="H11" i="29"/>
  <c r="H12" i="29"/>
  <c r="H9" i="29"/>
  <c r="H19" i="29"/>
  <c r="H22" i="29"/>
  <c r="N31" i="29"/>
  <c r="N37" i="29"/>
  <c r="F137" i="26" s="1"/>
  <c r="G26" i="29"/>
  <c r="H18" i="29"/>
  <c r="H25" i="29"/>
  <c r="F115" i="26"/>
  <c r="P15" i="29"/>
  <c r="H115" i="26" s="1"/>
  <c r="E54" i="29"/>
  <c r="F20" i="26"/>
  <c r="H179" i="22" s="1"/>
  <c r="P81" i="65" s="1"/>
  <c r="F125" i="26"/>
  <c r="J230" i="22"/>
  <c r="U70" i="66" s="1"/>
  <c r="E52" i="29"/>
  <c r="N22" i="29"/>
  <c r="D123" i="26"/>
  <c r="D19" i="26"/>
  <c r="L31" i="29"/>
  <c r="F26" i="29"/>
  <c r="C54" i="29"/>
  <c r="C52" i="29"/>
  <c r="L22" i="29"/>
  <c r="L17" i="29"/>
  <c r="L37" i="29"/>
  <c r="P34" i="29"/>
  <c r="H134" i="26" s="1"/>
  <c r="F134" i="26"/>
  <c r="F118" i="26"/>
  <c r="P205" i="26"/>
  <c r="P206" i="26" s="1"/>
  <c r="P214" i="26" s="1"/>
  <c r="P234" i="26"/>
  <c r="Q204" i="26"/>
  <c r="C82" i="29"/>
  <c r="F77" i="29"/>
  <c r="H15" i="29"/>
  <c r="K211" i="22"/>
  <c r="X51" i="66" s="1"/>
  <c r="K224" i="22"/>
  <c r="X64" i="66" s="1"/>
  <c r="K223" i="22"/>
  <c r="X63" i="66" s="1"/>
  <c r="K212" i="22"/>
  <c r="X52" i="66" s="1"/>
  <c r="K222" i="22"/>
  <c r="X62" i="66" s="1"/>
  <c r="K228" i="22"/>
  <c r="X68" i="66" s="1"/>
  <c r="K217" i="22"/>
  <c r="X57" i="66" s="1"/>
  <c r="K213" i="22"/>
  <c r="X53" i="66" s="1"/>
  <c r="K227" i="22"/>
  <c r="X67" i="66" s="1"/>
  <c r="K214" i="22"/>
  <c r="X54" i="66" s="1"/>
  <c r="K216" i="22"/>
  <c r="X56" i="66" s="1"/>
  <c r="G45" i="42"/>
  <c r="E77" i="44"/>
  <c r="AD270" i="66"/>
  <c r="F57" i="44"/>
  <c r="D60" i="44" s="1"/>
  <c r="F60" i="44" s="1"/>
  <c r="G6" i="41"/>
  <c r="F4" i="41"/>
  <c r="E18" i="26"/>
  <c r="G177" i="22" s="1"/>
  <c r="E131" i="26"/>
  <c r="P31" i="29"/>
  <c r="H131" i="26" s="1"/>
  <c r="E117" i="26"/>
  <c r="E82" i="29"/>
  <c r="G77" i="29"/>
  <c r="AA270" i="66"/>
  <c r="AD280" i="66"/>
  <c r="Y278" i="66" s="1"/>
  <c r="AA278" i="66" s="1"/>
  <c r="D11" i="45" s="1"/>
  <c r="D35" i="45" s="1"/>
  <c r="E114" i="26"/>
  <c r="E14" i="26"/>
  <c r="G173" i="22" s="1"/>
  <c r="P14" i="29"/>
  <c r="H114" i="26" s="1"/>
  <c r="O14" i="29"/>
  <c r="G114" i="26" s="1"/>
  <c r="T224" i="26"/>
  <c r="T246" i="26" s="1"/>
  <c r="T236" i="26"/>
  <c r="T245" i="26" s="1"/>
  <c r="U219" i="26"/>
  <c r="V217" i="26"/>
  <c r="W226" i="26"/>
  <c r="V228" i="26"/>
  <c r="V233" i="26" s="1"/>
  <c r="Y158" i="65"/>
  <c r="Z158" i="65" s="1"/>
  <c r="O164" i="65"/>
  <c r="Y282" i="66" s="1"/>
  <c r="AA282" i="66" s="1"/>
  <c r="E10" i="41"/>
  <c r="F8" i="41"/>
  <c r="E8" i="41" s="1"/>
  <c r="D34" i="45"/>
  <c r="E52" i="26"/>
  <c r="G52" i="26" s="1"/>
  <c r="G154" i="22"/>
  <c r="G158" i="22" s="1"/>
  <c r="G48" i="26"/>
  <c r="D107" i="26"/>
  <c r="E45" i="41"/>
  <c r="M25" i="29"/>
  <c r="K229" i="22"/>
  <c r="X69" i="66" s="1"/>
  <c r="D41" i="41"/>
  <c r="N21" i="29" s="1"/>
  <c r="G23" i="40"/>
  <c r="F42" i="41"/>
  <c r="E133" i="41"/>
  <c r="L16" i="29"/>
  <c r="M179" i="40"/>
  <c r="H41" i="41"/>
  <c r="T199" i="26"/>
  <c r="T198" i="26"/>
  <c r="U197" i="26"/>
  <c r="T211" i="26"/>
  <c r="O214" i="26"/>
  <c r="O235" i="26" s="1"/>
  <c r="P196" i="26" s="1"/>
  <c r="P203" i="26" s="1"/>
  <c r="E39" i="41"/>
  <c r="F37" i="41"/>
  <c r="H44" i="26"/>
  <c r="F48" i="26"/>
  <c r="Q208" i="26"/>
  <c r="G45" i="41"/>
  <c r="L25" i="29"/>
  <c r="E57" i="41"/>
  <c r="M19" i="29"/>
  <c r="G57" i="41"/>
  <c r="L19" i="29"/>
  <c r="P17" i="29" l="1"/>
  <c r="H117" i="26" s="1"/>
  <c r="G10" i="41"/>
  <c r="F116" i="26"/>
  <c r="W178" i="40"/>
  <c r="X178" i="40" s="1"/>
  <c r="H171" i="22"/>
  <c r="P73" i="65" s="1"/>
  <c r="F119" i="26"/>
  <c r="P37" i="29"/>
  <c r="H137" i="26" s="1"/>
  <c r="E6" i="41"/>
  <c r="E4" i="41"/>
  <c r="E37" i="41"/>
  <c r="G39" i="41"/>
  <c r="D61" i="44"/>
  <c r="F61" i="44" s="1"/>
  <c r="D134" i="26"/>
  <c r="O34" i="29"/>
  <c r="G134" i="26" s="1"/>
  <c r="D54" i="29"/>
  <c r="F53" i="29"/>
  <c r="E106" i="26"/>
  <c r="E105" i="26"/>
  <c r="G93" i="26"/>
  <c r="F62" i="41"/>
  <c r="F21" i="41"/>
  <c r="F25" i="41"/>
  <c r="E126" i="41"/>
  <c r="E31" i="41"/>
  <c r="K86" i="26"/>
  <c r="I103" i="22" s="1"/>
  <c r="K93" i="26"/>
  <c r="K84" i="26"/>
  <c r="H93" i="26"/>
  <c r="I110" i="22" s="1"/>
  <c r="F105" i="26"/>
  <c r="K83" i="26"/>
  <c r="F106" i="26"/>
  <c r="K85" i="26"/>
  <c r="K89" i="26"/>
  <c r="K91" i="26"/>
  <c r="K92" i="26"/>
  <c r="I109" i="22" s="1"/>
  <c r="K88" i="26"/>
  <c r="K90" i="26"/>
  <c r="M36" i="29"/>
  <c r="E136" i="26" s="1"/>
  <c r="E122" i="26"/>
  <c r="O179" i="40"/>
  <c r="O203" i="40"/>
  <c r="D21" i="41"/>
  <c r="D20" i="41" s="1"/>
  <c r="N27" i="29" s="1"/>
  <c r="D25" i="41"/>
  <c r="D24" i="41" s="1"/>
  <c r="N26" i="29" s="1"/>
  <c r="D62" i="41"/>
  <c r="D61" i="41" s="1"/>
  <c r="L123" i="41"/>
  <c r="L124" i="41" s="1"/>
  <c r="F178" i="22"/>
  <c r="H178" i="22"/>
  <c r="P80" i="65" s="1"/>
  <c r="E118" i="26"/>
  <c r="O18" i="29"/>
  <c r="G118" i="26" s="1"/>
  <c r="G30" i="41"/>
  <c r="H31" i="41"/>
  <c r="G31" i="41" s="1"/>
  <c r="H28" i="41"/>
  <c r="F13" i="26"/>
  <c r="H172" i="22" s="1"/>
  <c r="P74" i="65" s="1"/>
  <c r="F130" i="26"/>
  <c r="H62" i="41"/>
  <c r="G126" i="41"/>
  <c r="H25" i="41"/>
  <c r="H21" i="41"/>
  <c r="E28" i="41"/>
  <c r="M30" i="29"/>
  <c r="K204" i="40"/>
  <c r="K179" i="40"/>
  <c r="Q234" i="26"/>
  <c r="R204" i="26"/>
  <c r="Q205" i="26"/>
  <c r="Q206" i="26" s="1"/>
  <c r="O37" i="29"/>
  <c r="G137" i="26" s="1"/>
  <c r="D137" i="26"/>
  <c r="D122" i="26"/>
  <c r="O22" i="29"/>
  <c r="G122" i="26" s="1"/>
  <c r="L36" i="29"/>
  <c r="O31" i="29"/>
  <c r="G131" i="26" s="1"/>
  <c r="D131" i="26"/>
  <c r="D18" i="26"/>
  <c r="F177" i="22" s="1"/>
  <c r="F18" i="26"/>
  <c r="H177" i="22" s="1"/>
  <c r="P79" i="65" s="1"/>
  <c r="F131" i="26"/>
  <c r="C83" i="29"/>
  <c r="C89" i="29"/>
  <c r="D117" i="26"/>
  <c r="O17" i="29"/>
  <c r="G117" i="26" s="1"/>
  <c r="N36" i="29"/>
  <c r="F122" i="26"/>
  <c r="P22" i="29"/>
  <c r="H122" i="26" s="1"/>
  <c r="D64" i="44"/>
  <c r="F64" i="44" s="1"/>
  <c r="D62" i="44"/>
  <c r="F62" i="44" s="1"/>
  <c r="F65" i="44" s="1"/>
  <c r="E79" i="44" s="1"/>
  <c r="E80" i="44" s="1"/>
  <c r="G96" i="44" s="1"/>
  <c r="D12" i="45"/>
  <c r="D36" i="45" s="1"/>
  <c r="D38" i="45" s="1"/>
  <c r="G4" i="41"/>
  <c r="G8" i="41"/>
  <c r="E83" i="29"/>
  <c r="F82" i="29"/>
  <c r="E89" i="29"/>
  <c r="G82" i="29"/>
  <c r="W217" i="26"/>
  <c r="V219" i="26"/>
  <c r="U224" i="26"/>
  <c r="U246" i="26" s="1"/>
  <c r="U236" i="26"/>
  <c r="U245" i="26" s="1"/>
  <c r="X226" i="26"/>
  <c r="W228" i="26"/>
  <c r="W233" i="26" s="1"/>
  <c r="G37" i="41"/>
  <c r="D15" i="26"/>
  <c r="F174" i="22" s="1"/>
  <c r="D116" i="26"/>
  <c r="O19" i="29"/>
  <c r="G119" i="26" s="1"/>
  <c r="G171" i="22"/>
  <c r="E119" i="26"/>
  <c r="P19" i="29"/>
  <c r="H119" i="26" s="1"/>
  <c r="J170" i="26"/>
  <c r="J172" i="26" s="1"/>
  <c r="J179" i="26" s="1"/>
  <c r="D182" i="26" s="1"/>
  <c r="O207" i="66" s="1"/>
  <c r="P235" i="26"/>
  <c r="Q196" i="26" s="1"/>
  <c r="Q203" i="26" s="1"/>
  <c r="O25" i="29"/>
  <c r="G125" i="26" s="1"/>
  <c r="E125" i="26"/>
  <c r="P25" i="29"/>
  <c r="H125" i="26" s="1"/>
  <c r="E20" i="26"/>
  <c r="G179" i="22" s="1"/>
  <c r="F121" i="26"/>
  <c r="F11" i="26"/>
  <c r="H170" i="22" s="1"/>
  <c r="P72" i="65" s="1"/>
  <c r="R208" i="26"/>
  <c r="L21" i="29"/>
  <c r="E42" i="41"/>
  <c r="F41" i="41"/>
  <c r="K230" i="22"/>
  <c r="X70" i="66" s="1"/>
  <c r="D119" i="26"/>
  <c r="F171" i="22"/>
  <c r="D125" i="26"/>
  <c r="D20" i="26"/>
  <c r="F179" i="22" s="1"/>
  <c r="H48" i="26"/>
  <c r="I154" i="22" s="1"/>
  <c r="H154" i="22"/>
  <c r="H158" i="22" s="1"/>
  <c r="F52" i="26"/>
  <c r="K48" i="26" s="1"/>
  <c r="U211" i="26"/>
  <c r="V197" i="26"/>
  <c r="U198" i="26"/>
  <c r="U199" i="26"/>
  <c r="M16" i="29"/>
  <c r="G42" i="41"/>
  <c r="Q214" i="26" l="1"/>
  <c r="Q235" i="26" s="1"/>
  <c r="R196" i="26" s="1"/>
  <c r="R203" i="26" s="1"/>
  <c r="G62" i="41"/>
  <c r="H61" i="41"/>
  <c r="F126" i="26"/>
  <c r="F17" i="26"/>
  <c r="H176" i="22" s="1"/>
  <c r="P78" i="65" s="1"/>
  <c r="F107" i="26"/>
  <c r="H106" i="26"/>
  <c r="I123" i="22" s="1"/>
  <c r="E130" i="26"/>
  <c r="E13" i="26"/>
  <c r="G172" i="22" s="1"/>
  <c r="P30" i="29"/>
  <c r="H130" i="26" s="1"/>
  <c r="G28" i="41"/>
  <c r="L30" i="29"/>
  <c r="F61" i="41"/>
  <c r="E61" i="41" s="1"/>
  <c r="E62" i="41"/>
  <c r="G21" i="41"/>
  <c r="H20" i="41"/>
  <c r="F127" i="26"/>
  <c r="F16" i="26"/>
  <c r="H175" i="22" s="1"/>
  <c r="P77" i="65" s="1"/>
  <c r="F24" i="41"/>
  <c r="E25" i="41"/>
  <c r="G25" i="41"/>
  <c r="H24" i="41"/>
  <c r="F20" i="41"/>
  <c r="E21" i="41"/>
  <c r="E107" i="26"/>
  <c r="G106" i="26"/>
  <c r="F136" i="26"/>
  <c r="P36" i="29"/>
  <c r="H136" i="26" s="1"/>
  <c r="D136" i="26"/>
  <c r="O36" i="29"/>
  <c r="G136" i="26" s="1"/>
  <c r="R205" i="26"/>
  <c r="R206" i="26" s="1"/>
  <c r="R214" i="26" s="1"/>
  <c r="R234" i="26"/>
  <c r="S204" i="26"/>
  <c r="V224" i="26"/>
  <c r="V246" i="26" s="1"/>
  <c r="V236" i="26"/>
  <c r="V245" i="26" s="1"/>
  <c r="Y226" i="26"/>
  <c r="Y228" i="26" s="1"/>
  <c r="Y233" i="26" s="1"/>
  <c r="X228" i="26"/>
  <c r="X233" i="26" s="1"/>
  <c r="X217" i="26"/>
  <c r="W219" i="26"/>
  <c r="E15" i="26"/>
  <c r="G174" i="22" s="1"/>
  <c r="E116" i="26"/>
  <c r="O16" i="29"/>
  <c r="G116" i="26" s="1"/>
  <c r="P16" i="29"/>
  <c r="H116" i="26" s="1"/>
  <c r="W197" i="26"/>
  <c r="V211" i="26"/>
  <c r="V198" i="26"/>
  <c r="V199" i="26"/>
  <c r="S208" i="26"/>
  <c r="E41" i="41"/>
  <c r="M21" i="29"/>
  <c r="K50" i="26"/>
  <c r="K49" i="26"/>
  <c r="K52" i="26"/>
  <c r="K41" i="26"/>
  <c r="K46" i="26"/>
  <c r="K32" i="26"/>
  <c r="K39" i="26"/>
  <c r="K45" i="26"/>
  <c r="K47" i="26"/>
  <c r="K33" i="26"/>
  <c r="K40" i="26"/>
  <c r="K31" i="26"/>
  <c r="H52" i="26"/>
  <c r="I158" i="22" s="1"/>
  <c r="K34" i="26"/>
  <c r="K38" i="26"/>
  <c r="K42" i="26"/>
  <c r="K35" i="26"/>
  <c r="K36" i="26"/>
  <c r="K44" i="26"/>
  <c r="D121" i="26"/>
  <c r="D11" i="26"/>
  <c r="F170" i="22" s="1"/>
  <c r="G41" i="41"/>
  <c r="L26" i="29" l="1"/>
  <c r="G24" i="41"/>
  <c r="D130" i="26"/>
  <c r="D13" i="26"/>
  <c r="F172" i="22" s="1"/>
  <c r="G61" i="41"/>
  <c r="M27" i="29"/>
  <c r="E20" i="41"/>
  <c r="M26" i="29"/>
  <c r="E24" i="41"/>
  <c r="L27" i="29"/>
  <c r="G20" i="41"/>
  <c r="S205" i="26"/>
  <c r="S206" i="26" s="1"/>
  <c r="S234" i="26"/>
  <c r="T204" i="26"/>
  <c r="W236" i="26"/>
  <c r="W245" i="26" s="1"/>
  <c r="W224" i="26"/>
  <c r="W246" i="26" s="1"/>
  <c r="X219" i="26"/>
  <c r="Y217" i="26"/>
  <c r="Y219" i="26" s="1"/>
  <c r="E11" i="26"/>
  <c r="G170" i="22" s="1"/>
  <c r="O21" i="29"/>
  <c r="G121" i="26" s="1"/>
  <c r="E121" i="26"/>
  <c r="P21" i="29"/>
  <c r="H121" i="26" s="1"/>
  <c r="W199" i="26"/>
  <c r="W198" i="26"/>
  <c r="W211" i="26"/>
  <c r="X197" i="26"/>
  <c r="T208" i="26"/>
  <c r="S214" i="26"/>
  <c r="R235" i="26"/>
  <c r="S196" i="26" s="1"/>
  <c r="S203" i="26" s="1"/>
  <c r="E17" i="26" l="1"/>
  <c r="G176" i="22" s="1"/>
  <c r="E126" i="26"/>
  <c r="P26" i="29"/>
  <c r="H126" i="26" s="1"/>
  <c r="D127" i="26"/>
  <c r="D16" i="26"/>
  <c r="F175" i="22" s="1"/>
  <c r="O27" i="29"/>
  <c r="G127" i="26" s="1"/>
  <c r="E127" i="26"/>
  <c r="E16" i="26"/>
  <c r="G175" i="22" s="1"/>
  <c r="P27" i="29"/>
  <c r="H127" i="26" s="1"/>
  <c r="O26" i="29"/>
  <c r="G126" i="26" s="1"/>
  <c r="D17" i="26"/>
  <c r="F176" i="22" s="1"/>
  <c r="D126" i="26"/>
  <c r="T234" i="26"/>
  <c r="U204" i="26"/>
  <c r="T205" i="26"/>
  <c r="T206" i="26" s="1"/>
  <c r="Y224" i="26"/>
  <c r="Y246" i="26" s="1"/>
  <c r="Y236" i="26"/>
  <c r="Y245" i="26" s="1"/>
  <c r="X236" i="26"/>
  <c r="X245" i="26" s="1"/>
  <c r="X224" i="26"/>
  <c r="X246" i="26" s="1"/>
  <c r="U208" i="26"/>
  <c r="S235" i="26"/>
  <c r="T196" i="26" s="1"/>
  <c r="T203" i="26" s="1"/>
  <c r="X211" i="26"/>
  <c r="X198" i="26"/>
  <c r="Y197" i="26"/>
  <c r="X199" i="26"/>
  <c r="T214" i="26" l="1"/>
  <c r="T235" i="26" s="1"/>
  <c r="U196" i="26" s="1"/>
  <c r="U203" i="26" s="1"/>
  <c r="V204" i="26"/>
  <c r="U234" i="26"/>
  <c r="U205" i="26"/>
  <c r="U206" i="26" s="1"/>
  <c r="Y198" i="26"/>
  <c r="Y211" i="26"/>
  <c r="Y199" i="26"/>
  <c r="V208" i="26"/>
  <c r="U214" i="26"/>
  <c r="U235" i="26" l="1"/>
  <c r="V196" i="26" s="1"/>
  <c r="V203" i="26" s="1"/>
  <c r="W204" i="26"/>
  <c r="V234" i="26"/>
  <c r="V205" i="26"/>
  <c r="V206" i="26" s="1"/>
  <c r="W208" i="26"/>
  <c r="V214" i="26" l="1"/>
  <c r="V235" i="26" s="1"/>
  <c r="W196" i="26" s="1"/>
  <c r="W203" i="26" s="1"/>
  <c r="W205" i="26"/>
  <c r="W206" i="26" s="1"/>
  <c r="W214" i="26" s="1"/>
  <c r="X204" i="26"/>
  <c r="W234" i="26"/>
  <c r="X208" i="26"/>
  <c r="W235" i="26" l="1"/>
  <c r="X196" i="26" s="1"/>
  <c r="X203" i="26" s="1"/>
  <c r="X205" i="26"/>
  <c r="X206" i="26" s="1"/>
  <c r="X234" i="26"/>
  <c r="Y204" i="26"/>
  <c r="Y208" i="26"/>
  <c r="X214" i="26"/>
  <c r="X235" i="26" l="1"/>
  <c r="Y196" i="26" s="1"/>
  <c r="Y203" i="26" s="1"/>
  <c r="Y234" i="26"/>
  <c r="Y205" i="26"/>
  <c r="Y206" i="26" s="1"/>
  <c r="Y214" i="26" s="1"/>
  <c r="Y235" i="26" l="1"/>
  <c r="F48" i="22" l="1"/>
</calcChain>
</file>

<file path=xl/sharedStrings.xml><?xml version="1.0" encoding="utf-8"?>
<sst xmlns="http://schemas.openxmlformats.org/spreadsheetml/2006/main" count="3125" uniqueCount="1840">
  <si>
    <t>:</t>
  </si>
  <si>
    <t>Tanggal</t>
  </si>
  <si>
    <t>NAMA PEMOHON</t>
  </si>
  <si>
    <t>CABANG</t>
  </si>
  <si>
    <t xml:space="preserve">GROUP USAHA    </t>
  </si>
  <si>
    <t>Nasabah Sejak</t>
  </si>
  <si>
    <t xml:space="preserve">ALAMAT </t>
  </si>
  <si>
    <t>Sebelumnya</t>
  </si>
  <si>
    <t>KOLEKTIBILITAS</t>
  </si>
  <si>
    <t>BIDANG USAHA</t>
  </si>
  <si>
    <t>SUB SEKTOR</t>
  </si>
  <si>
    <t>BARU/
TAMBAHAN/ PENGURANGAN</t>
  </si>
  <si>
    <t>CONTROLLED</t>
  </si>
  <si>
    <t>TOTAL CEV</t>
  </si>
  <si>
    <t>TOTAL</t>
  </si>
  <si>
    <t>KETERANGAN</t>
  </si>
  <si>
    <t>1.  INFORMASI INTERN</t>
  </si>
  <si>
    <t>Data Umum Perusahaan</t>
  </si>
  <si>
    <t>Nama Perusahaan</t>
  </si>
  <si>
    <t>Alamat</t>
  </si>
  <si>
    <t>Bidang Usaha</t>
  </si>
  <si>
    <t>Legalitas Usaha / Izin-izin</t>
  </si>
  <si>
    <t>-</t>
  </si>
  <si>
    <t>Akte Pendirian</t>
  </si>
  <si>
    <t>NAMA</t>
  </si>
  <si>
    <t>Rp. Juta</t>
  </si>
  <si>
    <t>(%)</t>
  </si>
  <si>
    <t>Nama Perusahaan / Alamat
Bidang Usaha</t>
  </si>
  <si>
    <t>Jenis</t>
  </si>
  <si>
    <t>Maksimum</t>
  </si>
  <si>
    <t>N a m a</t>
  </si>
  <si>
    <t>Jabatan</t>
  </si>
  <si>
    <t>K e t e r a n g a n 
(hal-hal yang perlu diinformasikan)</t>
  </si>
  <si>
    <t>Rating Manajemen</t>
  </si>
  <si>
    <t>1).</t>
  </si>
  <si>
    <t>2).</t>
  </si>
  <si>
    <t>3).</t>
  </si>
  <si>
    <t>Jumlah</t>
  </si>
  <si>
    <t>Rata-rata</t>
  </si>
  <si>
    <t>Nilai</t>
  </si>
  <si>
    <t>Keterangan</t>
  </si>
  <si>
    <t>2.  INFORMASI EKSTERN</t>
  </si>
  <si>
    <t>Nama</t>
  </si>
  <si>
    <t>Cara Mendapatkan Informasi</t>
  </si>
  <si>
    <t>Informasi yang diperoleh</t>
  </si>
  <si>
    <t>3.  DAFTAR DAN CARA PELAKSANAAN VERIFIKASI</t>
  </si>
  <si>
    <t>Uraian Singkat Mengenai Cara Pelaksanaan Verifikasi</t>
  </si>
  <si>
    <t>I.</t>
  </si>
  <si>
    <t>III.</t>
  </si>
  <si>
    <t>Penilaian Kondisi Keuangan</t>
  </si>
  <si>
    <t xml:space="preserve">Penjualan </t>
  </si>
  <si>
    <t>%</t>
  </si>
  <si>
    <t>Telp; 123456</t>
  </si>
  <si>
    <t>Telp; 789654</t>
  </si>
  <si>
    <t>Rp.</t>
  </si>
  <si>
    <t>a.</t>
  </si>
  <si>
    <t>b.</t>
  </si>
  <si>
    <t>c.</t>
  </si>
  <si>
    <t>d.</t>
  </si>
  <si>
    <t>A</t>
  </si>
  <si>
    <t>B</t>
  </si>
  <si>
    <t>e</t>
  </si>
  <si>
    <t>First Way Out</t>
  </si>
  <si>
    <t>Second Way Out</t>
  </si>
  <si>
    <t>Rp</t>
  </si>
  <si>
    <t>Modal kerja yang dibutuhkan</t>
  </si>
  <si>
    <t>Lain-lain</t>
  </si>
  <si>
    <t>e.</t>
  </si>
  <si>
    <t>VII.  E V A L U A S I   K E B U T U H A N   K R E D I T</t>
  </si>
  <si>
    <t>1. LAMANYA PERPUTARAN MASING-MASING KOMPONEN MODAL KERJA</t>
  </si>
  <si>
    <t xml:space="preserve">Rata-rata kas/bank                  </t>
  </si>
  <si>
    <t>---------------------------     X    Jml.hari periode Lap. Keu</t>
  </si>
  <si>
    <t>=</t>
  </si>
  <si>
    <t xml:space="preserve"> X</t>
  </si>
  <si>
    <t>I.  IKHTISAR KEUANGAN</t>
  </si>
  <si>
    <t>Rata-rata piutang</t>
  </si>
  <si>
    <t>-------------------------     X    Jml.hari periode Lap. Keu</t>
  </si>
  <si>
    <t>----------------------------    X    Jml.hari periode Lap. Keu</t>
  </si>
  <si>
    <t>LAMANYA PERPUTARAN MODAL KERJA KESELURUHAN</t>
  </si>
  <si>
    <t>2. PERPUTARAN MODAL KERJA KESELURUHAN</t>
  </si>
  <si>
    <t>Jumlah Hari Dalam Periode Laporan</t>
  </si>
  <si>
    <t>Total Lamanya Perputaran Modal Kerja</t>
  </si>
  <si>
    <t>3. KEBUTUHAN MODAL KERJA (Rp. Juta)  :</t>
  </si>
  <si>
    <t>Pada Tingkat Penjualan Sekarang :</t>
  </si>
  <si>
    <t>(1)</t>
  </si>
  <si>
    <t>Perputaran Modal Kerja Keseluruhan</t>
  </si>
  <si>
    <t>Peningkatan Penjualan yang akan datang</t>
  </si>
  <si>
    <t>Penjualan Bersih</t>
  </si>
  <si>
    <t>Kebutuhan Modal Kerja</t>
  </si>
  <si>
    <t>+</t>
  </si>
  <si>
    <t xml:space="preserve">   (2)</t>
  </si>
  <si>
    <t>Modal Kerja Yang Telah Ada</t>
  </si>
  <si>
    <t>-  Total Aktiva Lancar</t>
  </si>
  <si>
    <t>-  Disponible Kredit</t>
  </si>
  <si>
    <t>Pembayaran/Pelunasan kredit pada pihak lain (Pemasok/Bank lain)</t>
  </si>
  <si>
    <t>f.</t>
  </si>
  <si>
    <t xml:space="preserve">    III.  N E R A C A</t>
  </si>
  <si>
    <t>Pembelian Harta Tetap</t>
  </si>
  <si>
    <t>Dipersiapkan oleh,</t>
  </si>
  <si>
    <t>TUJUAN PAP</t>
  </si>
  <si>
    <t>ANALISA SECARA SINGKAT</t>
  </si>
  <si>
    <t>ASPEK MANAJEMEN</t>
  </si>
  <si>
    <t>Pengalaman</t>
  </si>
  <si>
    <t>No</t>
  </si>
  <si>
    <t>Performance Indicators</t>
  </si>
  <si>
    <t>Uraian singkat / Pilihan</t>
  </si>
  <si>
    <t>Uraian singkat / pilihan</t>
  </si>
  <si>
    <t>Tingkat kompetensi</t>
  </si>
  <si>
    <t>Lamanya Pengalaman</t>
  </si>
  <si>
    <t>Perencanaan usaha &amp; pengendalian keuangan</t>
  </si>
  <si>
    <t>Kemampuan mengambil keputusan</t>
  </si>
  <si>
    <t>h.</t>
  </si>
  <si>
    <t>i.</t>
  </si>
  <si>
    <t>Tingkat Pendidikan</t>
  </si>
  <si>
    <t>Pendidikan formal key person</t>
  </si>
  <si>
    <t>Pendidikan formal mayoritas karyawan</t>
  </si>
  <si>
    <t>Pendidikan informal</t>
  </si>
  <si>
    <t>j.</t>
  </si>
  <si>
    <t>Performance indicators</t>
  </si>
  <si>
    <t>Struktur / Sistem</t>
  </si>
  <si>
    <t>ASPEK UMUM</t>
  </si>
  <si>
    <t>Kualitas Informasi Keuangan</t>
  </si>
  <si>
    <t>Ketepatan Waktu</t>
  </si>
  <si>
    <t>Kualitas teknologi Informasi</t>
  </si>
  <si>
    <t>ASPEK PEMASARAN</t>
  </si>
  <si>
    <t>Tingkat Permintaan</t>
  </si>
  <si>
    <t>Luas area geografis target pasar</t>
  </si>
  <si>
    <t>Realisasi penjualan dibanding target</t>
  </si>
  <si>
    <t>Kemampuan perusahaan berdasar verifikasi dalam perencanaan penjualan dan realisasi pemenuhan target adalah sebesar 70 %</t>
  </si>
  <si>
    <t>Kualitas produk dan atau jasa</t>
  </si>
  <si>
    <t>Inovasi produk/  jasa</t>
  </si>
  <si>
    <t xml:space="preserve">c. </t>
  </si>
  <si>
    <t>Konsentrasi Pelanggan</t>
  </si>
  <si>
    <t>Kondisi Persaingan</t>
  </si>
  <si>
    <t>Strategi Persaingan</t>
  </si>
  <si>
    <t>Strategi persaingan yang digunakan oleh perusahaan terlihat jelas dan sesuai dengan kondisi internal perusahaan.</t>
  </si>
  <si>
    <t>Kualitas Produk dan atau Jasa</t>
  </si>
  <si>
    <t>Tingkat Persaingan</t>
  </si>
  <si>
    <t>Kondisi Lokasi Usaha</t>
  </si>
  <si>
    <t xml:space="preserve">d. </t>
  </si>
  <si>
    <t>Kelayakan Lahan</t>
  </si>
  <si>
    <t>Perijinan Lokasi Usaha</t>
  </si>
  <si>
    <t>Status kepemilikan Lokasi Usaha</t>
  </si>
  <si>
    <t>f</t>
  </si>
  <si>
    <t>Kondisi Peralatan</t>
  </si>
  <si>
    <t>g</t>
  </si>
  <si>
    <t>Dari analisa data evaluasi kebutuhan PEMBIAYAAN confirm Formulir Analisa Keuangan terlampir, dengan menggunakan metode perputaran modal kerja, maka kebutuhan modal kerja untuk nasabah dapat disimpulkan sebagai berikut:</t>
  </si>
  <si>
    <t>Kemampuan pengelolaan resiko</t>
  </si>
  <si>
    <t>ASPEK TEKNIK /PRODUKSI</t>
  </si>
  <si>
    <t>l</t>
  </si>
  <si>
    <t>Kaderisasi</t>
  </si>
  <si>
    <t>Track Record pemenuhan kewajiban</t>
  </si>
  <si>
    <t>PAP (1) BARU</t>
  </si>
  <si>
    <t>No.  PAP</t>
  </si>
  <si>
    <t xml:space="preserve">FASILITAS PEMBIAYAAN YANG DIUSULKAN   </t>
  </si>
  <si>
    <t>JENIS PEMBIAYAAN</t>
  </si>
  <si>
    <t>MAKSIMUM PEMBIAYAAN YANG BERJALAN</t>
  </si>
  <si>
    <t>MAKSIMUM PEMBIAYAAN MENJADI</t>
  </si>
  <si>
    <t>Segmen pasar sasaran yang dilayani perusahaan berdasarkan verifikasi data dibandingkan perusahaan sejenis sebanyak 2 segmen.</t>
  </si>
  <si>
    <t>Perusahaan memiliki potensi daya serap pasar dengan tingkat konsumsi sangat tinggi dan daya beli sangat tinggi</t>
  </si>
  <si>
    <t>Pola/sifat permintaan target pasar berada ditingkat stabil.</t>
  </si>
  <si>
    <t>Manajemen mampu mendapatkan solusi yang dapat mengurangi resiko yang timbul</t>
  </si>
  <si>
    <t>Kaderisasi dalam perusahaan telah direncanakan dengan baik, terlihat dari kesiapan kader kader dalam menghadapi pasar.</t>
  </si>
  <si>
    <t>Informasi keuangan perusahaan memiliki audited wajar tanpa syarat.</t>
  </si>
  <si>
    <t>Kualitas teknologi informasi yang digunakan dalam menyusun keuangan perusahaan sudah lebih maju dengan menggunakan komputer untuk operasional sehari-hari.</t>
  </si>
  <si>
    <t>Lamanya menjadi nasabah Pembiayaan</t>
  </si>
  <si>
    <t>Berdasarkan data intern mengenai pemenuhan kewajiban selama menjadi nasabah Pembiayaan, diketahui bahwa perusahaan belum pernah bergeser / tidak pernah terlambat membayar</t>
  </si>
  <si>
    <t>Berdasarkan data intern diketahui bahwa perusahaan telah sesuai dengan syarat-syarat yang dituangkan dalam SKK dan PK</t>
  </si>
  <si>
    <t>INFORMASI FAKTOR-FAKTOR PENYESUAIAN KONDISI KHUSUS DAN ASUMSI PERKEMBANGAN AKTIFITAS USAHA</t>
  </si>
  <si>
    <t>Pos-pos Harta / Hutang (juta)</t>
  </si>
  <si>
    <t>FIP</t>
  </si>
  <si>
    <t>FAK</t>
  </si>
  <si>
    <t>FKS</t>
  </si>
  <si>
    <t>JENIS FASILITAS KREDIT</t>
  </si>
  <si>
    <t>KEPERLUAN</t>
  </si>
  <si>
    <t>Penambahan Modal Usaha</t>
  </si>
  <si>
    <t>Sifat PEMBIAYAAN</t>
  </si>
  <si>
    <t>Jangka waktu</t>
  </si>
  <si>
    <t>Bunga</t>
  </si>
  <si>
    <t>Propisi</t>
  </si>
  <si>
    <t>Biaya administrasi</t>
  </si>
  <si>
    <t>Skor</t>
  </si>
  <si>
    <t>Skor Rata-rata</t>
  </si>
  <si>
    <t>Rincian Singkat</t>
  </si>
  <si>
    <t>Jumlah Skor</t>
  </si>
  <si>
    <t>Integrasi / Reputasi</t>
  </si>
  <si>
    <t>RATING MANAJEMEN</t>
  </si>
  <si>
    <t>ASPEK TEKNIS DAN PRODUKSI / PEMBELIAN</t>
  </si>
  <si>
    <t>ASPEK KEUANGAN</t>
  </si>
  <si>
    <t>KELEMAHAN-KELEMAHAN /RESIKO YANG MUNGKIN ADA PADA DEBITUR</t>
  </si>
  <si>
    <t>KESIMPULAN ANALISA</t>
  </si>
  <si>
    <t>HAL -HAL YANG HARUS DIMINTAKAN PERSETUJUAN EXCEPTION</t>
  </si>
  <si>
    <t>Tgl/Bulan/Tahun</t>
  </si>
  <si>
    <t>Operasional/Profitabilitas</t>
  </si>
  <si>
    <t>x</t>
  </si>
  <si>
    <t>Nomor</t>
  </si>
  <si>
    <t>Jatuh Tempo</t>
  </si>
  <si>
    <t>SITU</t>
  </si>
  <si>
    <t>TDP</t>
  </si>
  <si>
    <t>NPWP</t>
  </si>
  <si>
    <t>Telpon</t>
  </si>
  <si>
    <t>Jumlah skor</t>
  </si>
  <si>
    <t>Verifikasi Agunan</t>
  </si>
  <si>
    <t>Jenis Agunan</t>
  </si>
  <si>
    <t xml:space="preserve">FORMULIR BERITA ACARA TAKSASI AGUNAN </t>
  </si>
  <si>
    <t xml:space="preserve"> Nama </t>
  </si>
  <si>
    <t xml:space="preserve">Jabatan </t>
  </si>
  <si>
    <t>1. JAMINAN DAN INFORMASI HARGA PER M2/ UNIT</t>
  </si>
  <si>
    <t xml:space="preserve"> JAMINAN DAN INFORMASI HARGA PER M2/ UNIT</t>
  </si>
  <si>
    <t xml:space="preserve">No Urut
</t>
  </si>
  <si>
    <t xml:space="preserve">Jenis jaminan,
Lokasi, Luas / Jumlah
Jaminan (M2/unit
</t>
  </si>
  <si>
    <t xml:space="preserve">Keterangan Jaminan
(Status Kepemilikan No. &amp; Tgl
Dokumen Kepemilikan,
Kondisi Jaminan, dll)
</t>
  </si>
  <si>
    <t>Informasi Harga</t>
  </si>
  <si>
    <t>No. urut</t>
  </si>
  <si>
    <t>T A K S A S I</t>
  </si>
  <si>
    <t>Berita Acara ini dibuat di …………….. (13) ……………… pada tanggal ……..… (13) …..…….. dalam rangkap 2 (dua) untuk dipergunakan sebagaimana mestinya.</t>
  </si>
  <si>
    <t>Nama Terjamin</t>
  </si>
  <si>
    <t>Telepon</t>
  </si>
  <si>
    <t>Jumlah Skor Rata-rata</t>
  </si>
  <si>
    <t>SKOR RATA-RATA URAIAN AKTIVITAS USAHA</t>
  </si>
  <si>
    <t>TERJAMIN / CALON TERJAMIN</t>
  </si>
  <si>
    <t>FORMULIR LAPORAN KUNJUNGAN SETEMPAT &amp; VERIFIKASI</t>
  </si>
  <si>
    <t>(FKS/FKV)</t>
  </si>
  <si>
    <t xml:space="preserve">Tanggal Pelaksanaan </t>
  </si>
  <si>
    <t>Nama &amp; jabatan pejabat yang dikunjungi</t>
  </si>
  <si>
    <t>Tujuan</t>
  </si>
  <si>
    <t>Saat ini:</t>
  </si>
  <si>
    <t>INFORMASI UMUM</t>
  </si>
  <si>
    <t xml:space="preserve">Data TERJAMIN/Calon TERJAMIN </t>
  </si>
  <si>
    <t>Nama TERJAMIN/Calon TERJAMIN</t>
  </si>
  <si>
    <t>Alamat Kantor</t>
  </si>
  <si>
    <t xml:space="preserve">Sektor Ekonomi </t>
  </si>
  <si>
    <t xml:space="preserve">Sub Sektor Ekonomi </t>
  </si>
  <si>
    <t xml:space="preserve">Beroperasi sejak </t>
  </si>
  <si>
    <t>Legalitas Usaha (11)</t>
  </si>
  <si>
    <t>JUMLAH SKOR</t>
  </si>
  <si>
    <t>SKOR RATA-RATA</t>
  </si>
  <si>
    <t>  Struktur Organisasi</t>
  </si>
  <si>
    <t>Key person(s):</t>
  </si>
  <si>
    <t>Fasilitas Pembiayaan</t>
  </si>
  <si>
    <t>Keterangan :</t>
  </si>
  <si>
    <t>INFORMASI KONDISI JAMINAN</t>
  </si>
  <si>
    <t>II.  POS-POS KEUANGAN</t>
  </si>
  <si>
    <t>1. NERACA</t>
  </si>
  <si>
    <t>2.  RUGI / LABA</t>
  </si>
  <si>
    <t>IV. URAIAN AKTIVITAS USAHA TERJAMIN/CALON TERJAMIN</t>
  </si>
  <si>
    <t>Penjelasan :</t>
  </si>
  <si>
    <t>1.</t>
  </si>
  <si>
    <t>2.</t>
  </si>
  <si>
    <t>Nama Calon Mitra       :</t>
  </si>
  <si>
    <t>Telp Kantor dan HP     :</t>
  </si>
  <si>
    <t>No.</t>
  </si>
  <si>
    <t>Data/Dokumen yang Harus Dilengkapi</t>
  </si>
  <si>
    <t>Bukti status kantor (sewa/hak milik/pinjam pakai)</t>
  </si>
  <si>
    <t>3  Diperkirakan 15 besar</t>
  </si>
  <si>
    <t>1.    1 segmen</t>
  </si>
  <si>
    <t>2.  2 segmen</t>
  </si>
  <si>
    <t>3.   3 segmen</t>
  </si>
  <si>
    <t>4.   4 segmen</t>
  </si>
  <si>
    <t>5.   5 atau lebih segmen</t>
  </si>
  <si>
    <t>1.  tidak ada cabang/outlet/agen/sales forces</t>
  </si>
  <si>
    <t>2.  2-5 cabang/outlet/agen/sales forces</t>
  </si>
  <si>
    <t>4.  11-15 cabang/outlet/agen/sales forces</t>
  </si>
  <si>
    <t>5.  diatas 15 cabang/outlet/agen/sales forces</t>
  </si>
  <si>
    <t>3.  Rata- rata</t>
  </si>
  <si>
    <t>1.  Kurang dari 20%</t>
  </si>
  <si>
    <t>2.  20% - 40%</t>
  </si>
  <si>
    <t>3.  41% - 60%</t>
  </si>
  <si>
    <t>4.  61% - 80%</t>
  </si>
  <si>
    <t>5. Lebih dari 80%</t>
  </si>
  <si>
    <t>3    SLTA</t>
  </si>
  <si>
    <t>3    Diserahkan 4-6 bulan setelah periode pelaporan</t>
  </si>
  <si>
    <t>3    Home statement valid dan konsisten</t>
  </si>
  <si>
    <t>3.    3 tahun</t>
  </si>
  <si>
    <t>3   pernah bergeser ke Golongan II</t>
  </si>
  <si>
    <t>catatan : Keterangan Skor Rata-rata
1 = sangat tidak baik
2 = tidak baik
3 = cukup baik
4 = baik
5 = baik sekali</t>
  </si>
  <si>
    <t>Skor Rata-Rata</t>
  </si>
  <si>
    <t xml:space="preserve">Rp. </t>
  </si>
  <si>
    <t xml:space="preserve">Rp.  </t>
  </si>
  <si>
    <t>verifikasi first way out</t>
  </si>
  <si>
    <t>3   6-10 cabang/outlet/agen/sales forces</t>
  </si>
  <si>
    <t>1. Tidak berpengalaman
2. Pengalaman dibawah 2 tahun
3. Pengalaman dibawah 5 tahun
4. Pengalaman dibawah 10 tahun
5. Pengalaman diatas 10 tahun</t>
  </si>
  <si>
    <t>Uraian Singkat Pelaksanaan Verifikasi</t>
  </si>
  <si>
    <t>II. PERNYATAAN RUGI / LABA</t>
  </si>
  <si>
    <t>5  Diperkirakan 5 besar</t>
  </si>
  <si>
    <t>1  Diperkirakan lebih dari 20 besar</t>
  </si>
  <si>
    <t>4  Diperkirakan 10 besar</t>
  </si>
  <si>
    <t xml:space="preserve">2  Diperkirakan 20 besar </t>
  </si>
  <si>
    <t xml:space="preserve">
1 : Tidak baik
2 : Kurang baik
3 : Cukup baik
4 : Baik
5 : Sangat Baik</t>
  </si>
  <si>
    <t xml:space="preserve">
1  : Sangat Lemah
2 : Lemah
3 : Cukup Kuat
4 : Kuat
5 : Sangat Kuat</t>
  </si>
  <si>
    <t xml:space="preserve">
1  : produk tidak mengikuti kebutuhan pasar
2 : kurang mengikuti kebutuhan pasar
3 : cukup mengikuti kebutuhan pasar
4 : mengikuti kebutuhan pasar
5 : sangat mengikuti kebutuhan pasar (inovatif)</t>
  </si>
  <si>
    <t>Seumur Hidup</t>
  </si>
  <si>
    <t xml:space="preserve">Akte Perubahan </t>
  </si>
  <si>
    <t xml:space="preserve">Beroperasi Sejak </t>
  </si>
  <si>
    <t>Penjaminan Kredit Umum</t>
  </si>
  <si>
    <t>Penjaminan KUR</t>
  </si>
  <si>
    <t xml:space="preserve">Verifikasi Pos-Pos Harta Lancar dan Hutang Lancar  </t>
  </si>
  <si>
    <t xml:space="preserve">
1.Tidak Marketable
2. Kurang Marketable
3. Cukup Marketable
4. Marketable
5. Sangat Marketable</t>
  </si>
  <si>
    <t xml:space="preserve"> </t>
  </si>
  <si>
    <t>kami yang bertanda tangan di bawah ini :</t>
  </si>
  <si>
    <t xml:space="preserve">tanggal (2)......… </t>
  </si>
  <si>
    <t>BOPO</t>
  </si>
  <si>
    <t>Uraian Singkat Hasil Verifikasi</t>
  </si>
  <si>
    <t xml:space="preserve">2.  Di bawah rata rata </t>
  </si>
  <si>
    <t>4.   Di atas rata rata</t>
  </si>
  <si>
    <t>5.  Jauh di atas rata rata</t>
  </si>
  <si>
    <t>1.   Jauh di bawah rata rata</t>
  </si>
  <si>
    <t xml:space="preserve">
1  : Tidak menggunakan teknologi
2 :  Tradisional
3 :  Sederhana
4 :  Modern
5 :  Sangat Modern</t>
  </si>
  <si>
    <t>Kompetensi perusahaan sudah berpengalaman untuk menciptakan keunggulan kompetitif terhadap persaingan industri.</t>
  </si>
  <si>
    <t>Perusahaan yang sudah berjalan lama dapat dikatakan memiliki perencanaan usaha dan pengendalian keuangan yang terbilang baik.</t>
  </si>
  <si>
    <t>5     S1 atau lebih tinggi</t>
  </si>
  <si>
    <t>1  Tamat / tidak tamat SD</t>
  </si>
  <si>
    <t>4    D3</t>
  </si>
  <si>
    <t>2    SLTP</t>
  </si>
  <si>
    <t>5   S1 atau lebih tinggi</t>
  </si>
  <si>
    <t>Sebagian besar manajemen dan karyawan memiliki pengalam pendidikan informal lebih dari 1 institusi dan sesuai dengan bisnis perusahaan</t>
  </si>
  <si>
    <t>Integritas /Reputasi</t>
  </si>
  <si>
    <t xml:space="preserve">Struktur organisasi dalam perusahaan telah memiliki jenjang yang sesuai dengan kondisi internal. Seluruh aktifitas pekerjaan berjalan sesuai dengan sistem dan kewenangan yang disusun dengan sangat jelas </t>
  </si>
  <si>
    <t xml:space="preserve">1.   Tidak menyerahkan laporan keuangan </t>
  </si>
  <si>
    <t>5   Tepat Waktu sesuai dengan Periode Pelaporan</t>
  </si>
  <si>
    <t>2    Diserahkan diatas 6 bulan setelah periode pelaporan</t>
  </si>
  <si>
    <t>5    Audited wajar tanpa syarat</t>
  </si>
  <si>
    <t>1    Audited tidak wajar tanpa opini</t>
  </si>
  <si>
    <t>4    Audited wajar dengan syarat</t>
  </si>
  <si>
    <t>2    Home statement kurang valid dan kurang konsisten</t>
  </si>
  <si>
    <t>1.   kurang dari 1 tahun</t>
  </si>
  <si>
    <t>2.    2 tahun</t>
  </si>
  <si>
    <t>4.    4 tahun</t>
  </si>
  <si>
    <t>5.    5 tahun atau lebih</t>
  </si>
  <si>
    <t>4    Diserahkan 1-3 bulan setelah periode pelaporan</t>
  </si>
  <si>
    <t>1   pernah bergeser ke golongan IV / V</t>
  </si>
  <si>
    <t>4   belum pernah bergeser tetapi pernah terlambat membayar</t>
  </si>
  <si>
    <t>2    pernah bergeser ke golongna III</t>
  </si>
  <si>
    <t>5    belum pernah bergeser, belum pernah terlambat membayar</t>
  </si>
  <si>
    <t>Berdasarkan verifikasi data kualitas hubungan dengan Perusahaan  Pembiayaan lain, diketahui bahwa perusahaan telah menerima fasilitas Pembiayaan dari Perusahaan Pembiayaan yang lain dengan kualitas sangat baik</t>
  </si>
  <si>
    <t>Track Record Pembiayaan</t>
  </si>
  <si>
    <t xml:space="preserve">ASPEK-ASPEK PEMASARAN </t>
  </si>
  <si>
    <t xml:space="preserve">a. Analisa Pernyataan Laba/Rugi </t>
  </si>
  <si>
    <t>3.</t>
  </si>
  <si>
    <t>NO</t>
  </si>
  <si>
    <t>4.</t>
  </si>
  <si>
    <t>5.</t>
  </si>
  <si>
    <t>6.</t>
  </si>
  <si>
    <t>Struktur organisasi dalam perusahaan telah memiliki jenjang yang sesuai dengan kondisi internal. Seluruh aktifitas pekerjaan berjalan sesuai dengan sistem dan kewenangan yang disusun dengan sangat jelas skor rata-rata 5</t>
  </si>
  <si>
    <t>Kaderisasi dalam perusahaan telah direncanakan dengan baik, terlihat dari kesiapan kader kader dalam menghadapi pasar dengan skor rata-rata 4</t>
  </si>
  <si>
    <t>SKOR</t>
  </si>
  <si>
    <t>1. Merupakan mitra bermasalah
2. Pernah punya catatan bermasalah
3. Belum pernah ada hubungan dengan penjamin
4. Reputasi dengan penjamin cukup baik (tidak pernah bermasalah)
5. Reputasi dengan penjamin sangat baik (nasabah inti penjamin)</t>
  </si>
  <si>
    <t>DER (Debt Equity Ratio) 
 Tiring skor :
1. diatas 4 kali
2. 3- 4 kali
3. 2 - 3 kali
4. 1 - 2 kali
5. dibawah 1 kali</t>
  </si>
  <si>
    <t>Verifikasi</t>
  </si>
  <si>
    <t>Sesuai dengan realisasi</t>
  </si>
  <si>
    <t>PERSYARATAN MINIMUM
JAMINAN</t>
  </si>
  <si>
    <t>Persentase</t>
  </si>
  <si>
    <t>1.  Tidak Ada</t>
  </si>
  <si>
    <t>2. kondisi Kurang Baik</t>
  </si>
  <si>
    <t>3.  kondisi Cukup Baik</t>
  </si>
  <si>
    <t>4.   kondisi Baik</t>
  </si>
  <si>
    <t>5.  kondisi Sangat Baik</t>
  </si>
  <si>
    <t xml:space="preserve">
1  : tidak kompeten
2 : kurang kompeten
3 : cukup kompeten
4 : kompeten
5 : sangat kompeten</t>
  </si>
  <si>
    <t>Tiring skor</t>
  </si>
  <si>
    <t>Hubungan</t>
  </si>
  <si>
    <t>1  : tidak baik
2 : kurang baik
3 : cukup baik
4 : baik
5 : sangat baik</t>
  </si>
  <si>
    <t>Manajemen perusahaan  mampu mengambil keputusan dengan cukup cepat</t>
  </si>
  <si>
    <t>Sudah sesuai dengan data/Informasi</t>
  </si>
  <si>
    <t>TOTAL SKOR RATA-RATA KELAYAKAN USAHA</t>
  </si>
  <si>
    <t>CEF (%)</t>
  </si>
  <si>
    <t>TOTAL SKOR</t>
  </si>
  <si>
    <t>FORMULIR INFORMASI POKOK (FIP) - PAP-01</t>
  </si>
  <si>
    <t xml:space="preserve">1. Tidak jujur dan tidak dapat berkerjasama 
2. Jujur tapi tidak berkerjasama 
3. Tidak jujur namun dapat berkerjasama 
4. Jujur dan berkerjasama
5. Sangat jujur dan  berkerjasama </t>
  </si>
  <si>
    <t>FASILITAS PEMBIAYAAN YANG DIMINTA</t>
  </si>
  <si>
    <t>CEF TERSEDIA</t>
  </si>
  <si>
    <t>Produk</t>
  </si>
  <si>
    <t>1. Sangat Tidak Baik
2. Tidak Baik
3. Cukup Baik
4. Baik
5. Sangat Baik</t>
  </si>
  <si>
    <t>Pembayaran lancar namun perlu mendapat perhatian</t>
  </si>
  <si>
    <t>g.</t>
  </si>
  <si>
    <t>OPERASIONAL/PROFITABILITAS</t>
  </si>
  <si>
    <t>1  : Tidak memiliki strategi menghadapi persaingan
2 :  Strategi persaingan sangat kurang jelas, kurang sesuai kondisi internal
3 :  Strategi persaingan cukup jelas, cukup sesuai dengan kondisi internal
4 :  Strategi persaingan sudah jelas, cukup sesuai dengan kondisi internal
5 : Strategi persaingan sangat jelas dan sangat sesuai dengan kondisi internal</t>
  </si>
  <si>
    <t>1  : sangat lambat
2 : lambat
3 : cukup cepat
4 : cepat
5 : sangat cepat</t>
  </si>
  <si>
    <t>1  : tidak mampu mengedalikan risiko
2 : kurang
3 : cukup
4 : mampu
5 : sangat</t>
  </si>
  <si>
    <t>1.   kurang dari 2 tahun
2.   2-4 tahun
3.    5-6 tahun
4.    7-8 tahun
5.    lebih dari 8 tahun</t>
  </si>
  <si>
    <t>1  : tidak memiliki pengalaman pendidikan informal
2 : memiliki pengalaman pendidikian informal tapi tidak terkait dengan bisnis perusahaan
3 : memiliki pengalaman pendidikan informal dan sesuai dengan bisnis perusahaan
4 : memiliki pengalaman pendidikan informal lebih dari 1 institusi
5 : memiliki pengalaman pendidikan informal ditambah sertifikasi keahlian yang kompeten sesuai bisnis perusahaan</t>
  </si>
  <si>
    <t>1  : integritas dan reputasi key person manajemen tidak baik
2 : integritas dan reputasi key person manajemen kurang baik
3 : integritas dan reputasi key person manajemen cukup baik
4 : integritas dan reputasi key person manajemen baik
5 : integritas dan reputasi key person manajemen sangat baik</t>
  </si>
  <si>
    <t>1 : struktur dan sistem kewengan kerja tidak jelas
2 : struktur dan sistem kewengan kerja kurang jelas
3 : struktur dan sistem kewengan kerja cukup jelas
4 : struktur dan sistem kewengan kerja jelas
5 : struktur dan sistem kewengan kerja sangat jelas</t>
  </si>
  <si>
    <t>1 : Tidak ada Kaderasi
2 : Kaderisasi Kurang Berjalan 
3 : Kaderisasi Berjalan Cukup Baik
4 : Kaderisasi Berjalan Baik
5 : Kaderasi Berjalan Sangat Baik</t>
  </si>
  <si>
    <t>1  : Tidak menggunakan teknologi
2 :  Tradisional
3 :  Sederhana
4 :  Modern
5 :  Sangat Modern</t>
  </si>
  <si>
    <t>1 : tidak kooperatif
2 : kurang kooperatif
3 : cukup kooperatif
4 : kooperatif
5 : sangat kooperatif</t>
  </si>
  <si>
    <t>1  : tidak ada
2 : ada, hubungan kualitas kurang baik
3 : ada, kualitas hungan baik
4 : cukup banyak, kualitas hubungan baik
5 : banyak, kualitas hubungan sangat baik</t>
  </si>
  <si>
    <t>1  : tidak sesuai
2 : kurang sesuai
3 : cukup sesuai
4 : sesuai dngan skk dan pk
5 : sangat sesuai</t>
  </si>
  <si>
    <t>FORMULIR ANALISA KEUANGAN ( F A K ) -PAP 02</t>
  </si>
  <si>
    <t>MEMORANDUM PENGUSULAN PEMBIAYAAN  (MPP) - PAP-04</t>
  </si>
  <si>
    <t>ANALISA PROYEKSI KEUANGAN</t>
  </si>
  <si>
    <t>PROYEKSI ARUS KAS (WAJAR)</t>
  </si>
  <si>
    <t xml:space="preserve">NAMA PERUSAHAAN   </t>
  </si>
  <si>
    <t xml:space="preserve">JUMLAH </t>
  </si>
  <si>
    <t>ALAMAT</t>
  </si>
  <si>
    <t>BULANAN/TRIWULAN/TAHUNAN</t>
  </si>
  <si>
    <t>ASS</t>
  </si>
  <si>
    <t>SALDO AWAL KAS</t>
  </si>
  <si>
    <t>growht</t>
  </si>
  <si>
    <t>(Piutang yang Diberikan)</t>
  </si>
  <si>
    <t>Piutang yang Tertagih</t>
  </si>
  <si>
    <t>Pendapatan Kas yang Lain</t>
  </si>
  <si>
    <t>TOTAL KAS MASUK OPERASIONAL</t>
  </si>
  <si>
    <t>Pembayaran Biaya Operasional</t>
  </si>
  <si>
    <t>Pembayaran Biaya Langsung Lainnya</t>
  </si>
  <si>
    <t>Pembayaran Biaya Penjualan Umum dan Administrasi</t>
  </si>
  <si>
    <t>Pembayaran Bunga</t>
  </si>
  <si>
    <t>14%/th</t>
  </si>
  <si>
    <t>Pembayaran Pajak</t>
  </si>
  <si>
    <t>Penjualan Surat Berharga</t>
  </si>
  <si>
    <t>Penjualan Harta Tetap</t>
  </si>
  <si>
    <t>Penj. Saham Penyertaan pada Perusahaan Lain</t>
  </si>
  <si>
    <t>KAS MASUK INVESTASI</t>
  </si>
  <si>
    <t>Penj. Modal Saham Perusahaan/Self Financing</t>
  </si>
  <si>
    <t>Penarikan Kredit Jangka Panjang</t>
  </si>
  <si>
    <t>Penarikan Kredit Jangka Pendek</t>
  </si>
  <si>
    <t>KAS  MASUK PENDANAAN</t>
  </si>
  <si>
    <t>Pembelian Surat Berharga</t>
  </si>
  <si>
    <t>Pembelian Saham Penyertaan pada Perusahaan Lain</t>
  </si>
  <si>
    <t>KAS KELUAR INVESTASI</t>
  </si>
  <si>
    <t>Pembayaran Dividen</t>
  </si>
  <si>
    <t>Pembayaran Kredit Jangka Panjang</t>
  </si>
  <si>
    <t>Pembayaran Kredit Jangka Menengah</t>
  </si>
  <si>
    <t>KAS KELUAR PENDANAAN</t>
  </si>
  <si>
    <t>SALDO AKHIR KAS</t>
  </si>
  <si>
    <t>Kenaikan (Penurunan) Netto Kebutuhan Kas</t>
  </si>
  <si>
    <t>Kenaikan (Penurunan) Kumulatif Kebutuhan Kas</t>
  </si>
  <si>
    <t>TOTAL KREDIT YANG DAPAT DIPERTIMBANGKAN</t>
  </si>
  <si>
    <t>REKONSILIASI KREDIT BANK :</t>
  </si>
  <si>
    <t>Maksimum KMK yang berjalan</t>
  </si>
  <si>
    <t>Outstanding KMK yang berjalan</t>
  </si>
  <si>
    <t>Disponible KMK yang berjalan</t>
  </si>
  <si>
    <t>Maks.Schedule KI yang berjalan</t>
  </si>
  <si>
    <t>Maks.Schedule KMK Aflopen yg berjalan</t>
  </si>
  <si>
    <t>Kebutuhan Tambahan KMK</t>
  </si>
  <si>
    <t>Kebutuhan Tambahan KI</t>
  </si>
  <si>
    <t>Harga Pasar</t>
  </si>
  <si>
    <t>NJOP</t>
  </si>
  <si>
    <t>Jenis, Lokasi dan Kondisi Persediaan</t>
  </si>
  <si>
    <t>Jenis Pengikatan</t>
  </si>
  <si>
    <t>Nilai Persediaan</t>
  </si>
  <si>
    <t>SYARAT AGUNAN MINIMUM</t>
  </si>
  <si>
    <t>SYARAT PENJAMINAN MAKSIMUM</t>
  </si>
  <si>
    <t>TOTAL PENJAMINAN DAN AGUNAN</t>
  </si>
  <si>
    <t>JENIS PERSEDIAAN</t>
  </si>
  <si>
    <t>CEV Tersedia</t>
  </si>
  <si>
    <t>TOTAL NILAI AGUNAN</t>
  </si>
  <si>
    <t>TOTAL PENJAMINAN YG DIBUTUHKAN</t>
  </si>
  <si>
    <t>VERIFIKASI AGUNAN</t>
  </si>
  <si>
    <t>CEV TERSEDIA</t>
  </si>
  <si>
    <t>S K O R</t>
  </si>
  <si>
    <t>TIRING SKOR</t>
  </si>
  <si>
    <t>0 = Tidak ada agunan</t>
  </si>
  <si>
    <t>1 = CEV &lt; 10%</t>
  </si>
  <si>
    <t>Tiring Agunan :</t>
  </si>
  <si>
    <t>Tiring Penjaminan :</t>
  </si>
  <si>
    <t>1 = CEV &gt; 100%</t>
  </si>
  <si>
    <t>2 = 71% &lt; CEV &lt; 100%</t>
  </si>
  <si>
    <t>3 = 51% &lt; CEV &lt; 70%</t>
  </si>
  <si>
    <t>5 = CEV &lt; 20%</t>
  </si>
  <si>
    <t>4 = 21% &lt; CEV &lt; 50%</t>
  </si>
  <si>
    <t>JENIS PENGIKATAN</t>
  </si>
  <si>
    <t>JENIS / LOKASI AGUNAN</t>
  </si>
  <si>
    <t xml:space="preserve">Ditinjau dari nilai taksasi, skor rata-rata terhadap penilaian agunan yaitu sebesar 2,8 dan masuk kategori 'Cukup Memenuhi Syarat'. Skor terendah adalah agunan berupa tanah (AJB) dengan skor 2, serta Persediaan Ikan dengan skor 2. </t>
  </si>
  <si>
    <t>B.</t>
  </si>
  <si>
    <t>BULAN</t>
  </si>
  <si>
    <t>Thn</t>
  </si>
  <si>
    <t>TOTAL KAS KELUAR OPERASIONAL</t>
  </si>
  <si>
    <t>Keterangan/Asumsi :</t>
  </si>
  <si>
    <t>Berdasarkan perhitungan di atas dengan peningkatan target penjualan ditahun yang akan datang sebesar</t>
  </si>
  <si>
    <t>Secara umum rating manajemen ditinjau dari aspek integritas karakter, pengalaman, luasnya pengetahuan dan keterampilan dan masuk dalam kategori penilaian Cukup Memenuhi Syarat, dengan skor rata-rata 3,33</t>
  </si>
  <si>
    <t>Simpanan Pokok</t>
  </si>
  <si>
    <t>Simpanan Wajib</t>
  </si>
  <si>
    <t>TAHUN 2018</t>
  </si>
  <si>
    <t>Smt 2</t>
  </si>
  <si>
    <t>Total Biaya Usaha-Simpan Pinjaman</t>
  </si>
  <si>
    <t>(Hutang Usaha )</t>
  </si>
  <si>
    <t>Hutang Usaha yang Dibayar</t>
  </si>
  <si>
    <t>TOTAL KAS MASUK NON OPERASIONAL</t>
  </si>
  <si>
    <t>TOTAL KAS KELUAR NON OPERASIONAL.</t>
  </si>
  <si>
    <t>ARUS KAS MASUK/KELUAR NETTO</t>
  </si>
  <si>
    <t>Penjualan pada Semester II naik 20%</t>
  </si>
  <si>
    <t>Piutang tertagih pada Semester II naik dari 40% menjadi 50%</t>
  </si>
  <si>
    <t>Analis Pembiayaan</t>
  </si>
  <si>
    <t>Luas area geografis target pasar baru sekitar lokasi usaha dan regional</t>
  </si>
  <si>
    <t>Biaya produk / jasa yang ditawarkan perusahaan berdasarkan verifikasi data dibandingkan dengan perusahaan sejenis adalah sesuai dengan rata-rata  pasar.</t>
  </si>
  <si>
    <t>Rentang produk/jasa yang dihasilkan perusahaan dibawah  5 jenis.</t>
  </si>
  <si>
    <t>Besarnya  banguna layanan nasabah dan kantor usaha dibandingkan dengan perusahaan sejenis diatas rata-rata</t>
  </si>
  <si>
    <t>Kapasitas gedung &amp; peralatan yang terpakai sebesar 80%</t>
  </si>
  <si>
    <t>Perusahaan menggunakan teknologi keuangan yang memadai dibandingkan dengan perusahaan sejenis</t>
  </si>
  <si>
    <t>Key Person diketahui memiliki track record yang baik dalam mejalankan usaha</t>
  </si>
  <si>
    <t>Key Person diketahui memiliki track record yang sangat baik dalam mejalankan usaha dengan skor rata-rata 4</t>
  </si>
  <si>
    <t xml:space="preserve">Legalitas Lainnya </t>
  </si>
  <si>
    <t>MODAL PENYERTAAN</t>
  </si>
  <si>
    <t>Hubungan usaha dg grup/afiliasi tidak pernah bermasalah</t>
  </si>
  <si>
    <t>Hubungan usaha dg grup/afiliasi baik</t>
  </si>
  <si>
    <t>4. BI checking/ SLIK OJK/PEFINDO BIRO KREDIT</t>
  </si>
  <si>
    <t>SLIK OJK</t>
  </si>
  <si>
    <t>1. Merupakan mitra PUNYA CATATAN bermasalah di BI/OJK/PEFINDO 
2. Pernah punya catatan bermasalah di BI/OJK/PEFINDO 
3. Belum pernah ada hubungan di BI/OJK/PEFINDO 
4. Tidak punya catatan bermasalah di BI/OJK/PEFINDO 
5. Pernah berhubungan dengan Bank dan catatan Baik</t>
  </si>
  <si>
    <t>3.Grup/Afiliasi</t>
  </si>
  <si>
    <t>Semua kewajiban dapat diselesaikan tepat waktu dan memiliki hubungan baik dengan grup/afiliasi</t>
  </si>
  <si>
    <t xml:space="preserve">1. Merupakan mitra bermasalah dengan grup/afiliasi
2. Pernah punya catatan bermasalah dengan grup/afiliasi
3. Belum pernah ada hubungan dengan grup/afiliasi
4. Reputasi dengan grup/afiliasi cukup baik 
5. Reputasi dengan grup/afiliasi sangat baik </t>
  </si>
  <si>
    <t>Pendapatan Usaha Simpan Pinjam</t>
  </si>
  <si>
    <t>ASET LANCAR NON BANK</t>
  </si>
  <si>
    <t>Rata-rata Aset Lancar Non Bank</t>
  </si>
  <si>
    <t>Pendapatan Usaha</t>
  </si>
  <si>
    <t xml:space="preserve">  - Pendapatan Denda</t>
  </si>
  <si>
    <t xml:space="preserve">  - Pendapatan Provisi &amp; Admin</t>
  </si>
  <si>
    <t xml:space="preserve">  - Pendapatan Bunga Bank</t>
  </si>
  <si>
    <t xml:space="preserve">  - Pendapatan Lain-lain</t>
  </si>
  <si>
    <t>Jumlah Pendapatan Usaha/Operasional</t>
  </si>
  <si>
    <t>Beban Usaha</t>
  </si>
  <si>
    <t xml:space="preserve">  - Beban Bunga Simpanan/Berjangka</t>
  </si>
  <si>
    <t xml:space="preserve">  - Beban Bunga Pinjaman Kepada Institusi lain/Bank/Leasing</t>
  </si>
  <si>
    <t xml:space="preserve">  - Beban Usaha Koperasi, Umum dan 
    Administrasi (Operasional)</t>
  </si>
  <si>
    <t xml:space="preserve">  - Beban Usaha Lain</t>
  </si>
  <si>
    <t>Jumlah Beban Usaha/Operasional</t>
  </si>
  <si>
    <t>Jumlah Hasil Usaha</t>
  </si>
  <si>
    <t>Pendapatan Lain-lain/Non Operasional</t>
  </si>
  <si>
    <t>Beban lain-lain/Non Operasional</t>
  </si>
  <si>
    <t>Jumlah Pendapatan (Beban) Lain-lain</t>
  </si>
  <si>
    <t>SHU Sebelum Pajak</t>
  </si>
  <si>
    <t>SHU Dibagi</t>
  </si>
  <si>
    <t>Pajak Penghasilan</t>
  </si>
  <si>
    <t>SHU BERSIH</t>
  </si>
  <si>
    <t>AKTIVA LANCAR</t>
  </si>
  <si>
    <t>Kas</t>
  </si>
  <si>
    <t>Bank dan Deposito</t>
  </si>
  <si>
    <t xml:space="preserve">Piutang Usaha/PYD </t>
  </si>
  <si>
    <t xml:space="preserve">   - Piutang Lancar</t>
  </si>
  <si>
    <t xml:space="preserve">   - Piutang Bermasalah</t>
  </si>
  <si>
    <t>Penyisihan PYD</t>
  </si>
  <si>
    <t>Biaya Dibayar Dimuka</t>
  </si>
  <si>
    <t>Pendapatan Yang Masih Harus Diterima</t>
  </si>
  <si>
    <t>Aktiva Lancar Lain-lain</t>
  </si>
  <si>
    <t>Jumlah Aktiva Lancar</t>
  </si>
  <si>
    <t>AKTIVA JANGKA PANJANG</t>
  </si>
  <si>
    <t>Piutang/Investasi</t>
  </si>
  <si>
    <t>Jumlah Aktiva Jk Panjang</t>
  </si>
  <si>
    <t>AKTIVA TETAP</t>
  </si>
  <si>
    <t>Harga Perolehan</t>
  </si>
  <si>
    <t>Akumulasi Penyusutan</t>
  </si>
  <si>
    <t>Nilai Buku</t>
  </si>
  <si>
    <t>Aktiva Lain-lain</t>
  </si>
  <si>
    <t>TOTAL AKTIVA</t>
  </si>
  <si>
    <t>HUTANG LANCAR</t>
  </si>
  <si>
    <t>Hutang Kepada Institusi Lain/Bank/Leasing</t>
  </si>
  <si>
    <t>Lain-lain yang dapat dikategorikan hutang lancar</t>
  </si>
  <si>
    <t>Jumlah Hutang Lancar</t>
  </si>
  <si>
    <t>HUTANG JANGKA PANJANG</t>
  </si>
  <si>
    <t>Lain-lain yang dapat dikategorikan hutang jangka panjang</t>
  </si>
  <si>
    <t>Jumlah Hutang Jangka Panjang</t>
  </si>
  <si>
    <t>TOTAL KEWAJIBAN</t>
  </si>
  <si>
    <t>EKUITAS/MODAL</t>
  </si>
  <si>
    <t>Simpanan Khusus</t>
  </si>
  <si>
    <t>Cadangan Penghapusan Piutang</t>
  </si>
  <si>
    <t>Cadangan Umum &amp; Likuiditas</t>
  </si>
  <si>
    <t>TOTAL EKUITAS</t>
  </si>
  <si>
    <t>KEWAJIBAN &amp; EKUITAS</t>
  </si>
  <si>
    <t>Financial Ratio</t>
  </si>
  <si>
    <t>LIKUIDITAS</t>
  </si>
  <si>
    <t>a</t>
  </si>
  <si>
    <t>Cash ratio</t>
  </si>
  <si>
    <t>b</t>
  </si>
  <si>
    <t>Current ratio</t>
  </si>
  <si>
    <t>c</t>
  </si>
  <si>
    <t>Loan to Deposit Ratio</t>
  </si>
  <si>
    <t>d</t>
  </si>
  <si>
    <t>Loan to Asset Ratio</t>
  </si>
  <si>
    <t>Loan to Liabilities Ratio</t>
  </si>
  <si>
    <t>Bad Debt Ratio</t>
  </si>
  <si>
    <t>SOLVABILITAS</t>
  </si>
  <si>
    <t>Capital Adequacy Ratio</t>
  </si>
  <si>
    <t>h</t>
  </si>
  <si>
    <t>Debt to Asset Ratio</t>
  </si>
  <si>
    <t>i</t>
  </si>
  <si>
    <t>Debt to Equity Ratio</t>
  </si>
  <si>
    <t>PROFITABILITAS</t>
  </si>
  <si>
    <t>j</t>
  </si>
  <si>
    <t>Net Interest Margin</t>
  </si>
  <si>
    <t>k</t>
  </si>
  <si>
    <t>Return on Equity Ratio</t>
  </si>
  <si>
    <t>Return on Asset Ratio</t>
  </si>
  <si>
    <t>Modal Sendiri/Aset</t>
  </si>
  <si>
    <t>SHU/Piutang</t>
  </si>
  <si>
    <t>Management Risiko</t>
  </si>
  <si>
    <t>Rasio Kewajiban Segera</t>
  </si>
  <si>
    <t>Amount Of Loan</t>
  </si>
  <si>
    <t>Liabilities to Asset Ratio</t>
  </si>
  <si>
    <t>Equity to Total Asset</t>
  </si>
  <si>
    <t>NPL</t>
  </si>
  <si>
    <t>Pendapatan YMH</t>
  </si>
  <si>
    <t>Tabungan/Simpanan</t>
  </si>
  <si>
    <t xml:space="preserve">Hutang </t>
  </si>
  <si>
    <t>Donasi/Hibah</t>
  </si>
  <si>
    <t xml:space="preserve">  - Beban Bunga Simpanan/Deposito</t>
  </si>
  <si>
    <t xml:space="preserve">  - Beban Bunga Pinjaman</t>
  </si>
  <si>
    <t>KPMM (Kewajiban Penyertaan Modal Minimum) / CAR</t>
  </si>
  <si>
    <t>Rasio Pinjaman Bermasalah (RPM) / NPL</t>
  </si>
  <si>
    <t>Biaya Operasional Pendapatan Operasional (BOPO)</t>
  </si>
  <si>
    <t>CASH  RATIO (CR)</t>
  </si>
  <si>
    <t>LOAN TO DEPOSIT RATIO (LDR)</t>
  </si>
  <si>
    <t>RETURN ON EQUITY(ROE)</t>
  </si>
  <si>
    <t>DER (Debt Equity Ratio)</t>
  </si>
  <si>
    <t>Informasi Umum Mitra</t>
  </si>
  <si>
    <t>AO Penjaminan I</t>
  </si>
  <si>
    <t>AO Penjaminan II</t>
  </si>
  <si>
    <t>Supervisor Analis Penjaminan</t>
  </si>
  <si>
    <t>Tanggal laporan keuangan 2 tahun terakhir</t>
  </si>
  <si>
    <t>Tanggal laporan keuangan 1 tahun terakhir</t>
  </si>
  <si>
    <t>Tanggal laporan keuangan Bulan terakhir</t>
  </si>
  <si>
    <t>Isian</t>
  </si>
  <si>
    <t>No Proposal</t>
  </si>
  <si>
    <t>Nama Mitra</t>
  </si>
  <si>
    <t>Tahun Berdiri</t>
  </si>
  <si>
    <t>Disesuaikan dengan Akte Pendirian</t>
  </si>
  <si>
    <t>Badan Hukum</t>
  </si>
  <si>
    <t>Tgl Badan Hukum</t>
  </si>
  <si>
    <t>Jumlah Pinjaman yang diajukan</t>
  </si>
  <si>
    <t>Jangka Waktu (bulan)</t>
  </si>
  <si>
    <t>60 Bulan</t>
  </si>
  <si>
    <t>Jangka waktu pinjaman</t>
  </si>
  <si>
    <t xml:space="preserve">Alamat </t>
  </si>
  <si>
    <t>Kelurahan</t>
  </si>
  <si>
    <t>Kecamatan</t>
  </si>
  <si>
    <t>Kabupaten</t>
  </si>
  <si>
    <t>Provinsi</t>
  </si>
  <si>
    <t>Telp/HP Manager</t>
  </si>
  <si>
    <t>O/S Pinjaman LPDB</t>
  </si>
  <si>
    <t>Jika sedang mendapatkan pinjaman dari LPDB</t>
  </si>
  <si>
    <t>Tgl Surat Permohonan</t>
  </si>
  <si>
    <t>Nomor Surat Permohonan</t>
  </si>
  <si>
    <t>Tgl Kelengkapan data</t>
  </si>
  <si>
    <t>Yang sudah melunasi simpanan pokok dan tercatat dalam buku anggota</t>
  </si>
  <si>
    <t>Jumlah Karyawan</t>
  </si>
  <si>
    <t>Manager, accounting, marketing, collector, dll</t>
  </si>
  <si>
    <t>Ketua, Sekretaris, Bendahara</t>
  </si>
  <si>
    <t>No. NPWP</t>
  </si>
  <si>
    <t xml:space="preserve">NERACA </t>
  </si>
  <si>
    <t xml:space="preserve">Growth       </t>
  </si>
  <si>
    <t>Vertikal</t>
  </si>
  <si>
    <t>C</t>
  </si>
  <si>
    <t>A ke B</t>
  </si>
  <si>
    <t>B ke C</t>
  </si>
  <si>
    <t>Pengajuan</t>
  </si>
  <si>
    <t>JW (Bulan)</t>
  </si>
  <si>
    <t>Kabupaten/Kota</t>
  </si>
  <si>
    <t>Penyertaan Anggota</t>
  </si>
  <si>
    <t>Time Interest Earned</t>
  </si>
  <si>
    <t>min 0,4 kali</t>
  </si>
  <si>
    <t>Verifikator Lapangan</t>
  </si>
  <si>
    <t>harus nol</t>
  </si>
  <si>
    <t xml:space="preserve">  - Pendapatan Bunga Pinjaman</t>
  </si>
  <si>
    <t>.</t>
  </si>
  <si>
    <t xml:space="preserve">                                                                                                                                                                                                                                                      </t>
  </si>
  <si>
    <t xml:space="preserve">  </t>
  </si>
  <si>
    <t>Tambahan :</t>
  </si>
  <si>
    <t>1.JAMKRIDA</t>
  </si>
  <si>
    <t>Net Interest Margin (NIM)</t>
  </si>
  <si>
    <t>Form Verifikasi dan Uji Petik</t>
  </si>
  <si>
    <t>I</t>
  </si>
  <si>
    <t>IDENTITAS KSP/USP</t>
  </si>
  <si>
    <t>Nama Calon Mitra</t>
  </si>
  <si>
    <t xml:space="preserve">Ketua </t>
  </si>
  <si>
    <t>Petugas OTS I</t>
  </si>
  <si>
    <t>Petugas OTS II</t>
  </si>
  <si>
    <t>Tanggal OTS</t>
  </si>
  <si>
    <t>II</t>
  </si>
  <si>
    <t>1. Badan Hukum (BH) dan Perubahannya</t>
  </si>
  <si>
    <t>2. AD/ART dan Perubahannya (PAD)</t>
  </si>
  <si>
    <t>10. Lainnya:</t>
  </si>
  <si>
    <t>III</t>
  </si>
  <si>
    <t>1. Klarifikasi keabsahan data dan dokumen</t>
  </si>
  <si>
    <t>4. Cross check antar dokumen utama dengan pendukung</t>
  </si>
  <si>
    <t>2. Cross check kesesuaian dokumen kelembagaan</t>
  </si>
  <si>
    <t>5. Lainnya :</t>
  </si>
  <si>
    <t>3. Sampling dokumen</t>
  </si>
  <si>
    <t>IV</t>
  </si>
  <si>
    <t>Ket.:  SESUAI dan tidak ditemukan adanya permasalahan/tidak ada rekayasa. Dapat diyakini kebenaran, keabsahan dan keasliannya    //    TIDAK SESUAI dan ditemukan adanya permasalahan/ada rekayasa/tidak dapat diyakini kebenaran, keaslian dan keabsahannya  (PILIH SALAH SATU)</t>
  </si>
  <si>
    <t>Perizinan tidak kadaluarsa (masih berlaku) dan dapat dibuktikan keaslian dan keabsahannya</t>
  </si>
  <si>
    <t>Status kantor didukung oleh bukti kepemilikan yang jelas</t>
  </si>
  <si>
    <t>Dokumen asli Anggaran Dasar sama dengan fotocopy di proposal pengajuan</t>
  </si>
  <si>
    <t>V.</t>
  </si>
  <si>
    <t>Petugas OTS (Analis Penjaminan)</t>
  </si>
  <si>
    <t>IDENTITAS</t>
  </si>
  <si>
    <t>Ketua</t>
  </si>
  <si>
    <t>A. AKTIVA</t>
  </si>
  <si>
    <t>B. PASSIVA</t>
  </si>
  <si>
    <t>1. Kas dan Bank</t>
  </si>
  <si>
    <t>2. Total Piutang Keseluruhan</t>
  </si>
  <si>
    <t>2. Hutang dari pihak lain</t>
  </si>
  <si>
    <t>3. Jumlah Piutang Bermasalah (Kol 2 - 5)</t>
  </si>
  <si>
    <t>4. Aktiva Tetap</t>
  </si>
  <si>
    <t>5. Lainnya:</t>
  </si>
  <si>
    <t>C. LAPORAN LABA/RUGI (SHU)</t>
  </si>
  <si>
    <t>D. TAMBAHAN</t>
  </si>
  <si>
    <t>2. Pendapatan Provisi, Admin dan Denda</t>
  </si>
  <si>
    <t>Lainnya:</t>
  </si>
  <si>
    <t>3. Biaya-biaya (terbesar)</t>
  </si>
  <si>
    <t>4. Lainnya:</t>
  </si>
  <si>
    <t>1. Telusuri dokumen utama &amp; pendukung</t>
  </si>
  <si>
    <t>5. Uji keakuratan/keabsahan dokumen</t>
  </si>
  <si>
    <t>2. Pembukaan Sistem Komputer</t>
  </si>
  <si>
    <t>6. Analisa rekening bank</t>
  </si>
  <si>
    <t>7. Lainnya:</t>
  </si>
  <si>
    <t>4. Cross check antar dokumen utama &amp; pendukung</t>
  </si>
  <si>
    <t>HASIL VERIFIKASI DAN UJI PETIK</t>
  </si>
  <si>
    <t>A. Komponen Aktiva</t>
  </si>
  <si>
    <t xml:space="preserve">Kesesuaian antara posisi kas pada neraca dengan arus kas pada periode yang sama </t>
  </si>
  <si>
    <t xml:space="preserve">Kesesuaian antara posisi bank pada neraca dengan buku bank pada periode yang sama </t>
  </si>
  <si>
    <t>Kesesuaian antara piutang pada neraca dengan buku rekapitulasi piutang pada periode yang sama, baik manual/sistem</t>
  </si>
  <si>
    <t>Hasil uji petik terhadap beberapa piutang tidak ditemukan adanya kejanggalan (didukung oleh bukti yang kuat)</t>
  </si>
  <si>
    <t>Hasil uji petik terhadap beberapa piutang bermasalah tidak ditemukan adanya kejanggalan (didukung oleh bukti yang kuat)</t>
  </si>
  <si>
    <t>Kesesuaian nilai aktiva tetap dengan bukti pendukung (bukti kepemilikan &amp; nilai pembelian)</t>
  </si>
  <si>
    <t xml:space="preserve">Lainnya: </t>
  </si>
  <si>
    <t>B. Komponen Passiva</t>
  </si>
  <si>
    <t>Kesesuaian antara modal penyertaan pada neraca dengan buku rekapitulasi modal penyertaan pada periode yang sama, (manual/sistem)</t>
  </si>
  <si>
    <t>Kesesuaian antara pinjaman pada neraca dengan dokumen pendukung yang kuat</t>
  </si>
  <si>
    <t>Uang masuk berupa hutang dapat dibuktikan pada rekening bank calon mitra</t>
  </si>
  <si>
    <t>Kelancaran angsuran hutang didukung dengan bukti yang kuat selama  3 bulan terakhir</t>
  </si>
  <si>
    <t>Kesesuaian antara pendapatan bunga/basil pinjaman/pembiayaan pada R/L dengan buku rekapitulasi pendapatan bunga/basil pinjaman/pembiayaan pada periode yang sama, (manual/sistem)</t>
  </si>
  <si>
    <t xml:space="preserve">Hasil uji petik terhadap pendapatan bunga/basil pada beberapa tanggal masuk tidak ditemukan adanya kejanggalan (dana masuk didukung oleh bukti yang kuat) </t>
  </si>
  <si>
    <t>Kesesuaian antara beban bunga/basil simpanan/deposito pada R/L dengan buku rekapitulasi beban bunga/basil simpanan/deposito pada periode yang sama, (manual/sistem)</t>
  </si>
  <si>
    <t xml:space="preserve">Hasil uji petik terhadap beban bunga/basil pada beberapa tanggal keluar tidak ditemukan adanya kejanggalan (dana keluar didukung oleh bukti yang kuat) </t>
  </si>
  <si>
    <t>Kesesuaian antara penjualan pada R/L dengan buku rekapitulasi faktur penjualan pada periode yang sama, (manual/sistem)</t>
  </si>
  <si>
    <t xml:space="preserve">Hasil uji petik terhadap beberapa tanggal penjualan tidak ditemukan adanya kejanggalan (dana masuk didukung oleh bukti yang kuat) </t>
  </si>
  <si>
    <t xml:space="preserve">Hasil uji petik terhadap komponen terbesar  tidak ditemukan adanya kejanggalan (didukung oleh bukti yang kuat) </t>
  </si>
  <si>
    <t>D. Tambahan</t>
  </si>
  <si>
    <t>Kesesuaian antara daftar NPL dengan rekapitulasi piutang pada periode yang sama</t>
  </si>
  <si>
    <t>Hasil uji petik terhadap beberapa peminjam bermasalah didukung oleh kartu piutang dan bukti yang kuat lainnya</t>
  </si>
  <si>
    <t>Laporan Keuangan 2 tahun terakhir telah diverifikasi, dicross check dan dicocokkan dengan bukti-bukti pendukungnya</t>
  </si>
  <si>
    <t>KESIMPULAN HASIL VERIFIKASI DAN UJI PETIK</t>
  </si>
  <si>
    <t>(Peminjam/Calon Peminjam)</t>
  </si>
  <si>
    <t xml:space="preserve">1. Nama </t>
  </si>
  <si>
    <t>1. Nama</t>
  </si>
  <si>
    <t xml:space="preserve">2. Alamat </t>
  </si>
  <si>
    <t>2. Alamat</t>
  </si>
  <si>
    <t>3. Jenis Usaha</t>
  </si>
  <si>
    <t>METODE UJI PETIK</t>
  </si>
  <si>
    <t>1. Klarifikasi data/informasi pinjaman/usaha</t>
  </si>
  <si>
    <t>2. Cross check kesesuaian dokumen (nama, alamat, dll)</t>
  </si>
  <si>
    <t>3. Uji kesesuaian kartu piutang</t>
  </si>
  <si>
    <t>4. Uji kesesuaian permohonan pinjaman</t>
  </si>
  <si>
    <t>HASIL UJI PETIK</t>
  </si>
  <si>
    <t>A. Peminjam saat ini</t>
  </si>
  <si>
    <t>Peminjam saat ini dapat dibuktikan status keanggotaan/nasabah dan peminjamannya</t>
  </si>
  <si>
    <t>Bukti pembayaran angsuran dari peminjam sesuai dengan kartu piutang</t>
  </si>
  <si>
    <t>Suku bunga/basil yang dibayar sesuai dengan informasi peminjam</t>
  </si>
  <si>
    <t>Jaminan yang disampaikan peminjam sesuai dengan dokumen pinjaman</t>
  </si>
  <si>
    <t>Lokasi usaha sesuai dengan dokumen pinjaman</t>
  </si>
  <si>
    <t>B. Calon Peminjam</t>
  </si>
  <si>
    <t>Identitas pemohon (nama, alamat, dll) sesuai dengan kondisi lapangan</t>
  </si>
  <si>
    <t>Calon peminjam telah mengajukan surat permohonan (Nama,Plafon,dll)</t>
  </si>
  <si>
    <t>Alasan pengajuan pinjaman sesuai dengan kondisi usaha di lapangan</t>
  </si>
  <si>
    <t>Jaminan yang disediakan sesuai dengan ketentuan calon mitra</t>
  </si>
  <si>
    <t>Skala usaha calon mitra termasuk kategori UKM</t>
  </si>
  <si>
    <t>Tidak memiliki pinjaman dari calon mitra</t>
  </si>
  <si>
    <t>Keanggotaan tidak lebih dari satu koperasi</t>
  </si>
  <si>
    <t>Rencana penggunaan dana bukan untuk konsumtif/spekulatif</t>
  </si>
  <si>
    <t>Memiliki prospek usaha/kemampuan mengembalikan pinjaman</t>
  </si>
  <si>
    <t>Menyerap tenaga kerja dari luar keluarga/pemilik</t>
  </si>
  <si>
    <t>IV.</t>
  </si>
  <si>
    <t>KESIMPULAN HASIL UJI PETIK</t>
  </si>
  <si>
    <t>PENDAPAT ANGOTA KELOMPOK PEMUTUS PINJAMAN (KPP) JAMKRIDA:</t>
  </si>
  <si>
    <t>PERHITUNGAN HASIL USAHA</t>
  </si>
  <si>
    <t>Besarnya Pertumbuhan Kas 1 (satu) tahun buku terakhir</t>
  </si>
  <si>
    <t>1: &lt; 5% 
2: 5% - 10%
3: 10% - 15%
4: 15% - 20%
5: &gt; 20%</t>
  </si>
  <si>
    <t>Pertumbuhan Tabungan/Simpanan</t>
  </si>
  <si>
    <t>Besarnya Pertumbuhan Tabungan/Simpanan 1 (satu) tahun buku terakhir</t>
  </si>
  <si>
    <t>Piutang Sehat</t>
  </si>
  <si>
    <t>Cash Collateral</t>
  </si>
  <si>
    <t>Modal Sendiri Terhadap Asset
Tiring skor :
1. = &lt; 5%
2. = 5% - 10%
3. = 10% - 15%
4. = 15% - 20%
5. = &gt; 20%</t>
  </si>
  <si>
    <t>Net Interest Margin (NIM)
1. = NIM &lt; 2,5%
2. = 2,5% &lt; NIM &lt; 5%
3. = 5% &lt; NIM &lt; 7,5%
4. = 7,5% &lt; NIM &lt; 10%
5. = NIM &gt; 10%</t>
  </si>
  <si>
    <t>Usaha</t>
  </si>
  <si>
    <t>Tiring Skor</t>
  </si>
  <si>
    <t>1.  Tidak Sehat : CAR &lt; 4%
2. Kurang Sehat : 4% &lt; CAR &lt; 6%
3. Cukup Sehat : 6% &lt; CAR &lt; 8%
4. Sehat  : 8% &lt; CAR &lt; 12%
5. Sangat Sehat : CAR &gt; 12%</t>
  </si>
  <si>
    <t>1.  Sangat Tidak Sehat : NPL &gt; 30%
2. Tidak Sehat : 20% &lt; NPL &lt; 30%
3. Kurang Sehat : 10% &lt; NPL &lt; 20%
4. Cukup Sehat  : 0% &lt; NPL &lt; 10%
5. Sehat : NPL = 0%</t>
  </si>
  <si>
    <t>1.  Tidak Efisien : BOPO &gt; 100%
2. Kurang Efisien : 95% &lt; BOPO &lt; 100%
3. Cukup Efisien : 90% &lt; BOPO &lt; 95%
4. Efisien  : 80% &lt; BOPO &lt; 90%
5. Sangat Efisien : BOPO &lt; 80%</t>
  </si>
  <si>
    <t>1. = 50% &gt; LDR &amp; LDR &gt; 100%
2. = 50% &lt; LDR &lt; 60% &amp; 90% &lt; LDR &lt; 100%
3. = 60% &lt; LDR &lt; 70%
4. = 70% &lt; LDR &lt; 80%
5. = 80% &lt; LDR &lt; 90%</t>
  </si>
  <si>
    <t>1. = ROA &lt; 2,5%
2. = 2,5% &lt; ROA &lt; 5%
3. = 5% &lt; ROA &lt; 7,5%
4. = 7,5% &lt; ROA &lt; 10%
5. = ROA &gt; 10%</t>
  </si>
  <si>
    <t>1. = ROE &lt; 1,5%
2. = 1,5% &lt; ROE &lt; 3%
3. = 3% &lt; ROE &lt; 4%
4. = 4% &lt; ROE &lt; 5%
5. = ROE &gt; 5%</t>
  </si>
  <si>
    <t>1. = &lt; 5%
2. = 5% - 10%
3. = 10% - 15%
4. = 15% - 20%
5. = &gt; 20%</t>
  </si>
  <si>
    <t>1. diatas 4 kali
2. 3- 4 kali
3. 2 - 3 kali
4. 1 - 2 kali
5. dibawah 1 kali</t>
  </si>
  <si>
    <t>1. = NIM &lt; 2,5%
2. = 2,5% &lt; NIM &lt; 5%
3. = 5% &lt; NIM &lt; 7,5%
4. = 7,5% &lt; NIM &lt; 10%
5. = NIM &gt; 10%</t>
  </si>
  <si>
    <t>Kualitas Produk Pinjaman</t>
  </si>
  <si>
    <t>Tingkat Bunga Produk Pinjaman</t>
  </si>
  <si>
    <t>1 . jauh dibawah bunga rata-rata pasar</t>
  </si>
  <si>
    <t>5 . jauh dibawah bunga rata-rata pasar</t>
  </si>
  <si>
    <t>2 . dibawah bunga rata-rata pasar</t>
  </si>
  <si>
    <t>3 . Sesuai bunga rata-rata pasar</t>
  </si>
  <si>
    <t>4 . Di atas bunga rata-rata pasar</t>
  </si>
  <si>
    <t>5 . jauh di atas bunga rata-rata pasar</t>
  </si>
  <si>
    <t>4 . dibawah bunga rata-rata pasar</t>
  </si>
  <si>
    <t>2 . Di atas bunga rata-rata pasar</t>
  </si>
  <si>
    <t>1. jauh di atas bunga rata-rata pasar</t>
  </si>
  <si>
    <t>Jaringan kantor</t>
  </si>
  <si>
    <t>Kualitas Hubungan dengan Penyimpan/Deposan Terbesar</t>
  </si>
  <si>
    <t>1.  Beberapa lembaga keuangan menguasai kurang dari 10% pasar
2. Beberapa lembaga keuangan menguasai 10% - 15% pasar
3. Beberapa lembaga keuangan menguasai 15.01% - 20% pasar
4.  Beberapa lembaga keuangan menguasai 20.01% - 25% pasar
5.  Beberapa lembaga keuangan menguasai pasar diatas 25%</t>
  </si>
  <si>
    <t>Persaingan Produk Pinjaman</t>
  </si>
  <si>
    <t>1  : Tidak Mampu Bersaing
2 : Kurang Mampu Bersaing
3 : Cukup Mampu Bersaing
4 : Mampu Bersaing
5 : Sangat Mampu Bersaing</t>
  </si>
  <si>
    <t>Kondisi Lokasi Kantor</t>
  </si>
  <si>
    <t>Utilisasi Gedung / Kantor</t>
  </si>
  <si>
    <t>Penggunaan IT/Software Simpan Pinjam</t>
  </si>
  <si>
    <t>Penggunaan Komputer/PC</t>
  </si>
  <si>
    <t>Brankas</t>
  </si>
  <si>
    <t xml:space="preserve">
1 : Pegawai Tidak Menggunakan PC
2 :  Pegawai 25 %Menggunakan PC
3 : Pegawai 50% Menggunakan PC
4 : Pegawai 75% Menggunakan PC
5 : Semua pegawai menggunakan PC</t>
  </si>
  <si>
    <t xml:space="preserve">
1 : Calon Mitra tidak memiliki layanan Jemput Bola
2 : Calon Mitra memiliki layanan Jemput Bola yang kurang baik/lengkap
3 : Calon Mitra memiliki layanan Jemput Bola yang cukup baik/lengkap
4 : Calon Mitra memiliki layanan Jemput Bola yang baik/lengkap
5 : Calon Mitra memiliki layanan Jemput Bola yang sangat baik/lengkap</t>
  </si>
  <si>
    <t>Struktur / Sistem / SOP</t>
  </si>
  <si>
    <t>Struktur/sistem/SOP</t>
  </si>
  <si>
    <t>Sikap dan kerjasama dengan JAMKRIDA</t>
  </si>
  <si>
    <t>Track Record Penjaminan</t>
  </si>
  <si>
    <t>Banyaknya utilitas/pemakaian produk JAMKRIDA</t>
  </si>
  <si>
    <t>1  : tidak pernah menggunakan produk JAMKRIDA
2 :  Menggunakan 1 Produk JAMKRIDA
3 : Menggunakan 2 Produk JAMKRIDA
4 : Menggunakan 3 Produk JAMKRIDA
5 : Menggunakan lebih dari 3 Produk JAMKRIDA</t>
  </si>
  <si>
    <t>Kesesuaian Penggunaan Penjaminan</t>
  </si>
  <si>
    <t>Hubungan dengan Perusahaan Penjaminan lainnya</t>
  </si>
  <si>
    <t>KEBUTUHAN PEMBIAYAAN</t>
  </si>
  <si>
    <t>DANA BERGULIR LPDB</t>
  </si>
  <si>
    <t>PLAFOND MAKSIMUM</t>
  </si>
  <si>
    <t>2 = 11% &lt; CEV &lt; 55%</t>
  </si>
  <si>
    <t>5 = CEV &gt; 75%</t>
  </si>
  <si>
    <t>1.  Kecamatan
2.  = &gt; 3 Kecamatan
3.  Kabupaten/Kota
4.  Provinsi
5.  Nasional</t>
  </si>
  <si>
    <t>1.   Incidentil
2.  musiman / siklis
3.   kurang stabil
4.  Rutin
5.  sangat rutin</t>
  </si>
  <si>
    <t xml:space="preserve">1. Penjualan kurang dari 50% target 
2. Penjualan 50% -  79% target 
3. Penjualan 80% -  99% target
4. Penjualan 100% -  120% target
5.  Penjualan diatas 120% target
</t>
  </si>
  <si>
    <t>1.  diperkirakan di bawah -5%  
2.  diperkirakan -5% - 0%
3. diperkirakan 0% - 5%
4.diperkirakan 5% - 10%
5.diperkirakan lebih dari 10%</t>
  </si>
  <si>
    <t>1  : Tidak ada
2 : Kurang memenuhi syarat
3 : Cukup memenuhi syarat
4 : Memenuhi syarat
5 : Lebih memenuhi syarat</t>
  </si>
  <si>
    <t>1  : Tidak layak
2 : Kurang layak
3 : Cukup layak
4 : Layak
5 : Sangat layak</t>
  </si>
  <si>
    <t>Sejak</t>
  </si>
  <si>
    <t>Hubungan dengan JAMKRIDA Sejak</t>
  </si>
  <si>
    <t>TANGGAL PEMBUATAN PAP</t>
  </si>
  <si>
    <t>TANGGAL PEMBUATAN PAP:</t>
  </si>
  <si>
    <t xml:space="preserve">Grup Usaha                      </t>
  </si>
  <si>
    <t>1. tidak bisa diikat 
2. bisa diikat, tapi kurang dari 100% plafond pengajuan
3. bisa diikat 100% dari plafond pengajuan 
4. bisa diikat sampai dengan 150% dari plafond pengajuan
5. bisa diikat lebih dari 150% plafond pengajuan</t>
  </si>
  <si>
    <t>1. tidak bisa diikat 
2. bisa diikat, tapi kurang dari 20% plafond pengajuan
3. bisa diikat sampai dengan 50% dari plafond pengajuan 
4. bisa diikat sampai dengan 75% dari plafond pengajuan
5. bisa diikat sampai dengan 100% plafond pengajuan</t>
  </si>
  <si>
    <t>k.</t>
  </si>
  <si>
    <t>l.</t>
  </si>
  <si>
    <t>TANAH</t>
  </si>
  <si>
    <t>BANGUNAN</t>
  </si>
  <si>
    <t>* kolom Verifikasi Agunan ini akan terisi setelah mengisi kolom Formulir Berita Acara Taksasi Agunan yang terdapat pada sheet BATA</t>
  </si>
  <si>
    <t>PENETAPAN STRUKTUR FASILITAS PINJAMAN</t>
  </si>
  <si>
    <t>bulan</t>
  </si>
  <si>
    <t>Agunan Fix Asset</t>
  </si>
  <si>
    <t>Agunan Cash Collateral</t>
  </si>
  <si>
    <t>Agunan Piutang Sehat</t>
  </si>
  <si>
    <t>Penjaminan</t>
  </si>
  <si>
    <t>Diperiksa Oleh,</t>
  </si>
  <si>
    <t>PENDAPAT ANGOTA KELOMPOK PEMUTUS PINJAMAN (KPP) JAMKRIDA (DIREKTUR UTAMA)</t>
  </si>
  <si>
    <t>TANDATANGAN DAN TANGGAL PERSETUJUAN ANGGOTA KPP JAMKRIDA</t>
  </si>
  <si>
    <t>Jabatan Anggota KPP</t>
  </si>
  <si>
    <t>Nama Anggota KPP</t>
  </si>
  <si>
    <t>Asli/Copy</t>
  </si>
  <si>
    <t xml:space="preserve">Direktur Utama </t>
  </si>
  <si>
    <t>No ID Proposal</t>
  </si>
  <si>
    <t>Permohonan Dana Bergulir</t>
  </si>
  <si>
    <t>sudah menjabat sejak</t>
  </si>
  <si>
    <t>Diperiksa Oleh</t>
  </si>
  <si>
    <t>Diverifikasi Oleh</t>
  </si>
  <si>
    <t>TOTAL SKOR RATA-RATA RISIKO</t>
  </si>
  <si>
    <t xml:space="preserve">  FORMULIR RATING TERJAMIN (FRT)</t>
  </si>
  <si>
    <t>INFORMASI TERJAMIN</t>
  </si>
  <si>
    <t>INFORMASI LAINNYA</t>
  </si>
  <si>
    <t>Nama Group Usaha</t>
  </si>
  <si>
    <t>: (3)</t>
  </si>
  <si>
    <t>Sektor Ekonomi</t>
  </si>
  <si>
    <t>: (4)</t>
  </si>
  <si>
    <t>Sub Sektor Ekonomi</t>
  </si>
  <si>
    <t>: (5)</t>
  </si>
  <si>
    <t>: (6)</t>
  </si>
  <si>
    <t>Outstanding</t>
  </si>
  <si>
    <t>: (7)</t>
  </si>
  <si>
    <t>Key Person</t>
  </si>
  <si>
    <t>Alamat Pabrik/Proyek</t>
  </si>
  <si>
    <t>: (8)</t>
  </si>
  <si>
    <t>Periode Rating</t>
  </si>
  <si>
    <t xml:space="preserve">Aktivitas dlm. masa pembangunan      </t>
  </si>
  <si>
    <t>Ya</t>
  </si>
  <si>
    <t>Tidak</t>
  </si>
  <si>
    <t xml:space="preserve">Tanggal Laporan Keuangan          </t>
  </si>
  <si>
    <t>NILAI</t>
  </si>
  <si>
    <t>SKOR TERTINGI</t>
  </si>
  <si>
    <t>SKOR TERBOBOT</t>
  </si>
  <si>
    <t xml:space="preserve">ASPEK UMUM         </t>
  </si>
  <si>
    <t xml:space="preserve">Kualitas Informasi Keuangan           </t>
  </si>
  <si>
    <t>TOTAL RISIKO ASPEK UMUM TERBOBOT</t>
  </si>
  <si>
    <t xml:space="preserve">ASPEK MANAJEMEN                       </t>
  </si>
  <si>
    <t xml:space="preserve">Integrasi / Reputasi                     </t>
  </si>
  <si>
    <t xml:space="preserve">Struktur / Sistem                         </t>
  </si>
  <si>
    <t xml:space="preserve">Kaderisasi                  </t>
  </si>
  <si>
    <t>TOTAL RISIKO ASPEK MANAJEMEN TERBOBOT</t>
  </si>
  <si>
    <t xml:space="preserve">RATING MANAJEMEN                  </t>
  </si>
  <si>
    <t>Character / Integritas</t>
  </si>
  <si>
    <t>Pengalaman manajemen dibidang usahanya</t>
  </si>
  <si>
    <t>Luasnya Pengetahuan dan Ketrampilan Manajemen dalam usahanya</t>
  </si>
  <si>
    <t>TOTAL RISIKO RATING MANAJEMEN TERBOBOT</t>
  </si>
  <si>
    <t xml:space="preserve">ASPEK-ASPEK PEMASARAN           </t>
  </si>
  <si>
    <t xml:space="preserve">Konsentrasi Pelanggan                </t>
  </si>
  <si>
    <t>TOTAL RISIKO ASPEK PEMASARAN TERBOBOT</t>
  </si>
  <si>
    <t xml:space="preserve">ASPEK TEKNIS DAN PRODUKSI / PEMBELIAN           </t>
  </si>
  <si>
    <t>TOTAL RISIKO ASPEK TEKNIS DAN PRODUKSI TERBOBOT</t>
  </si>
  <si>
    <t xml:space="preserve">ASPEK KEUANGAN              </t>
  </si>
  <si>
    <t>TOTAL RISIKO ASPEK KEUANGAN TERBOBOT</t>
  </si>
  <si>
    <t xml:space="preserve">A. PENYESUAIAN-PENYESUAIAN </t>
  </si>
  <si>
    <t>I. Penyesuaian karena adanya kondisi-kondisi khusus</t>
  </si>
  <si>
    <t>KONDISI-KONDISI PENYESUAIAN</t>
  </si>
  <si>
    <t>BESARNYA PENGARUH TERHADAP KEMAMPUAN MEMBAYAR  (FIRST WAY OUT)</t>
  </si>
  <si>
    <t xml:space="preserve">Sangat
Lemah
</t>
  </si>
  <si>
    <t>Lemah</t>
  </si>
  <si>
    <t>Sedang</t>
  </si>
  <si>
    <t>Kuat</t>
  </si>
  <si>
    <t>Sangat Kuat</t>
  </si>
  <si>
    <t xml:space="preserve">Risiko Faktor negatif dari perusahaan afiliasi / group  </t>
  </si>
  <si>
    <t xml:space="preserve">Risiko Pengaruh kejadian force majeure                    </t>
  </si>
  <si>
    <t xml:space="preserve">Risiko Permasalahan hukum dan legalitas                                     </t>
  </si>
  <si>
    <t>Risiko Pemogokan Buruh</t>
  </si>
  <si>
    <t>Risiko Track record pembiayaan di Lembaga Pembiyaan Lainnya</t>
  </si>
  <si>
    <t xml:space="preserve">Risiko Tingkat kepedulian terhadap lingkungan hidup                                          </t>
  </si>
  <si>
    <t>ADJUSTED INITIAL RATING</t>
  </si>
  <si>
    <t>PENYESUAIAN RISIKO AKIBAT KONDISI KHUSUS</t>
  </si>
  <si>
    <t xml:space="preserve">RATING PENYESUAIAN </t>
  </si>
  <si>
    <t>Alasan Penyesuaian :</t>
  </si>
  <si>
    <t>Mitigasi Risiko</t>
  </si>
  <si>
    <t>II. Penyesuaian karena Riwayat Pembayaran</t>
  </si>
  <si>
    <t>Hari</t>
  </si>
  <si>
    <t>Sangat
Lemah</t>
  </si>
  <si>
    <t>PENYESUAIAN RISIKO AKIBAT RIWAYAT PEMBAYARAN</t>
  </si>
  <si>
    <t xml:space="preserve">B. CUSTOMER RISK RATING </t>
  </si>
  <si>
    <t>C. RATING JAMINAN</t>
  </si>
  <si>
    <t>BESARNYA PENGARUH TERHADAP AGUNAN/JAMINAN (SECOND WAY OUT)</t>
  </si>
  <si>
    <t>Risiko Kesempurnaan Pengikatan</t>
  </si>
  <si>
    <t>Risiko Marketabilitas Jaminan</t>
  </si>
  <si>
    <t>Risiko Permasalahan Hukum</t>
  </si>
  <si>
    <t>Risiko Lamanya Taksasi</t>
  </si>
  <si>
    <t>Risiko Kualitas Asuransi Jaminan</t>
  </si>
  <si>
    <t>PENYESUAIAN RISIKO AKIBAT AGUNAN/JAMINAN</t>
  </si>
  <si>
    <t>D. CUSTOMER CREDIT RATING (RATING RISIKO SETELAH PENYESSUAIAN)</t>
  </si>
  <si>
    <t>Modal Sendiri Terhadap Asset</t>
  </si>
  <si>
    <t>RETURN ON ASSET(ROA)</t>
  </si>
  <si>
    <t>Hubungan dengan Jamkrida</t>
  </si>
  <si>
    <t>Pertumbuhan Kas</t>
  </si>
  <si>
    <t>Plafon (Rp. Juta)</t>
  </si>
  <si>
    <t xml:space="preserve">Growth                </t>
  </si>
  <si>
    <t xml:space="preserve">Growth             </t>
  </si>
  <si>
    <t xml:space="preserve">Growth                     </t>
  </si>
  <si>
    <t>Growth</t>
  </si>
  <si>
    <t>Growth
B ke C</t>
  </si>
  <si>
    <t>Growth                                              B ke C</t>
  </si>
  <si>
    <t xml:space="preserve">
1 : Kawasan Berikat
2 : Kawasan Perumahan/Pemnungkiman
3 : Kawasan Industri
4 : Kawasan Bisnis Perkantoran
5 : Kawasan Perdagangan/Pasar</t>
  </si>
  <si>
    <t>Verifikator</t>
  </si>
  <si>
    <t>Petugas Lapangan Verifikator</t>
  </si>
  <si>
    <t>Supervisor</t>
  </si>
  <si>
    <t>Diverifikasi dan Disiapkan Oleh,</t>
  </si>
  <si>
    <t>Ket.:  SESUAI dan tidak ditemukan adanya permasalahan/tidak ada rekayasa.    //    TIDAK SESUAI dan ditemukan adanya permasalahan/ada rekayasa/tidak dapat diyakini kebenaran, (PILIH SALAH SATU)</t>
  </si>
  <si>
    <t>GROUP AFILIASI KOPERASI</t>
  </si>
  <si>
    <t>1. Legalitas Tidak Lengkap (Tidak Ada Dokumen)
2. Legalitas kurang lengkap (Ada, Kadaluarsa Tidak Proses Perpanjang)
3. Legalitas cukup lengkap (Ada, Kadaluarsa dalam Proses Perpanjang)
4. Legalitas lengkap (Ada dan Berlaku)
5. Legalitas sangat lengkap (Ada, Berlaku dan Melebihi Ekspektasi)</t>
  </si>
  <si>
    <r>
      <t xml:space="preserve">Tiring Lamanya Operasi Usaha :                                                                                                                                                                                                                                                                                                      1. Lamanya Usaha </t>
    </r>
    <r>
      <rPr>
        <u/>
        <sz val="9"/>
        <color indexed="8"/>
        <rFont val="Trebuchet MS"/>
        <family val="2"/>
      </rPr>
      <t>&gt;</t>
    </r>
    <r>
      <rPr>
        <sz val="9"/>
        <color indexed="8"/>
        <rFont val="Trebuchet MS"/>
        <family val="2"/>
      </rPr>
      <t xml:space="preserve"> 2 Tahun 
2. Lamanya Usaha 2 - 3 Tahun 
3. Lamanya Usaha 3 - 5 Tahun 
4. Lamanya Usaha 5 - 10 Tahun 
5. Lamanya Usaha &gt; 10 Tahun</t>
    </r>
  </si>
  <si>
    <r>
      <rPr>
        <u/>
        <sz val="9"/>
        <color indexed="8"/>
        <rFont val="Trebuchet MS"/>
        <family val="2"/>
      </rPr>
      <t>Character / Integritas (kejujuran &amp; kerjasama)</t>
    </r>
    <r>
      <rPr>
        <sz val="9"/>
        <color indexed="8"/>
        <rFont val="Trebuchet MS"/>
        <family val="2"/>
      </rPr>
      <t xml:space="preserve">
Memberikan informasi sesuai dengan kondisi yang ada
Menyajikan semua data yang diminta pihak Penjamin.
Ybs. Juga telah menyerahkan jaminan berupa rumah tinggal.</t>
    </r>
  </si>
  <si>
    <r>
      <rPr>
        <u/>
        <sz val="9"/>
        <color indexed="8"/>
        <rFont val="Trebuchet MS"/>
        <family val="2"/>
      </rPr>
      <t>Pengalaman Manajemen dibidang usahanya</t>
    </r>
    <r>
      <rPr>
        <sz val="9"/>
        <color indexed="8"/>
        <rFont val="Trebuchet MS"/>
        <family val="2"/>
      </rPr>
      <t xml:space="preserve">
Manajemen usaha telah beroperasi langsung dibawah key person sejak 5 tahun yang lalu</t>
    </r>
  </si>
  <si>
    <r>
      <t xml:space="preserve">KPMM (Kewajiban Penyertaan Modal Minimum) / CAR
Tiring skor :
1.  Tidak Sehat : CAR &lt; 4%
2. Kurang Sehat : 4% </t>
    </r>
    <r>
      <rPr>
        <u/>
        <sz val="9"/>
        <color indexed="8"/>
        <rFont val="Trebuchet MS"/>
        <family val="2"/>
      </rPr>
      <t>&lt;</t>
    </r>
    <r>
      <rPr>
        <sz val="9"/>
        <color indexed="8"/>
        <rFont val="Trebuchet MS"/>
        <family val="2"/>
      </rPr>
      <t xml:space="preserve"> CAR &lt; 6%
3. Cukup Sehat : 6% </t>
    </r>
    <r>
      <rPr>
        <u/>
        <sz val="9"/>
        <color indexed="8"/>
        <rFont val="Trebuchet MS"/>
        <family val="2"/>
      </rPr>
      <t>&lt;</t>
    </r>
    <r>
      <rPr>
        <sz val="9"/>
        <color indexed="8"/>
        <rFont val="Trebuchet MS"/>
        <family val="2"/>
      </rPr>
      <t xml:space="preserve"> CAR </t>
    </r>
    <r>
      <rPr>
        <u/>
        <sz val="9"/>
        <color indexed="8"/>
        <rFont val="Trebuchet MS"/>
        <family val="2"/>
      </rPr>
      <t>&lt;</t>
    </r>
    <r>
      <rPr>
        <sz val="9"/>
        <color indexed="8"/>
        <rFont val="Trebuchet MS"/>
        <family val="2"/>
      </rPr>
      <t xml:space="preserve"> 8%
4. Sehat  : 8% &lt; CAR </t>
    </r>
    <r>
      <rPr>
        <u/>
        <sz val="9"/>
        <color indexed="8"/>
        <rFont val="Trebuchet MS"/>
        <family val="2"/>
      </rPr>
      <t>&lt;</t>
    </r>
    <r>
      <rPr>
        <sz val="9"/>
        <color indexed="8"/>
        <rFont val="Trebuchet MS"/>
        <family val="2"/>
      </rPr>
      <t xml:space="preserve"> 12%
5. Sangat Sehat : CAR &gt; 12%</t>
    </r>
  </si>
  <si>
    <r>
      <t xml:space="preserve">Biaya Operasional Pendapatan Operasional (BOPO)
Tiring skor :
1.  Tidak Efisien : BOPO </t>
    </r>
    <r>
      <rPr>
        <u/>
        <sz val="9"/>
        <color indexed="8"/>
        <rFont val="Trebuchet MS"/>
        <family val="2"/>
      </rPr>
      <t>&gt;</t>
    </r>
    <r>
      <rPr>
        <sz val="9"/>
        <color indexed="8"/>
        <rFont val="Trebuchet MS"/>
        <family val="2"/>
      </rPr>
      <t xml:space="preserve"> 100%
2. Kurang Efisien : 95% </t>
    </r>
    <r>
      <rPr>
        <u/>
        <sz val="9"/>
        <color indexed="8"/>
        <rFont val="Trebuchet MS"/>
        <family val="2"/>
      </rPr>
      <t>&lt;</t>
    </r>
    <r>
      <rPr>
        <sz val="9"/>
        <color indexed="8"/>
        <rFont val="Trebuchet MS"/>
        <family val="2"/>
      </rPr>
      <t xml:space="preserve"> BOPO &lt; 100%
3. Cukup Efisien : 90% </t>
    </r>
    <r>
      <rPr>
        <u/>
        <sz val="9"/>
        <color indexed="8"/>
        <rFont val="Trebuchet MS"/>
        <family val="2"/>
      </rPr>
      <t>&lt;</t>
    </r>
    <r>
      <rPr>
        <sz val="9"/>
        <color indexed="8"/>
        <rFont val="Trebuchet MS"/>
        <family val="2"/>
      </rPr>
      <t xml:space="preserve"> BOPO &lt; 95%
4. Efisien  : 80% </t>
    </r>
    <r>
      <rPr>
        <u/>
        <sz val="9"/>
        <color indexed="8"/>
        <rFont val="Trebuchet MS"/>
        <family val="2"/>
      </rPr>
      <t>&lt;</t>
    </r>
    <r>
      <rPr>
        <sz val="9"/>
        <color indexed="8"/>
        <rFont val="Trebuchet MS"/>
        <family val="2"/>
      </rPr>
      <t xml:space="preserve"> BOPO &lt; 90%
5. Sangat Efisien : BOPO &lt; 80%</t>
    </r>
  </si>
  <si>
    <r>
      <t xml:space="preserve">CASH  RATIO (CR)
Tiring skor :
1. Tidak Liquid : 5% </t>
    </r>
    <r>
      <rPr>
        <u/>
        <sz val="9"/>
        <color indexed="8"/>
        <rFont val="Trebuchet MS"/>
        <family val="2"/>
      </rPr>
      <t>&gt;</t>
    </r>
    <r>
      <rPr>
        <sz val="9"/>
        <color indexed="8"/>
        <rFont val="Trebuchet MS"/>
        <family val="2"/>
      </rPr>
      <t xml:space="preserve"> CR &amp; CR &gt; 25%
1.  Kurang Liquid : 5% &lt;  CR </t>
    </r>
    <r>
      <rPr>
        <u/>
        <sz val="9"/>
        <color indexed="8"/>
        <rFont val="Trebuchet MS"/>
        <family val="2"/>
      </rPr>
      <t>&lt;</t>
    </r>
    <r>
      <rPr>
        <sz val="9"/>
        <color indexed="8"/>
        <rFont val="Trebuchet MS"/>
        <family val="2"/>
      </rPr>
      <t xml:space="preserve"> 10% &amp; 25% </t>
    </r>
    <r>
      <rPr>
        <u/>
        <sz val="9"/>
        <color indexed="8"/>
        <rFont val="Trebuchet MS"/>
        <family val="2"/>
      </rPr>
      <t>&gt;</t>
    </r>
    <r>
      <rPr>
        <sz val="9"/>
        <color indexed="8"/>
        <rFont val="Trebuchet MS"/>
        <family val="2"/>
      </rPr>
      <t xml:space="preserve"> CR &gt; 20%
3. Cukup Liquid : 15% &lt; CR </t>
    </r>
    <r>
      <rPr>
        <u/>
        <sz val="9"/>
        <color indexed="8"/>
        <rFont val="Trebuchet MS"/>
        <family val="2"/>
      </rPr>
      <t>&lt;</t>
    </r>
    <r>
      <rPr>
        <sz val="9"/>
        <color indexed="8"/>
        <rFont val="Trebuchet MS"/>
        <family val="2"/>
      </rPr>
      <t xml:space="preserve"> 20%
4. Liquid : 10% &lt; CR  </t>
    </r>
    <r>
      <rPr>
        <u/>
        <sz val="9"/>
        <color indexed="8"/>
        <rFont val="Trebuchet MS"/>
        <family val="2"/>
      </rPr>
      <t>&lt;</t>
    </r>
    <r>
      <rPr>
        <sz val="9"/>
        <color indexed="8"/>
        <rFont val="Trebuchet MS"/>
        <family val="2"/>
      </rPr>
      <t xml:space="preserve"> 12% &amp; 13% &lt; CR </t>
    </r>
    <r>
      <rPr>
        <u/>
        <sz val="9"/>
        <color indexed="8"/>
        <rFont val="Trebuchet MS"/>
        <family val="2"/>
      </rPr>
      <t>&lt;</t>
    </r>
    <r>
      <rPr>
        <sz val="9"/>
        <color indexed="8"/>
        <rFont val="Trebuchet MS"/>
        <family val="2"/>
      </rPr>
      <t xml:space="preserve"> 15%
5. Sangat Liquid : 12% &lt; CR </t>
    </r>
    <r>
      <rPr>
        <u/>
        <sz val="9"/>
        <color indexed="8"/>
        <rFont val="Trebuchet MS"/>
        <family val="2"/>
      </rPr>
      <t>&lt;</t>
    </r>
    <r>
      <rPr>
        <sz val="9"/>
        <color indexed="8"/>
        <rFont val="Trebuchet MS"/>
        <family val="2"/>
      </rPr>
      <t xml:space="preserve"> 13%</t>
    </r>
  </si>
  <si>
    <r>
      <t xml:space="preserve">LOAN TO DEPOSIT RATIO (LDR)
Tiring skor :
1. = 50% &gt; LDR &amp; LDR </t>
    </r>
    <r>
      <rPr>
        <u/>
        <sz val="9"/>
        <color indexed="8"/>
        <rFont val="Trebuchet MS"/>
        <family val="2"/>
      </rPr>
      <t>&gt;</t>
    </r>
    <r>
      <rPr>
        <sz val="9"/>
        <color indexed="8"/>
        <rFont val="Trebuchet MS"/>
        <family val="2"/>
      </rPr>
      <t xml:space="preserve"> 100%
2. = 50% </t>
    </r>
    <r>
      <rPr>
        <u/>
        <sz val="9"/>
        <color indexed="8"/>
        <rFont val="Trebuchet MS"/>
        <family val="2"/>
      </rPr>
      <t>&lt;</t>
    </r>
    <r>
      <rPr>
        <sz val="9"/>
        <color indexed="8"/>
        <rFont val="Trebuchet MS"/>
        <family val="2"/>
      </rPr>
      <t xml:space="preserve"> LDR &lt; 60% &amp; 90% </t>
    </r>
    <r>
      <rPr>
        <u/>
        <sz val="9"/>
        <color indexed="8"/>
        <rFont val="Trebuchet MS"/>
        <family val="2"/>
      </rPr>
      <t>&lt;</t>
    </r>
    <r>
      <rPr>
        <sz val="9"/>
        <color indexed="8"/>
        <rFont val="Trebuchet MS"/>
        <family val="2"/>
      </rPr>
      <t xml:space="preserve"> LDR &lt; 100%
3. = 60% </t>
    </r>
    <r>
      <rPr>
        <u/>
        <sz val="9"/>
        <color indexed="8"/>
        <rFont val="Trebuchet MS"/>
        <family val="2"/>
      </rPr>
      <t>&lt;</t>
    </r>
    <r>
      <rPr>
        <sz val="9"/>
        <color indexed="8"/>
        <rFont val="Trebuchet MS"/>
        <family val="2"/>
      </rPr>
      <t xml:space="preserve"> LDR &lt; 70%
4. = 70% </t>
    </r>
    <r>
      <rPr>
        <u/>
        <sz val="9"/>
        <color indexed="8"/>
        <rFont val="Trebuchet MS"/>
        <family val="2"/>
      </rPr>
      <t>&lt;</t>
    </r>
    <r>
      <rPr>
        <sz val="9"/>
        <color indexed="8"/>
        <rFont val="Trebuchet MS"/>
        <family val="2"/>
      </rPr>
      <t xml:space="preserve"> LDR &lt; 80%
5. = 80% </t>
    </r>
    <r>
      <rPr>
        <u/>
        <sz val="9"/>
        <color indexed="8"/>
        <rFont val="Trebuchet MS"/>
        <family val="2"/>
      </rPr>
      <t>&lt;</t>
    </r>
    <r>
      <rPr>
        <sz val="9"/>
        <color indexed="8"/>
        <rFont val="Trebuchet MS"/>
        <family val="2"/>
      </rPr>
      <t xml:space="preserve"> LDR &lt; 90%</t>
    </r>
  </si>
  <si>
    <r>
      <t xml:space="preserve">RETURN ON ASSET(ROA)
Tiring skor :
1. = ROA &lt; 2,5%
2. = 2,5% </t>
    </r>
    <r>
      <rPr>
        <u/>
        <sz val="9"/>
        <color indexed="8"/>
        <rFont val="Trebuchet MS"/>
        <family val="2"/>
      </rPr>
      <t>&lt;</t>
    </r>
    <r>
      <rPr>
        <sz val="9"/>
        <color indexed="8"/>
        <rFont val="Trebuchet MS"/>
        <family val="2"/>
      </rPr>
      <t xml:space="preserve"> ROA &lt; 5%
3. = 5% </t>
    </r>
    <r>
      <rPr>
        <u/>
        <sz val="9"/>
        <color indexed="8"/>
        <rFont val="Trebuchet MS"/>
        <family val="2"/>
      </rPr>
      <t>&lt;</t>
    </r>
    <r>
      <rPr>
        <sz val="9"/>
        <color indexed="8"/>
        <rFont val="Trebuchet MS"/>
        <family val="2"/>
      </rPr>
      <t xml:space="preserve"> ROA &lt; 7,5%
4. = 7,5% </t>
    </r>
    <r>
      <rPr>
        <u/>
        <sz val="9"/>
        <color indexed="8"/>
        <rFont val="Trebuchet MS"/>
        <family val="2"/>
      </rPr>
      <t>&lt;</t>
    </r>
    <r>
      <rPr>
        <sz val="9"/>
        <color indexed="8"/>
        <rFont val="Trebuchet MS"/>
        <family val="2"/>
      </rPr>
      <t xml:space="preserve"> ROA &lt; 10%
5. = ROA </t>
    </r>
    <r>
      <rPr>
        <u/>
        <sz val="9"/>
        <color indexed="8"/>
        <rFont val="Trebuchet MS"/>
        <family val="2"/>
      </rPr>
      <t>&gt;</t>
    </r>
    <r>
      <rPr>
        <sz val="9"/>
        <color indexed="8"/>
        <rFont val="Trebuchet MS"/>
        <family val="2"/>
      </rPr>
      <t xml:space="preserve"> 10%</t>
    </r>
  </si>
  <si>
    <r>
      <t xml:space="preserve">RETURN ON EQUITY(ROE)
Tiring skor :
1. = ROE &lt; 1,5%
2. = 1,5% </t>
    </r>
    <r>
      <rPr>
        <u/>
        <sz val="9"/>
        <color indexed="8"/>
        <rFont val="Trebuchet MS"/>
        <family val="2"/>
      </rPr>
      <t>&lt;</t>
    </r>
    <r>
      <rPr>
        <sz val="9"/>
        <color indexed="8"/>
        <rFont val="Trebuchet MS"/>
        <family val="2"/>
      </rPr>
      <t xml:space="preserve"> ROE &lt; 3%
3. = 3% </t>
    </r>
    <r>
      <rPr>
        <u/>
        <sz val="9"/>
        <color indexed="8"/>
        <rFont val="Trebuchet MS"/>
        <family val="2"/>
      </rPr>
      <t>&lt;</t>
    </r>
    <r>
      <rPr>
        <sz val="9"/>
        <color indexed="8"/>
        <rFont val="Trebuchet MS"/>
        <family val="2"/>
      </rPr>
      <t xml:space="preserve"> ROE &lt; 4%
4. = 4% </t>
    </r>
    <r>
      <rPr>
        <u/>
        <sz val="9"/>
        <color indexed="8"/>
        <rFont val="Trebuchet MS"/>
        <family val="2"/>
      </rPr>
      <t>&lt;</t>
    </r>
    <r>
      <rPr>
        <sz val="9"/>
        <color indexed="8"/>
        <rFont val="Trebuchet MS"/>
        <family val="2"/>
      </rPr>
      <t xml:space="preserve"> ROE &lt; 5%
5. = ROE </t>
    </r>
    <r>
      <rPr>
        <u/>
        <sz val="9"/>
        <color indexed="8"/>
        <rFont val="Trebuchet MS"/>
        <family val="2"/>
      </rPr>
      <t>&gt;</t>
    </r>
    <r>
      <rPr>
        <sz val="9"/>
        <color indexed="8"/>
        <rFont val="Trebuchet MS"/>
        <family val="2"/>
      </rPr>
      <t xml:space="preserve"> 5%</t>
    </r>
  </si>
  <si>
    <r>
      <t>KAS DAN BANK</t>
    </r>
    <r>
      <rPr>
        <b/>
        <sz val="9"/>
        <rFont val="Trebuchet MS"/>
        <family val="2"/>
      </rPr>
      <t xml:space="preserve"> :</t>
    </r>
  </si>
  <si>
    <r>
      <t>PIUTANG</t>
    </r>
    <r>
      <rPr>
        <b/>
        <sz val="9"/>
        <rFont val="Trebuchet MS"/>
        <family val="2"/>
      </rPr>
      <t xml:space="preserve"> :</t>
    </r>
  </si>
  <si>
    <t xml:space="preserve">Grup / Afiliasi Perusahaan / Hubungan Eksternal : </t>
  </si>
  <si>
    <r>
      <t>LUAS (M</t>
    </r>
    <r>
      <rPr>
        <b/>
        <vertAlign val="superscript"/>
        <sz val="9"/>
        <color indexed="8"/>
        <rFont val="Trebuchet MS"/>
        <family val="2"/>
      </rPr>
      <t>2</t>
    </r>
    <r>
      <rPr>
        <b/>
        <sz val="9"/>
        <color indexed="8"/>
        <rFont val="Trebuchet MS"/>
        <family val="2"/>
      </rPr>
      <t>)</t>
    </r>
  </si>
  <si>
    <r>
      <t>RP / M</t>
    </r>
    <r>
      <rPr>
        <b/>
        <vertAlign val="superscript"/>
        <sz val="9"/>
        <color indexed="8"/>
        <rFont val="Trebuchet MS"/>
        <family val="2"/>
      </rPr>
      <t>2</t>
    </r>
  </si>
  <si>
    <r>
      <t>TANAH &amp; BANGUNAN (</t>
    </r>
    <r>
      <rPr>
        <b/>
        <i/>
        <sz val="9"/>
        <color indexed="8"/>
        <rFont val="Trebuchet MS"/>
        <family val="2"/>
      </rPr>
      <t>CONTROLLED</t>
    </r>
    <r>
      <rPr>
        <b/>
        <sz val="9"/>
        <color indexed="8"/>
        <rFont val="Trebuchet MS"/>
        <family val="2"/>
      </rPr>
      <t>)</t>
    </r>
  </si>
  <si>
    <r>
      <t>TANAH &amp; BANGUNAN (</t>
    </r>
    <r>
      <rPr>
        <b/>
        <i/>
        <sz val="9"/>
        <color indexed="8"/>
        <rFont val="Trebuchet MS"/>
        <family val="2"/>
      </rPr>
      <t>UNCONTROLLED</t>
    </r>
    <r>
      <rPr>
        <b/>
        <sz val="9"/>
        <color indexed="8"/>
        <rFont val="Trebuchet MS"/>
        <family val="2"/>
      </rPr>
      <t>)</t>
    </r>
  </si>
  <si>
    <r>
      <t>PERSEDIAAN (</t>
    </r>
    <r>
      <rPr>
        <b/>
        <i/>
        <sz val="9"/>
        <color indexed="8"/>
        <rFont val="Trebuchet MS"/>
        <family val="2"/>
      </rPr>
      <t>UNCONTROLLED</t>
    </r>
    <r>
      <rPr>
        <b/>
        <sz val="9"/>
        <color indexed="8"/>
        <rFont val="Trebuchet MS"/>
        <family val="2"/>
      </rPr>
      <t>)</t>
    </r>
  </si>
  <si>
    <r>
      <t xml:space="preserve">JENIS </t>
    </r>
    <r>
      <rPr>
        <b/>
        <i/>
        <sz val="9"/>
        <color indexed="8"/>
        <rFont val="Trebuchet MS"/>
        <family val="2"/>
      </rPr>
      <t>CASH COLLATERAL</t>
    </r>
  </si>
  <si>
    <r>
      <t xml:space="preserve">CASH COLLATERAL </t>
    </r>
    <r>
      <rPr>
        <b/>
        <sz val="9"/>
        <color indexed="8"/>
        <rFont val="Trebuchet MS"/>
        <family val="2"/>
      </rPr>
      <t>(</t>
    </r>
    <r>
      <rPr>
        <b/>
        <i/>
        <sz val="9"/>
        <color indexed="8"/>
        <rFont val="Trebuchet MS"/>
        <family val="2"/>
      </rPr>
      <t>CONTROLLED</t>
    </r>
    <r>
      <rPr>
        <b/>
        <sz val="9"/>
        <color indexed="8"/>
        <rFont val="Trebuchet MS"/>
        <family val="2"/>
      </rPr>
      <t>)</t>
    </r>
  </si>
  <si>
    <r>
      <t xml:space="preserve">3 = 55% </t>
    </r>
    <r>
      <rPr>
        <u/>
        <sz val="9"/>
        <color indexed="8"/>
        <rFont val="Trebuchet MS"/>
        <family val="2"/>
      </rPr>
      <t>&lt;</t>
    </r>
    <r>
      <rPr>
        <sz val="9"/>
        <color indexed="8"/>
        <rFont val="Trebuchet MS"/>
        <family val="2"/>
      </rPr>
      <t xml:space="preserve"> CEV &lt; 65%</t>
    </r>
  </si>
  <si>
    <r>
      <t xml:space="preserve">4 = 65% </t>
    </r>
    <r>
      <rPr>
        <u/>
        <sz val="9"/>
        <color indexed="8"/>
        <rFont val="Trebuchet MS"/>
        <family val="2"/>
      </rPr>
      <t>&lt;</t>
    </r>
    <r>
      <rPr>
        <sz val="9"/>
        <color indexed="8"/>
        <rFont val="Trebuchet MS"/>
        <family val="2"/>
      </rPr>
      <t xml:space="preserve"> CEV &lt; 75%</t>
    </r>
  </si>
  <si>
    <r>
      <t>LUAS (M</t>
    </r>
    <r>
      <rPr>
        <vertAlign val="superscript"/>
        <sz val="9"/>
        <color indexed="8"/>
        <rFont val="Trebuchet MS"/>
        <family val="2"/>
      </rPr>
      <t>2</t>
    </r>
    <r>
      <rPr>
        <sz val="9"/>
        <color indexed="8"/>
        <rFont val="Trebuchet MS"/>
        <family val="2"/>
      </rPr>
      <t>)</t>
    </r>
  </si>
  <si>
    <r>
      <t>RP / M</t>
    </r>
    <r>
      <rPr>
        <vertAlign val="superscript"/>
        <sz val="9"/>
        <color indexed="8"/>
        <rFont val="Trebuchet MS"/>
        <family val="2"/>
      </rPr>
      <t>2</t>
    </r>
  </si>
  <si>
    <r>
      <t>TANAH DAN BANGUNAN (</t>
    </r>
    <r>
      <rPr>
        <b/>
        <i/>
        <sz val="9"/>
        <color indexed="8"/>
        <rFont val="Trebuchet MS"/>
        <family val="2"/>
      </rPr>
      <t>CONTROLLED</t>
    </r>
    <r>
      <rPr>
        <b/>
        <sz val="9"/>
        <color indexed="8"/>
        <rFont val="Trebuchet MS"/>
        <family val="2"/>
      </rPr>
      <t>)</t>
    </r>
  </si>
  <si>
    <r>
      <t>Luas Tanah (m</t>
    </r>
    <r>
      <rPr>
        <vertAlign val="superscript"/>
        <sz val="9"/>
        <color indexed="8"/>
        <rFont val="Trebuchet MS"/>
        <family val="2"/>
      </rPr>
      <t>2</t>
    </r>
    <r>
      <rPr>
        <sz val="9"/>
        <color indexed="8"/>
        <rFont val="Trebuchet MS"/>
        <family val="2"/>
      </rPr>
      <t>)</t>
    </r>
  </si>
  <si>
    <r>
      <t>Luas Bangunan (m</t>
    </r>
    <r>
      <rPr>
        <vertAlign val="superscript"/>
        <sz val="9"/>
        <color indexed="8"/>
        <rFont val="Trebuchet MS"/>
        <family val="2"/>
      </rPr>
      <t>2</t>
    </r>
    <r>
      <rPr>
        <sz val="9"/>
        <color indexed="8"/>
        <rFont val="Trebuchet MS"/>
        <family val="2"/>
      </rPr>
      <t>)</t>
    </r>
  </si>
  <si>
    <r>
      <t>TANAH DAN BANGUNAN (</t>
    </r>
    <r>
      <rPr>
        <b/>
        <i/>
        <sz val="9"/>
        <color indexed="8"/>
        <rFont val="Trebuchet MS"/>
        <family val="2"/>
      </rPr>
      <t>UNCONTROLLED</t>
    </r>
    <r>
      <rPr>
        <b/>
        <sz val="9"/>
        <color indexed="8"/>
        <rFont val="Trebuchet MS"/>
        <family val="2"/>
      </rPr>
      <t>)</t>
    </r>
  </si>
  <si>
    <r>
      <t xml:space="preserve">Jenis </t>
    </r>
    <r>
      <rPr>
        <i/>
        <sz val="9"/>
        <color indexed="8"/>
        <rFont val="Trebuchet MS"/>
        <family val="2"/>
      </rPr>
      <t>Cash Collateral</t>
    </r>
  </si>
  <si>
    <r>
      <t xml:space="preserve">Keterangan </t>
    </r>
    <r>
      <rPr>
        <i/>
        <sz val="9"/>
        <color indexed="8"/>
        <rFont val="Trebuchet MS"/>
        <family val="2"/>
      </rPr>
      <t xml:space="preserve">Cash Collateral </t>
    </r>
    <r>
      <rPr>
        <sz val="9"/>
        <color indexed="8"/>
        <rFont val="Trebuchet MS"/>
        <family val="2"/>
      </rPr>
      <t>(Nama Pemilik, Jenis dan Lokasi Penempatan)</t>
    </r>
  </si>
  <si>
    <r>
      <t xml:space="preserve">Nilai </t>
    </r>
    <r>
      <rPr>
        <i/>
        <sz val="9"/>
        <color indexed="8"/>
        <rFont val="Trebuchet MS"/>
        <family val="2"/>
      </rPr>
      <t>Cash Collateral</t>
    </r>
  </si>
  <si>
    <r>
      <t>CASH COLLATERAL</t>
    </r>
    <r>
      <rPr>
        <b/>
        <sz val="9"/>
        <color indexed="8"/>
        <rFont val="Trebuchet MS"/>
        <family val="2"/>
      </rPr>
      <t>(</t>
    </r>
    <r>
      <rPr>
        <b/>
        <i/>
        <sz val="9"/>
        <color indexed="8"/>
        <rFont val="Trebuchet MS"/>
        <family val="2"/>
      </rPr>
      <t>CONTROLLED</t>
    </r>
    <r>
      <rPr>
        <b/>
        <sz val="9"/>
        <color indexed="8"/>
        <rFont val="Trebuchet MS"/>
        <family val="2"/>
      </rPr>
      <t>)</t>
    </r>
  </si>
  <si>
    <t xml:space="preserve">R  Lamanya Tunggakan Bunga </t>
  </si>
  <si>
    <t xml:space="preserve">R  Lamanya Tunggakan Pokok </t>
  </si>
  <si>
    <r>
      <t xml:space="preserve">*) </t>
    </r>
    <r>
      <rPr>
        <u/>
        <sz val="9"/>
        <color indexed="8"/>
        <rFont val="Trebuchet MS"/>
        <family val="2"/>
      </rPr>
      <t>Catatan</t>
    </r>
    <r>
      <rPr>
        <sz val="9"/>
        <color indexed="8"/>
        <rFont val="Trebuchet MS"/>
        <family val="2"/>
      </rPr>
      <t xml:space="preserve"> : Penyesuaian dilakukan hanya untuk downgrading rating dan harus terdokumentasi</t>
    </r>
  </si>
  <si>
    <r>
      <rPr>
        <b/>
        <i/>
        <sz val="9"/>
        <color indexed="8"/>
        <rFont val="Trebuchet MS"/>
        <family val="2"/>
      </rPr>
      <t xml:space="preserve">CASH COLLATERAL </t>
    </r>
    <r>
      <rPr>
        <b/>
        <sz val="9"/>
        <color indexed="8"/>
        <rFont val="Trebuchet MS"/>
        <family val="2"/>
      </rPr>
      <t>(</t>
    </r>
    <r>
      <rPr>
        <b/>
        <i/>
        <sz val="9"/>
        <color indexed="8"/>
        <rFont val="Trebuchet MS"/>
        <family val="2"/>
      </rPr>
      <t>CONTROLLED</t>
    </r>
    <r>
      <rPr>
        <b/>
        <sz val="9"/>
        <color indexed="8"/>
        <rFont val="Trebuchet MS"/>
        <family val="2"/>
      </rPr>
      <t>)</t>
    </r>
  </si>
  <si>
    <r>
      <t xml:space="preserve">Berdasarkan perhitungan </t>
    </r>
    <r>
      <rPr>
        <i/>
        <sz val="9"/>
        <color indexed="8"/>
        <rFont val="Trebuchet MS"/>
        <family val="2"/>
      </rPr>
      <t>First Way Out</t>
    </r>
    <r>
      <rPr>
        <sz val="9"/>
        <color indexed="8"/>
        <rFont val="Trebuchet MS"/>
        <family val="2"/>
      </rPr>
      <t xml:space="preserve"> diketahui bahwa Skor Rata-Rata Form Analisa Keuangan (FAK) memiliki nilai terendah yaitu 4.00</t>
    </r>
  </si>
  <si>
    <r>
      <t xml:space="preserve">Aspek dalam FAK yang perlu mendapat perhatian khusus diantaranya adalah  Quick Asset Ratio sebesar 1.2%, </t>
    </r>
    <r>
      <rPr>
        <i/>
        <sz val="9"/>
        <color indexed="8"/>
        <rFont val="Trebuchet MS"/>
        <family val="2"/>
      </rPr>
      <t xml:space="preserve"> </t>
    </r>
    <r>
      <rPr>
        <sz val="9"/>
        <color indexed="8"/>
        <rFont val="Trebuchet MS"/>
        <family val="2"/>
      </rPr>
      <t>dan lamanya pengendapan persediaan yang mencapai 68 hari</t>
    </r>
  </si>
  <si>
    <r>
      <t xml:space="preserve">TOTAL SKOR RATA-RATA </t>
    </r>
    <r>
      <rPr>
        <b/>
        <i/>
        <sz val="9"/>
        <color indexed="8"/>
        <rFont val="Trebuchet MS"/>
        <family val="2"/>
      </rPr>
      <t>FIRST WAY OUT</t>
    </r>
  </si>
  <si>
    <r>
      <t xml:space="preserve">TOTAL SKOR RATA-RATA </t>
    </r>
    <r>
      <rPr>
        <b/>
        <i/>
        <sz val="9"/>
        <color indexed="8"/>
        <rFont val="Trebuchet MS"/>
        <family val="2"/>
      </rPr>
      <t>SECOND WAY OUT</t>
    </r>
  </si>
  <si>
    <r>
      <rPr>
        <sz val="9"/>
        <rFont val="Trebuchet MS"/>
        <family val="2"/>
      </rPr>
      <t>penulisan</t>
    </r>
    <r>
      <rPr>
        <sz val="9"/>
        <color indexed="10"/>
        <rFont val="Trebuchet MS"/>
        <family val="2"/>
      </rPr>
      <t xml:space="preserve"> nomor 64 - 67, 72, 73, 76 dan 77  </t>
    </r>
    <r>
      <rPr>
        <sz val="9"/>
        <rFont val="Trebuchet MS"/>
        <family val="2"/>
      </rPr>
      <t>selalu  didahului tanda "-" atau diantara tanda "(   )". Contoh : (1000000)</t>
    </r>
  </si>
  <si>
    <r>
      <t xml:space="preserve">Jika </t>
    </r>
    <r>
      <rPr>
        <sz val="9"/>
        <color indexed="10"/>
        <rFont val="Trebuchet MS"/>
        <family val="2"/>
      </rPr>
      <t xml:space="preserve">Row 54 </t>
    </r>
    <r>
      <rPr>
        <sz val="9"/>
        <color indexed="8"/>
        <rFont val="Trebuchet MS"/>
        <family val="2"/>
      </rPr>
      <t xml:space="preserve">dan </t>
    </r>
    <r>
      <rPr>
        <sz val="9"/>
        <color indexed="10"/>
        <rFont val="Trebuchet MS"/>
        <family val="2"/>
      </rPr>
      <t>55</t>
    </r>
    <r>
      <rPr>
        <sz val="9"/>
        <color indexed="8"/>
        <rFont val="Trebuchet MS"/>
        <family val="2"/>
      </rPr>
      <t xml:space="preserve"> tidak dapat diisi karena minimnya data pada R/L, maka total pendapatan usaha langsung diisikan pada </t>
    </r>
    <r>
      <rPr>
        <sz val="9"/>
        <color indexed="10"/>
        <rFont val="Trebuchet MS"/>
        <family val="2"/>
      </rPr>
      <t>Row 53</t>
    </r>
    <r>
      <rPr>
        <sz val="9"/>
        <color indexed="8"/>
        <rFont val="Trebuchet MS"/>
        <family val="2"/>
      </rPr>
      <t xml:space="preserve">, kemudian </t>
    </r>
    <r>
      <rPr>
        <sz val="9"/>
        <color indexed="10"/>
        <rFont val="Trebuchet MS"/>
        <family val="2"/>
      </rPr>
      <t>row 54</t>
    </r>
    <r>
      <rPr>
        <sz val="9"/>
        <color indexed="8"/>
        <rFont val="Trebuchet MS"/>
        <family val="2"/>
      </rPr>
      <t xml:space="preserve"> dan</t>
    </r>
    <r>
      <rPr>
        <sz val="9"/>
        <color indexed="10"/>
        <rFont val="Trebuchet MS"/>
        <family val="2"/>
      </rPr>
      <t xml:space="preserve"> 55</t>
    </r>
    <r>
      <rPr>
        <sz val="9"/>
        <color indexed="8"/>
        <rFont val="Trebuchet MS"/>
        <family val="2"/>
      </rPr>
      <t xml:space="preserve"> di '</t>
    </r>
    <r>
      <rPr>
        <sz val="9"/>
        <color indexed="10"/>
        <rFont val="Trebuchet MS"/>
        <family val="2"/>
      </rPr>
      <t>hide</t>
    </r>
    <r>
      <rPr>
        <sz val="9"/>
        <color indexed="8"/>
        <rFont val="Trebuchet MS"/>
        <family val="2"/>
      </rPr>
      <t>'.</t>
    </r>
  </si>
  <si>
    <r>
      <t xml:space="preserve">Jika </t>
    </r>
    <r>
      <rPr>
        <sz val="9"/>
        <color indexed="10"/>
        <rFont val="Trebuchet MS"/>
        <family val="2"/>
      </rPr>
      <t xml:space="preserve">Row 59, 60, 61 </t>
    </r>
    <r>
      <rPr>
        <sz val="9"/>
        <color indexed="8"/>
        <rFont val="Trebuchet MS"/>
        <family val="2"/>
      </rPr>
      <t xml:space="preserve">dan 62 tidak dapat diisi karena minimnya data pada R/L, maka total beban usaha langsung diisikan pada </t>
    </r>
    <r>
      <rPr>
        <sz val="9"/>
        <color indexed="10"/>
        <rFont val="Trebuchet MS"/>
        <family val="2"/>
      </rPr>
      <t>Row 58</t>
    </r>
    <r>
      <rPr>
        <sz val="9"/>
        <color indexed="8"/>
        <rFont val="Trebuchet MS"/>
        <family val="2"/>
      </rPr>
      <t xml:space="preserve">, kemudian </t>
    </r>
    <r>
      <rPr>
        <sz val="9"/>
        <color indexed="10"/>
        <rFont val="Trebuchet MS"/>
        <family val="2"/>
      </rPr>
      <t>row  59, 60, 61</t>
    </r>
    <r>
      <rPr>
        <sz val="9"/>
        <color indexed="8"/>
        <rFont val="Trebuchet MS"/>
        <family val="2"/>
      </rPr>
      <t xml:space="preserve"> dan </t>
    </r>
    <r>
      <rPr>
        <sz val="9"/>
        <color indexed="10"/>
        <rFont val="Trebuchet MS"/>
        <family val="2"/>
      </rPr>
      <t>62</t>
    </r>
    <r>
      <rPr>
        <sz val="9"/>
        <color indexed="8"/>
        <rFont val="Trebuchet MS"/>
        <family val="2"/>
      </rPr>
      <t xml:space="preserve"> di '</t>
    </r>
    <r>
      <rPr>
        <sz val="9"/>
        <color indexed="10"/>
        <rFont val="Trebuchet MS"/>
        <family val="2"/>
      </rPr>
      <t>hide</t>
    </r>
    <r>
      <rPr>
        <sz val="9"/>
        <color indexed="8"/>
        <rFont val="Trebuchet MS"/>
        <family val="2"/>
      </rPr>
      <t>'.</t>
    </r>
  </si>
  <si>
    <t>A-B</t>
  </si>
  <si>
    <t>B-C</t>
  </si>
  <si>
    <t>Profil Lembaga Keuangan Mikro</t>
  </si>
  <si>
    <t xml:space="preserve">Nama/name </t>
  </si>
  <si>
    <t>Alamat/address</t>
  </si>
  <si>
    <t>PIC</t>
  </si>
  <si>
    <t>Usulan pinjaman/loan proposed</t>
  </si>
  <si>
    <t>(dalam Ribuan Rp.)</t>
  </si>
  <si>
    <t>Target Jumlah Pinjaman Tahun ini</t>
  </si>
  <si>
    <t>Input profil LKM/MFI profile</t>
  </si>
  <si>
    <t>Data</t>
  </si>
  <si>
    <t>Jumlah Peminjam/number of borrower</t>
  </si>
  <si>
    <t>Jumlah Tenaga Marketing/number of a/o</t>
  </si>
  <si>
    <t>CAR dan DER seteleh menerima pinj BOB</t>
  </si>
  <si>
    <t xml:space="preserve">DER Simulasi </t>
  </si>
  <si>
    <t xml:space="preserve">CAR Simulasi </t>
  </si>
  <si>
    <t>085253501941</t>
  </si>
  <si>
    <t>Periode Laporan Keuangan/Financial period</t>
  </si>
  <si>
    <t>DD</t>
  </si>
  <si>
    <t>MM</t>
  </si>
  <si>
    <t>YY</t>
  </si>
  <si>
    <t>70% Kondumtif</t>
  </si>
  <si>
    <t>Input Data Historis</t>
  </si>
  <si>
    <t xml:space="preserve">LAPORAN NERACA/Balance sheet </t>
  </si>
  <si>
    <t>POS/AKTIVITAS/ACCOUNT</t>
  </si>
  <si>
    <t>SANDI/JENIS LBU</t>
  </si>
  <si>
    <t>LAPORAN KEUANGAN</t>
  </si>
  <si>
    <t>AKTIVA/ASSET</t>
  </si>
  <si>
    <t>Frm1:100</t>
  </si>
  <si>
    <t>Sertifikat Bank Indonesia/Placement on BI</t>
  </si>
  <si>
    <t>Frm1:110</t>
  </si>
  <si>
    <t>Lancar</t>
  </si>
  <si>
    <t>Antar Bank Aktiva/Placement at other bank</t>
  </si>
  <si>
    <t>Frm1:120</t>
  </si>
  <si>
    <t>Kurang Lancar</t>
  </si>
  <si>
    <t>Frm2:10</t>
  </si>
  <si>
    <t>Diragukan</t>
  </si>
  <si>
    <t>Frm2:20</t>
  </si>
  <si>
    <t>Macet</t>
  </si>
  <si>
    <t>Frm2:30&amp;40</t>
  </si>
  <si>
    <t>Pendapatan Bunga yang akan di terima</t>
  </si>
  <si>
    <t>Frm2:50,61&amp;69</t>
  </si>
  <si>
    <t>Penyisihan Kerugian</t>
  </si>
  <si>
    <t>Frm2:99</t>
  </si>
  <si>
    <t xml:space="preserve">Pembiayaan/Kredit/Credit Portfolio </t>
  </si>
  <si>
    <t>Frm1:130</t>
  </si>
  <si>
    <t>Frm3:10,20,31,35&amp;36</t>
  </si>
  <si>
    <t>Frm1:140</t>
  </si>
  <si>
    <t>Frm1:150</t>
  </si>
  <si>
    <t>Frm1:161</t>
  </si>
  <si>
    <t>Frm1:162</t>
  </si>
  <si>
    <t>Frm1:165</t>
  </si>
  <si>
    <t>Frm1:166</t>
  </si>
  <si>
    <t>Frm1:170&amp;180</t>
  </si>
  <si>
    <t>TOTAL AKTIVA/TOTAL ASSET</t>
  </si>
  <si>
    <t>PASIVA/LIABILITIES</t>
  </si>
  <si>
    <t>Frm1:200</t>
  </si>
  <si>
    <t>Frm1:210</t>
  </si>
  <si>
    <t>Frm1:220</t>
  </si>
  <si>
    <t>Frm1:230</t>
  </si>
  <si>
    <t>Antar Bank Pasiva/Placement from other bank</t>
  </si>
  <si>
    <t>Frm1:240</t>
  </si>
  <si>
    <t>Frm7:10</t>
  </si>
  <si>
    <t>Frm7:20</t>
  </si>
  <si>
    <t>Frm7:31,39,41,&amp; 49</t>
  </si>
  <si>
    <t>Frm7:30</t>
  </si>
  <si>
    <t>Pembiayaan/Pinjaman yang diterima Lainnya/Loan from other ins</t>
  </si>
  <si>
    <t>Frm1:257</t>
  </si>
  <si>
    <t>Frm1:251</t>
  </si>
  <si>
    <t>Frm1:260&amp;270</t>
  </si>
  <si>
    <t>Komponen Modal</t>
  </si>
  <si>
    <t>Frm1:281</t>
  </si>
  <si>
    <t>Frm1:282</t>
  </si>
  <si>
    <t>Agio</t>
  </si>
  <si>
    <t>Frm1:283</t>
  </si>
  <si>
    <t>Disagio -/-</t>
  </si>
  <si>
    <t>Frm1:284</t>
  </si>
  <si>
    <t>Frm1:285</t>
  </si>
  <si>
    <t>Frm1:287</t>
  </si>
  <si>
    <t>Dana Setoran Modal</t>
  </si>
  <si>
    <t>Frm1:288</t>
  </si>
  <si>
    <t>Selisih Penilaian Kembali Aktiva Tetap</t>
  </si>
  <si>
    <t>Frm1:289</t>
  </si>
  <si>
    <t>Cadangan umum</t>
  </si>
  <si>
    <t>Frm1:291</t>
  </si>
  <si>
    <t>Cadangan tujuan</t>
  </si>
  <si>
    <t>Frm1:293</t>
  </si>
  <si>
    <t>Laba ditahan</t>
  </si>
  <si>
    <t>Frm1:295</t>
  </si>
  <si>
    <t>Laba tahun-tahun yang lalu</t>
  </si>
  <si>
    <t>Frm1:302</t>
  </si>
  <si>
    <t>Rugi tahun-tahun yang lalu   -/-</t>
  </si>
  <si>
    <t>Frm1:303</t>
  </si>
  <si>
    <t>Laba tahun berjalan</t>
  </si>
  <si>
    <t>Frm1:307</t>
  </si>
  <si>
    <t>Rugi tahun berjalan   -/-</t>
  </si>
  <si>
    <t>Frm1:308</t>
  </si>
  <si>
    <t>TOTAL  PASIVA</t>
  </si>
  <si>
    <t>II.</t>
  </si>
  <si>
    <r>
      <t xml:space="preserve">REKENING ADMINISTRATIF </t>
    </r>
    <r>
      <rPr>
        <sz val="11"/>
        <rFont val="Arial"/>
        <family val="2"/>
      </rPr>
      <t>(dalam ribuan Rp.)</t>
    </r>
  </si>
  <si>
    <t>POS/AKTIVITAS</t>
  </si>
  <si>
    <t>Fasilitas Pinjaman yang diterima yang belum ditarik</t>
  </si>
  <si>
    <t>Pendapatan bunga dalam penyelesaian</t>
  </si>
  <si>
    <t>a. Bunga kredit yang diberikan</t>
  </si>
  <si>
    <t>b. Bunga lainnya</t>
  </si>
  <si>
    <t>Fasilitas kredit kepada nasabah yang belum ditarik</t>
  </si>
  <si>
    <t>Penerusan kredit (channeling)</t>
  </si>
  <si>
    <t>Aktiva produktif yang dihapusbuku</t>
  </si>
  <si>
    <t>Lain-lainnya yang bersifat administratif</t>
  </si>
  <si>
    <t xml:space="preserve">LAPORAN LABA/(RUGI) </t>
  </si>
  <si>
    <t>PENDAPATAN OPERASIONAL</t>
  </si>
  <si>
    <t>Pendapatan Operasional dari Penyaluran Dana</t>
  </si>
  <si>
    <t>A.1</t>
  </si>
  <si>
    <t>Frm9:112,113,114,115,116</t>
  </si>
  <si>
    <t>A.2</t>
  </si>
  <si>
    <t>Frm9:120</t>
  </si>
  <si>
    <t>A.3</t>
  </si>
  <si>
    <t>Lainnya</t>
  </si>
  <si>
    <t>Frm9:129</t>
  </si>
  <si>
    <t>Pendapatan Provisi dan Admin</t>
  </si>
  <si>
    <t>Frm9:131&amp;139</t>
  </si>
  <si>
    <t>Frm9:149</t>
  </si>
  <si>
    <t>SUB TOTAL PENDAPATAN OPERASIONAL</t>
  </si>
  <si>
    <t>Bunga KEPADA PEMILIK DANA</t>
  </si>
  <si>
    <t>Bank-bank lain</t>
  </si>
  <si>
    <t>Tabungan</t>
  </si>
  <si>
    <t>Frm9:166</t>
  </si>
  <si>
    <t>Deposito berjangka</t>
  </si>
  <si>
    <t>Frm9:167</t>
  </si>
  <si>
    <t xml:space="preserve">Pinjaman yang diterima </t>
  </si>
  <si>
    <t>Frm9:168</t>
  </si>
  <si>
    <t>A.4</t>
  </si>
  <si>
    <t>Frm9:169</t>
  </si>
  <si>
    <t>Bank Indonesia</t>
  </si>
  <si>
    <t>Frm9:161</t>
  </si>
  <si>
    <t>Kepada pihak ketiga bukan bank</t>
  </si>
  <si>
    <t>B.1</t>
  </si>
  <si>
    <t>Frm9:171</t>
  </si>
  <si>
    <t>B.2</t>
  </si>
  <si>
    <t>Frm9:172</t>
  </si>
  <si>
    <t>B.3</t>
  </si>
  <si>
    <t>Pinjaman</t>
  </si>
  <si>
    <t>Frm9:173</t>
  </si>
  <si>
    <t>B.4 Lainnya</t>
  </si>
  <si>
    <t>Frm9:179</t>
  </si>
  <si>
    <t>D</t>
  </si>
  <si>
    <t>Koreksi atas pendapatan bunga</t>
  </si>
  <si>
    <t>Frm9:181</t>
  </si>
  <si>
    <t>SUB BAGI HASIL KEPADA PEMILIK DANA -/-</t>
  </si>
  <si>
    <t>PENDPTN OPS. STL DISTRIBUSI BAGI HSL KPD PEMILIK (I - II)</t>
  </si>
  <si>
    <t>BEBAN OPERASIONAL</t>
  </si>
  <si>
    <t>Beban Bunga/Premi Asuransi</t>
  </si>
  <si>
    <t>Frm9:190</t>
  </si>
  <si>
    <t>Frm9:201,206,209</t>
  </si>
  <si>
    <t>Frm9:210</t>
  </si>
  <si>
    <t>Pajak-pajak (tidak termasuk pajak penghasilan)</t>
  </si>
  <si>
    <t>Frm9:220</t>
  </si>
  <si>
    <t>E</t>
  </si>
  <si>
    <t xml:space="preserve">Pemasaran, Pemeliharaan dan perbaikan </t>
  </si>
  <si>
    <t>Frm9:230</t>
  </si>
  <si>
    <t>F</t>
  </si>
  <si>
    <t>Frm9:241</t>
  </si>
  <si>
    <t>G</t>
  </si>
  <si>
    <t xml:space="preserve">Penyusutan aktiva tetap, inventaris </t>
  </si>
  <si>
    <t>Frm9:243</t>
  </si>
  <si>
    <t>H</t>
  </si>
  <si>
    <t>Beban yang ditangguhkan</t>
  </si>
  <si>
    <t>Frm9:245</t>
  </si>
  <si>
    <t>Barang &amp; jasa</t>
  </si>
  <si>
    <t>Frm9:250</t>
  </si>
  <si>
    <t>J</t>
  </si>
  <si>
    <t>Frm9:269</t>
  </si>
  <si>
    <t>SUB TOTAL BEBAN OPERASIONAL</t>
  </si>
  <si>
    <t>V</t>
  </si>
  <si>
    <t>LABA/(RUGI) OPERASIONAL (III - IV)</t>
  </si>
  <si>
    <t>Frm9:270,280</t>
  </si>
  <si>
    <t>VI</t>
  </si>
  <si>
    <t>PENDAPATAN NON OPERASIONAL</t>
  </si>
  <si>
    <t>Frm9:290</t>
  </si>
  <si>
    <t>VII</t>
  </si>
  <si>
    <t>BEBAN NON OPERASIONAL    -/-</t>
  </si>
  <si>
    <t>Frm9:300</t>
  </si>
  <si>
    <t>VIII</t>
  </si>
  <si>
    <t>LABA/(RUGI) TAHUN BERJALAN SEBELUM PAJAK</t>
  </si>
  <si>
    <t>Frm9:330,340</t>
  </si>
  <si>
    <t>IX</t>
  </si>
  <si>
    <t>Beban Pajak</t>
  </si>
  <si>
    <t>Frm9:350</t>
  </si>
  <si>
    <t>XV</t>
  </si>
  <si>
    <t>LABA/(RUGI) BERSIH TAHUN BERJALAN</t>
  </si>
  <si>
    <t>Frm9:360,370</t>
  </si>
  <si>
    <t xml:space="preserve">I </t>
  </si>
  <si>
    <t>Jumlah nasabah penyimpan dana</t>
  </si>
  <si>
    <t xml:space="preserve">Jumlah nasabah peminjam </t>
  </si>
  <si>
    <t>Jumlah rekening pinjaman</t>
  </si>
  <si>
    <t xml:space="preserve">Jumlah rekening tabungan </t>
  </si>
  <si>
    <t xml:space="preserve">Jumlah rekening deposito </t>
  </si>
  <si>
    <t xml:space="preserve">Komposisi pembiayaan bermasalah </t>
  </si>
  <si>
    <t>- Pertanian</t>
  </si>
  <si>
    <t>- Perindustrian</t>
  </si>
  <si>
    <t>- Perdagangan, rumah makan &amp; penginapan</t>
  </si>
  <si>
    <t xml:space="preserve">- Jasa-jasa </t>
  </si>
  <si>
    <t>-Lain-lain</t>
  </si>
  <si>
    <t xml:space="preserve">- Total </t>
  </si>
  <si>
    <t>Cek selisih</t>
  </si>
  <si>
    <t>KETERANGAN RASIO</t>
  </si>
  <si>
    <t>TANGGAL</t>
  </si>
  <si>
    <t>LDR</t>
  </si>
  <si>
    <t>Pembiayaan yang diberikan</t>
  </si>
  <si>
    <t>(Tabungan + Deposito + Bank Indonesia + Deposito dari bank lain + Pinjaman diterima + Modal pinjaman + modal inti)</t>
  </si>
  <si>
    <t>Kewajiban bersih terhadap modal inti</t>
  </si>
  <si>
    <t>(Antar Bank Pasiva - Antar Bank Aktiva)</t>
  </si>
  <si>
    <t>Modal inti</t>
  </si>
  <si>
    <t>(Kas + SBI + Giro pada bank lain + tabungan antar bank aktiva) - (tabungan &amp; titipan antar bank pasiva)</t>
  </si>
  <si>
    <t>(Kewajiban segera + Tabungan + Deposito)</t>
  </si>
  <si>
    <t>NPL (Gross)</t>
  </si>
  <si>
    <t>Pembiayaan kol. 2 + kol. 3 + kol. 4</t>
  </si>
  <si>
    <t>ROAA (Return of Average Asset)</t>
  </si>
  <si>
    <t>Laba/(rugi) sebelum pajak (disetahunkan)</t>
  </si>
  <si>
    <t>(Total Aktiva periode N + Total Aktiva periode N-1) / 2</t>
  </si>
  <si>
    <t>ROAE (Return of Average Equity)</t>
  </si>
  <si>
    <t>(Komp. Modal periode N + Komp. Modal periode N-1) / 2</t>
  </si>
  <si>
    <t>BOPO (Biaya Operasional thd Pendapatan Ops.)</t>
  </si>
  <si>
    <t>Total Biaya Operasional</t>
  </si>
  <si>
    <t>Total Pendapatan Operasional</t>
  </si>
  <si>
    <t>OSS</t>
  </si>
  <si>
    <t>DER (Debt to Equity Ratio)</t>
  </si>
  <si>
    <t>(Total Pasiva - Komponen Modal)</t>
  </si>
  <si>
    <t>NGR (Net Gearing Ratio)</t>
  </si>
  <si>
    <t>(Kewajiban Segera + Tabungan + deposito + Antar Bank Pasiva) - (Kas + SBI + Antar Bank Aktiva)</t>
  </si>
  <si>
    <t>Modal Inti</t>
  </si>
  <si>
    <t>CAR (Capital Adequacy Ratio)</t>
  </si>
  <si>
    <t>Modal CAR (Modal inti + Modal Pelengkap)</t>
  </si>
  <si>
    <t>Aktiva Tertimbang Menurut Risiko</t>
  </si>
  <si>
    <t>NIM (Net Interest Margin)</t>
  </si>
  <si>
    <t>Pendapatan Bunga Bersih (Pendapatan bunga - Biaya bunga) (disetahunkan)</t>
  </si>
  <si>
    <t>Total Aktiva Produktif</t>
  </si>
  <si>
    <t>Rasio Pemenuhan PPAP</t>
  </si>
  <si>
    <t>PPAP Tersedia</t>
  </si>
  <si>
    <t>PPAP Wajib</t>
  </si>
  <si>
    <t>Net Kredit terhadap Total Aktiva</t>
  </si>
  <si>
    <t>(Kredit diberikan - PPAP Tersedia)</t>
  </si>
  <si>
    <t>Total Aktiva</t>
  </si>
  <si>
    <t>BDR ( Bad Debt Ratio )</t>
  </si>
  <si>
    <t>Aktiva Produktif diklasifikasikan</t>
  </si>
  <si>
    <t>Return on Paid In Capital</t>
  </si>
  <si>
    <t>Modal disetor</t>
  </si>
  <si>
    <t>Cost of Fund Funding</t>
  </si>
  <si>
    <t>Biaya Bunga Tabungan</t>
  </si>
  <si>
    <t>Nominal Tabungan</t>
  </si>
  <si>
    <t>COF Tabungan</t>
  </si>
  <si>
    <t>Biaya bunga deposito</t>
  </si>
  <si>
    <t>Nominal Deposito</t>
  </si>
  <si>
    <t>COF Deposito</t>
  </si>
  <si>
    <t>Biaya Bunga Pinjaman</t>
  </si>
  <si>
    <t xml:space="preserve">Nominal Pinjaman </t>
  </si>
  <si>
    <t>COF Pinjaman</t>
  </si>
  <si>
    <t>Yield KYD</t>
  </si>
  <si>
    <t>Loan Revenue</t>
  </si>
  <si>
    <t>Loan Outstanding</t>
  </si>
  <si>
    <t>Bad Debt Write Off Ratio</t>
  </si>
  <si>
    <t>Bad Debt Write Off</t>
  </si>
  <si>
    <t>Average book</t>
  </si>
  <si>
    <t>Bad debt ratio</t>
  </si>
  <si>
    <t>Bad debt provisions</t>
  </si>
  <si>
    <t>AKTIVA</t>
  </si>
  <si>
    <t>Penempatan pada Bank Indonesia</t>
  </si>
  <si>
    <t>Giro pada Bank lain</t>
  </si>
  <si>
    <t>Tabungan pada Bank lain</t>
  </si>
  <si>
    <t>Deposito pada Bank lain</t>
  </si>
  <si>
    <t>Pembiayaan/Kredit</t>
  </si>
  <si>
    <t>kolektibilitas Kurang Lancar</t>
  </si>
  <si>
    <t>kolektibilitas Diragukan</t>
  </si>
  <si>
    <t>kolektibilitas Macet</t>
  </si>
  <si>
    <t>PPAP tersedia</t>
  </si>
  <si>
    <t>PASIVA</t>
  </si>
  <si>
    <t>Kewajiban Lainnya</t>
  </si>
  <si>
    <t>Deposito</t>
  </si>
  <si>
    <t>Tabungan dari bank lain</t>
  </si>
  <si>
    <t>Deposito dari Bank Lain</t>
  </si>
  <si>
    <t>Titipan Dari Bank lain</t>
  </si>
  <si>
    <t>Pembiayaan/pinjaman dari bank yg diterima &lt; 3 bln</t>
  </si>
  <si>
    <t>Pembiayaan/pinjaman dari bank yg diterima &gt; 3 bulan</t>
  </si>
  <si>
    <t>Kewajiban Kepada bank Indonesia</t>
  </si>
  <si>
    <t>Rupa-rupa Pasiva</t>
  </si>
  <si>
    <t>Pembiayaan/pinjaman yg diterima &lt; 3 bln</t>
  </si>
  <si>
    <t>Pembiayaan/pinjaman yg diterima &gt; 3 bulan</t>
  </si>
  <si>
    <t>Pinjaman subordinasi</t>
  </si>
  <si>
    <t>Komponen modal</t>
  </si>
  <si>
    <t>Modal Disetor</t>
  </si>
  <si>
    <t>Modal Pinjaman</t>
  </si>
  <si>
    <t>LABA (RUGI)</t>
  </si>
  <si>
    <t>Total Bagi Hasil &amp; Beban Operasional</t>
  </si>
  <si>
    <t>Penempatan pada Bank Lain</t>
  </si>
  <si>
    <t>Kewajiban Kepada Bank Lain</t>
  </si>
  <si>
    <t>Total aktiva Produktif</t>
  </si>
  <si>
    <t>▼</t>
  </si>
  <si>
    <t>Modal CAR</t>
  </si>
  <si>
    <t>ATMR</t>
  </si>
  <si>
    <t xml:space="preserve">Informasi tambahan </t>
  </si>
  <si>
    <t>Komposisi portofolio</t>
  </si>
  <si>
    <t>Kurang lancar</t>
  </si>
  <si>
    <t xml:space="preserve">Diragukan </t>
  </si>
  <si>
    <t>Komposisi kas</t>
  </si>
  <si>
    <t>Kas dan setara kas saldo awal</t>
  </si>
  <si>
    <t>SBI</t>
  </si>
  <si>
    <t>Giro</t>
  </si>
  <si>
    <t xml:space="preserve">Tabungan </t>
  </si>
  <si>
    <t xml:space="preserve">lainnya </t>
  </si>
  <si>
    <t>Total Kas dan ABA</t>
  </si>
  <si>
    <t>Pertumbuhan rata-rata deposito nominal</t>
  </si>
  <si>
    <t>Pinjaman Jangka Panjang diatas Satu Tahun</t>
  </si>
  <si>
    <t>kolektibilitas Lancar</t>
  </si>
  <si>
    <t xml:space="preserve">Penyisihan penghapusan aktiva produktif   </t>
  </si>
  <si>
    <t>Aktiva dalam valuta asing</t>
  </si>
  <si>
    <t>Tanah &amp; gedung</t>
  </si>
  <si>
    <t xml:space="preserve">Akumulasi penyusutan gedung  </t>
  </si>
  <si>
    <t>Inventaris dan Kendaraan</t>
  </si>
  <si>
    <t xml:space="preserve">Akumulasi penyusutan inventaris   </t>
  </si>
  <si>
    <t>Kewajiban yang segera dibayar</t>
  </si>
  <si>
    <t>Tabungan dari Bank Lain</t>
  </si>
  <si>
    <t>Modal Dasar</t>
  </si>
  <si>
    <t xml:space="preserve">Modal yang belum disetor   </t>
  </si>
  <si>
    <t>Modal Sumbangan</t>
  </si>
  <si>
    <t>Hutang Kepada Institusi Lain/Bank/Leasing dibawah satu tahun</t>
  </si>
  <si>
    <t>Cadangan Umum</t>
  </si>
  <si>
    <t>Cadangan Tujuan</t>
  </si>
  <si>
    <t>SHU/Laba (rugi) Tahun Berjalan (Sebelum Pajak)</t>
  </si>
  <si>
    <t>Saldo Laba (rugi) ditahan</t>
  </si>
  <si>
    <t>Dari Bunga Pinjaman</t>
  </si>
  <si>
    <t>Pendapatan Operasional Lainnya</t>
  </si>
  <si>
    <t>KEWAJIBAN PENYEDIAAN MODAL MINIMUM (KPMM)</t>
  </si>
  <si>
    <t>PERIODE LAPORAN KEUANGAN</t>
  </si>
  <si>
    <t>AKTIVA TETAP MENURUT RISIKO (ATMR)</t>
  </si>
  <si>
    <t>MODAL</t>
  </si>
  <si>
    <t>1.1</t>
  </si>
  <si>
    <t>1.2</t>
  </si>
  <si>
    <t>1.3</t>
  </si>
  <si>
    <t>1.4</t>
  </si>
  <si>
    <t>1.5</t>
  </si>
  <si>
    <t>1.6</t>
  </si>
  <si>
    <t>1.7</t>
  </si>
  <si>
    <t>1.8</t>
  </si>
  <si>
    <t>Laba Ditahan</t>
  </si>
  <si>
    <t>1.9</t>
  </si>
  <si>
    <t>Laba Tahun-Tahun Lalu</t>
  </si>
  <si>
    <t>1.10</t>
  </si>
  <si>
    <t>Rugi Tahun-Tahun Lalu -/-</t>
  </si>
  <si>
    <t>1.11</t>
  </si>
  <si>
    <t>Laba Tahun Berjalan (50%)</t>
  </si>
  <si>
    <t>1.12</t>
  </si>
  <si>
    <t>Rugi Tahun Berjalan -/-</t>
  </si>
  <si>
    <t>1.13</t>
  </si>
  <si>
    <t>Sub Total</t>
  </si>
  <si>
    <t>1.14</t>
  </si>
  <si>
    <t>Kekurangan Pembentukan PPAP</t>
  </si>
  <si>
    <t>1.15</t>
  </si>
  <si>
    <t>Goodwill -/-</t>
  </si>
  <si>
    <t>1.16</t>
  </si>
  <si>
    <t>Jumlah Modal Inti</t>
  </si>
  <si>
    <t>Modal Pelengkap</t>
  </si>
  <si>
    <t>2.1</t>
  </si>
  <si>
    <t>Cadangan revaluasi/Selisih penilaian aktiva tetap</t>
  </si>
  <si>
    <t>2.2</t>
  </si>
  <si>
    <t>Penyisihan Penghapusan Aktiva Produktif</t>
  </si>
  <si>
    <t>(maks. 1,25% dari ATMR)</t>
  </si>
  <si>
    <t>2.3</t>
  </si>
  <si>
    <t>Modal Pinjaman (Kuasi)</t>
  </si>
  <si>
    <t>2.4</t>
  </si>
  <si>
    <t xml:space="preserve">Pinjaman Subordinasi </t>
  </si>
  <si>
    <t>(maks. 50% dari modal inti)</t>
  </si>
  <si>
    <t>2.5</t>
  </si>
  <si>
    <t>Jumlah Modal Pelengkap</t>
  </si>
  <si>
    <t>2.6</t>
  </si>
  <si>
    <t xml:space="preserve">Jumlah Modal Pelengkap Yang Diperhitungkan </t>
  </si>
  <si>
    <t>(maks. 100% dari modal inti)</t>
  </si>
  <si>
    <t>Jumlah Modal (inti + pelengkap)</t>
  </si>
  <si>
    <t>CAPITAL ADEQUACY RATIO (CAR)</t>
  </si>
  <si>
    <t>Kekurangan modal untuk CAR 8%</t>
  </si>
  <si>
    <t>Maksimal BMPK Pihak Terkait (10%)</t>
  </si>
  <si>
    <t>Maksimal BMPK perorangan/grup pihak tidak terkait (20%)</t>
  </si>
  <si>
    <t>Aktiva Produktif</t>
  </si>
  <si>
    <t>SBI (Lancar)</t>
  </si>
  <si>
    <t>Penempatan pada Bank lain</t>
  </si>
  <si>
    <t>Piutang</t>
  </si>
  <si>
    <t>AGUNAN PEMBIAYAAN</t>
  </si>
  <si>
    <t>PERHITUNGAN PPAP WAJIB</t>
  </si>
  <si>
    <t>Rasio Aktiva Produktif Bermasalah</t>
  </si>
  <si>
    <t>Rasio NPL (Gross)</t>
  </si>
  <si>
    <t>Rasio PPAP</t>
  </si>
  <si>
    <t>Kekurangan PPAP</t>
  </si>
  <si>
    <t>*) Asumsi nilai agunan 50% dari baki debet</t>
  </si>
  <si>
    <t>Resiko</t>
  </si>
  <si>
    <t xml:space="preserve">- </t>
  </si>
  <si>
    <t>Sertifikat Bank Indonesia</t>
  </si>
  <si>
    <t>Kredit yang dijamin dengan deposito dan tabungan milik peminjam pada BPR/S yang bersangkutan</t>
  </si>
  <si>
    <t>Giro, deposito, sertifikat deposito, tabungan serta tagihan lainnya kepada bank lain</t>
  </si>
  <si>
    <t>Kredit kepada bank lain atau pemerintah daerah</t>
  </si>
  <si>
    <t>Kredit kepada atau yang dijamin bank lain atau pemerintah daerah</t>
  </si>
  <si>
    <t>Kredit Pemilikan Rumah (KPR) yang dijamin oleh hipotik pertama dengan tujuan untuk dihuni</t>
  </si>
  <si>
    <t>Kredit kepada atau yang dijamin oleh ; BUMD, peorangan, koperasi, perusahaan swasta dan lain-lain.</t>
  </si>
  <si>
    <t>Aktiva Tetap dan Inventaris (nilai buku).</t>
  </si>
  <si>
    <t>Aktiva Lainnya.</t>
  </si>
  <si>
    <t>Total ATMR</t>
  </si>
  <si>
    <t>Limited Due Diligence Worksheet</t>
  </si>
  <si>
    <t>Name</t>
  </si>
  <si>
    <t>Financial report date</t>
  </si>
  <si>
    <t>Date</t>
  </si>
  <si>
    <t>Fill with X</t>
  </si>
  <si>
    <t>Risk Factor</t>
  </si>
  <si>
    <t>Bobot</t>
  </si>
  <si>
    <t>Risk Level</t>
  </si>
  <si>
    <t xml:space="preserve">Nilai </t>
  </si>
  <si>
    <t>Low</t>
  </si>
  <si>
    <t>Medium</t>
  </si>
  <si>
    <t>High</t>
  </si>
  <si>
    <t>Financial Risk (15%)</t>
  </si>
  <si>
    <t>NPL trend</t>
  </si>
  <si>
    <t>Liquidity Risk</t>
  </si>
  <si>
    <t>Loan facility track record from other institution</t>
  </si>
  <si>
    <t>Governance and Organization (30%)</t>
  </si>
  <si>
    <t>Organization structure</t>
  </si>
  <si>
    <t>Internal control</t>
  </si>
  <si>
    <t>Business plan and result review</t>
  </si>
  <si>
    <t>Years in operation</t>
  </si>
  <si>
    <t>BoC and BoD participation</t>
  </si>
  <si>
    <t>Legal Lending Limit</t>
  </si>
  <si>
    <t>Management and Administration(35%)</t>
  </si>
  <si>
    <t>System and infrastructure</t>
  </si>
  <si>
    <t>Credit procedure</t>
  </si>
  <si>
    <t>Human resources development plan</t>
  </si>
  <si>
    <t>Human resources procedure</t>
  </si>
  <si>
    <t>Accounting procedure</t>
  </si>
  <si>
    <t>Internal operational procedure</t>
  </si>
  <si>
    <t>Ability to handle emergency condition</t>
  </si>
  <si>
    <t>Write off procedure</t>
  </si>
  <si>
    <t>Market Aspect (15%)</t>
  </si>
  <si>
    <t>Funding source</t>
  </si>
  <si>
    <t>Loan composition</t>
  </si>
  <si>
    <t>Market share</t>
  </si>
  <si>
    <t>Production and Technology (5%)</t>
  </si>
  <si>
    <t>Branch quality</t>
  </si>
  <si>
    <t>Infrastructre and accounting development plan</t>
  </si>
  <si>
    <t>Total Nilai Manajemen dan Operasional (60%)</t>
  </si>
  <si>
    <t>Financial Performance (40%)</t>
  </si>
  <si>
    <t xml:space="preserve">LDR </t>
  </si>
  <si>
    <t>Kewajiban bersih thd modal inti</t>
  </si>
  <si>
    <t xml:space="preserve">Cash ratio </t>
  </si>
  <si>
    <t xml:space="preserve">ROAA </t>
  </si>
  <si>
    <t xml:space="preserve">BOPO </t>
  </si>
  <si>
    <t>ROAE</t>
  </si>
  <si>
    <t>DER</t>
  </si>
  <si>
    <t>NGR</t>
  </si>
  <si>
    <t>CAR</t>
  </si>
  <si>
    <t xml:space="preserve">NPL </t>
  </si>
  <si>
    <t xml:space="preserve">PPAP/PPAPWD </t>
  </si>
  <si>
    <t>Total Nilai Kinerja Keuangan (40%)</t>
  </si>
  <si>
    <t xml:space="preserve">Pengali </t>
  </si>
  <si>
    <t xml:space="preserve">Nilai Resiko </t>
  </si>
  <si>
    <t>Pembuat</t>
  </si>
  <si>
    <t>Management and operational (A-E)</t>
  </si>
  <si>
    <t>Financial Performance (F)</t>
  </si>
  <si>
    <t xml:space="preserve">Total </t>
  </si>
  <si>
    <t>Risk</t>
  </si>
  <si>
    <t>Point</t>
  </si>
  <si>
    <t>Leverage</t>
  </si>
  <si>
    <t xml:space="preserve">Nama: </t>
  </si>
  <si>
    <r>
      <t xml:space="preserve">Low (1 </t>
    </r>
    <r>
      <rPr>
        <b/>
        <sz val="16"/>
        <color indexed="8"/>
        <rFont val="Arial"/>
        <family val="2"/>
      </rPr>
      <t>≤</t>
    </r>
    <r>
      <rPr>
        <b/>
        <sz val="8"/>
        <color indexed="8"/>
        <rFont val="Calibri"/>
        <family val="2"/>
      </rPr>
      <t xml:space="preserve"> </t>
    </r>
    <r>
      <rPr>
        <b/>
        <sz val="16"/>
        <color indexed="8"/>
        <rFont val="Calibri"/>
        <family val="2"/>
      </rPr>
      <t>X &lt; 1.5)</t>
    </r>
  </si>
  <si>
    <t>Tgl</t>
  </si>
  <si>
    <t>BI Standard:</t>
  </si>
  <si>
    <r>
      <t xml:space="preserve">Medium (1.5 </t>
    </r>
    <r>
      <rPr>
        <b/>
        <sz val="16"/>
        <color indexed="9"/>
        <rFont val="Arial"/>
        <family val="2"/>
      </rPr>
      <t xml:space="preserve">≤ </t>
    </r>
    <r>
      <rPr>
        <b/>
        <sz val="16"/>
        <color indexed="9"/>
        <rFont val="Calibri"/>
        <family val="2"/>
      </rPr>
      <t>X &lt; 2 )</t>
    </r>
  </si>
  <si>
    <r>
      <t xml:space="preserve">High (2 </t>
    </r>
    <r>
      <rPr>
        <b/>
        <sz val="16"/>
        <color indexed="8"/>
        <rFont val="Arial"/>
        <family val="2"/>
      </rPr>
      <t>≤</t>
    </r>
    <r>
      <rPr>
        <b/>
        <u/>
        <sz val="16"/>
        <color indexed="8"/>
        <rFont val="Calibri"/>
        <family val="2"/>
      </rPr>
      <t xml:space="preserve"> </t>
    </r>
    <r>
      <rPr>
        <b/>
        <sz val="16"/>
        <color indexed="8"/>
        <rFont val="Calibri"/>
        <family val="2"/>
      </rPr>
      <t>X &lt; 2.5)</t>
    </r>
  </si>
  <si>
    <t>Cash Ratio</t>
  </si>
  <si>
    <t>Pemeriksa</t>
  </si>
  <si>
    <t>ROAA</t>
  </si>
  <si>
    <r>
      <t xml:space="preserve">Rejected (X </t>
    </r>
    <r>
      <rPr>
        <b/>
        <sz val="16"/>
        <color indexed="8"/>
        <rFont val="Arial"/>
        <family val="2"/>
      </rPr>
      <t>≥</t>
    </r>
    <r>
      <rPr>
        <b/>
        <sz val="16"/>
        <color indexed="8"/>
        <rFont val="Calibri"/>
        <family val="2"/>
      </rPr>
      <t xml:space="preserve"> 2.5)</t>
    </r>
  </si>
  <si>
    <t>PPAP/PPAPWD</t>
  </si>
  <si>
    <t>Confidence Level</t>
  </si>
  <si>
    <t>Level</t>
  </si>
  <si>
    <r>
      <t xml:space="preserve">NPL </t>
    </r>
    <r>
      <rPr>
        <b/>
        <u/>
        <sz val="16"/>
        <color indexed="8"/>
        <rFont val="Calibri"/>
        <family val="2"/>
      </rPr>
      <t>&lt;</t>
    </r>
    <r>
      <rPr>
        <b/>
        <sz val="16"/>
        <color indexed="8"/>
        <rFont val="Calibri"/>
        <family val="2"/>
      </rPr>
      <t>5%</t>
    </r>
  </si>
  <si>
    <r>
      <t>5%&lt;NPL</t>
    </r>
    <r>
      <rPr>
        <b/>
        <u/>
        <sz val="16"/>
        <color indexed="8"/>
        <rFont val="Calibri"/>
        <family val="2"/>
      </rPr>
      <t>&lt;</t>
    </r>
    <r>
      <rPr>
        <b/>
        <sz val="16"/>
        <color indexed="8"/>
        <rFont val="Calibri"/>
        <family val="2"/>
      </rPr>
      <t>7%</t>
    </r>
  </si>
  <si>
    <r>
      <t>7%&lt;NPL</t>
    </r>
    <r>
      <rPr>
        <b/>
        <u/>
        <sz val="16"/>
        <color indexed="8"/>
        <rFont val="Calibri"/>
        <family val="2"/>
      </rPr>
      <t>&lt;</t>
    </r>
    <r>
      <rPr>
        <b/>
        <sz val="16"/>
        <color indexed="8"/>
        <rFont val="Calibri"/>
        <family val="2"/>
      </rPr>
      <t>9%</t>
    </r>
  </si>
  <si>
    <r>
      <t>9%&lt;NPL</t>
    </r>
    <r>
      <rPr>
        <b/>
        <u/>
        <sz val="16"/>
        <color indexed="8"/>
        <rFont val="Calibri"/>
        <family val="2"/>
      </rPr>
      <t>&lt;</t>
    </r>
    <r>
      <rPr>
        <b/>
        <sz val="16"/>
        <color indexed="8"/>
        <rFont val="Calibri"/>
        <family val="2"/>
      </rPr>
      <t>10%</t>
    </r>
  </si>
  <si>
    <r>
      <t>10%&lt;NPL</t>
    </r>
    <r>
      <rPr>
        <b/>
        <u/>
        <sz val="16"/>
        <color indexed="8"/>
        <rFont val="Calibri"/>
        <family val="2"/>
      </rPr>
      <t>&lt;</t>
    </r>
    <r>
      <rPr>
        <b/>
        <sz val="16"/>
        <color indexed="8"/>
        <rFont val="Calibri"/>
        <family val="2"/>
      </rPr>
      <t>12%</t>
    </r>
  </si>
  <si>
    <t>NPL&gt;12%</t>
  </si>
  <si>
    <t>Menyetujui</t>
  </si>
  <si>
    <t xml:space="preserve">Posisi Keuangan </t>
  </si>
  <si>
    <t>Baki debet kredit yg diterima LKM</t>
  </si>
  <si>
    <t>Indikasi Limit Maksimal Kredit ke LKM</t>
  </si>
  <si>
    <t>Indikasi Plafond Maksimal ke LKM</t>
  </si>
  <si>
    <t>Direktur Utama</t>
  </si>
  <si>
    <t>Telp/HP Dirut</t>
  </si>
  <si>
    <t>Direktur I</t>
  </si>
  <si>
    <t>Telp/HP Direktur I</t>
  </si>
  <si>
    <t>Telp/HP Direktur II</t>
  </si>
  <si>
    <t>Direktur III</t>
  </si>
  <si>
    <t>Telp/HP Direktur III</t>
  </si>
  <si>
    <t>Direktur Keuangan</t>
  </si>
  <si>
    <t>Telp/HP Direktur Keuangan</t>
  </si>
  <si>
    <t>Komisaris</t>
  </si>
  <si>
    <t>Telp/HP Komisaris</t>
  </si>
  <si>
    <t>Jumlah Nasabah</t>
  </si>
  <si>
    <t>Jumlah Calon Nasabah</t>
  </si>
  <si>
    <t>Jumlah Direksi</t>
  </si>
  <si>
    <r>
      <t xml:space="preserve">PERHITUNGAN PPAP WAJIB </t>
    </r>
    <r>
      <rPr>
        <sz val="11"/>
        <rFont val="Arial"/>
        <family val="2"/>
      </rPr>
      <t>(Rp.)</t>
    </r>
  </si>
  <si>
    <r>
      <t xml:space="preserve">AKTIVA TERTIMBANG MENURUT RESIKO </t>
    </r>
    <r>
      <rPr>
        <sz val="11"/>
        <rFont val="Arial"/>
        <family val="2"/>
      </rPr>
      <t>(Rp.)</t>
    </r>
  </si>
  <si>
    <t>(Rp.)</t>
  </si>
  <si>
    <t>Check selisih (harus NOL). Jika TIDAK NOL, berarti ada salah input</t>
  </si>
  <si>
    <t>Disiapkan dan Diverifikasi Oleh,</t>
  </si>
  <si>
    <t>Lampiran III.5.b</t>
  </si>
  <si>
    <t>Lampiran III.5.c</t>
  </si>
  <si>
    <t>Lampiran III.5.d</t>
  </si>
  <si>
    <t>Tanggal Analisa    / Tanggal OTS</t>
  </si>
  <si>
    <t>Direktur</t>
  </si>
  <si>
    <t>Telp/HP Direktur</t>
  </si>
  <si>
    <t>General Manager</t>
  </si>
  <si>
    <t>4. Rapat Umum Pemengan Saham (RUPS)</t>
  </si>
  <si>
    <t>ASPEK KELEMBAGAAN LKB YANG DIVERIFIKASI DAN DIUJI PETIK</t>
  </si>
  <si>
    <t>METODE VERIFIKASI DAN UJI PETIK KELEMBAGAAN LKB YANG DILAKUKAN</t>
  </si>
  <si>
    <t>HASIL VERIFIKASI DAN UJI PETIK KELEMBAGAAN LKB</t>
  </si>
  <si>
    <t>KESIMPULAN HASIL VERIFIKASI DAN UJI PETIK KELEMBAGAAN LKB</t>
  </si>
  <si>
    <t>5. Nasabah</t>
  </si>
  <si>
    <t>7.  Direksi</t>
  </si>
  <si>
    <t>3. Perijinan</t>
  </si>
  <si>
    <t>8.  Status kantor Pusat  (Milik Sendiri / Sewa / Pinjam Pakai)</t>
  </si>
  <si>
    <t>9. Status Kantor Cabang (Milik Sendiri / Sewa / Pinjam Pakai)</t>
  </si>
  <si>
    <t xml:space="preserve">Nama dan tahun pada PAD konsisten dgn laporan keuangan dan RUPS (2 thn terakhir) </t>
  </si>
  <si>
    <t>Laporan RUPS 2 thn terakhir didukung dengan bukti pelaksanaan (undangan, daftar hadir dan dokumentasi/photo) dan RUPS dapat dibuktikan kebenarannya</t>
  </si>
  <si>
    <t>Diantara Direksi tidak ada hubungan keluarga sampai derajat tiga</t>
  </si>
  <si>
    <t>Keabsahan penandatanganan permohonan pinjaman ditandatangani oleh Direksi dan didukung oleh keputusan RUPS atau rapat Direksi.</t>
  </si>
  <si>
    <t>Terdapat SK pengangkatan Direksi dan Badan Komisaris yg disyahkan oleh Instansi Berwenang (OJK / BI)</t>
  </si>
  <si>
    <t>KTP dan KK Direksi dan Komisaris dapat dibuktikan keaslian dan keabsahannya</t>
  </si>
  <si>
    <t>Sudah dilakukan konfirmasi, verifikasi, cross check dengan OJK / BI</t>
  </si>
  <si>
    <t>Kelembagaan Calon Mitra (LKB)</t>
  </si>
  <si>
    <t>Laporan Keuangan Calon Mitra (LKB)</t>
  </si>
  <si>
    <t>KOMPONEN LAPORAN KEUANGAN LKB YANG DIVERIFIKASI DAN DIUJI PETIK</t>
  </si>
  <si>
    <t>METODE VERIFIKASI DAN UJI PETIK LKB YANG DILAKUKAN</t>
  </si>
  <si>
    <t>1. Simpanan Tabungan dan Simpanan Deposito</t>
  </si>
  <si>
    <t xml:space="preserve">Hasil uji petik terhadap beberapa simpanan Deposito (deposito) tidak ditemukan adanya kejanggalan (dana masuk didukung oleh bukti yang kuat/slip setoran yang sudah ditandangani) </t>
  </si>
  <si>
    <t>3. Modal Dasar</t>
  </si>
  <si>
    <t>4. Modal Disetor</t>
  </si>
  <si>
    <t>1. Pendapatan Bunga</t>
  </si>
  <si>
    <t>Kesesuaian antara simpanan Tabungan   pada neraca dengan buku rekapitulasi simpanan Tabungan pada periode yang sama (manual/sistem)</t>
  </si>
  <si>
    <t>Kesesuaian antara simpanan Deposito pada neraca dengan buku rekapitulasi simpanan Deposito pada periode yang sama (manual/sistem)</t>
  </si>
  <si>
    <t xml:space="preserve">Hasil uji petik terhadap beberapa simpanan Tabungan tidak ditemukan adanya kejanggalan (dana masuk didukung oleh bukti yang kuat/slip setoran yang sudah ditandangani). </t>
  </si>
  <si>
    <t xml:space="preserve">Hasil uji petik terhadap beberapa PSP (Pemegang Saham Pengendali) tidak ditemukan adanya kejanggalan (dana masuk didukung oleh bukti yang kuat) </t>
  </si>
  <si>
    <t>Hasil uji petik terhadap beberapa pos modal tidak ditemukan adanya kejanggalan (dana masuk didukung oleh bukti yang kuat)</t>
  </si>
  <si>
    <t xml:space="preserve">C. Komponen Laba/Rugi </t>
  </si>
  <si>
    <t>Tingkat suku bunga/basil pinjaman/pembiayaan yang tercantum pada akad pinjaman sesuai dengan SOP/ART/Keputusan Direksi</t>
  </si>
  <si>
    <t>Tingkat suku bunga/basil tabungan/deposito sesuai dengan SOP/ART/Keputusan Direksi</t>
  </si>
  <si>
    <t>Kesesuaian antara total biaya pada rugi/laba dengan buku rekapitulasi buku rekapitulasi biaya  pada periode yang sama, (manual/sistem)</t>
  </si>
  <si>
    <t>LAPORAN UJI PETIK NASABAH</t>
  </si>
  <si>
    <t>Nasabah</t>
  </si>
  <si>
    <t>SIUP</t>
  </si>
  <si>
    <t>KTP (Direktur Utama)</t>
  </si>
  <si>
    <t>Pengesahan Badan Hukum</t>
  </si>
  <si>
    <t>KTP (Komisaris Utama)</t>
  </si>
  <si>
    <t>KTP (Direktur)</t>
  </si>
  <si>
    <t>Key person (Direktur Utama)</t>
  </si>
  <si>
    <t>Hubungan dengan JAMKRIDA sejak</t>
  </si>
  <si>
    <t>Direksi  tidak memiliki masalah dengan pihak penjamin.</t>
  </si>
  <si>
    <t>Daftar Direksi LKB dan Pemegang Modal Penyertaan Terbesar :</t>
  </si>
  <si>
    <t>Group Afiliasi LKB</t>
  </si>
  <si>
    <t>Susunan Direksi LKB</t>
  </si>
  <si>
    <t>Luasnya Pengetahuan dan Ketrampilan Manajemen dalam
mengelola LKB.
Ybs telah memahami prinsip-prinsip perLKBan dengan baik.</t>
  </si>
  <si>
    <t>1. Tidak punya kemampuan mengelola LKB
2. Kurang mempunyai kemampuan mengelola LKB
3. Cukup berkemampuan mengelola LKB
4. Baik dalam mengelola LKB
5. Sangat Baik dalam mengelola LKB</t>
  </si>
  <si>
    <t>2.Dinas LKB Setempat</t>
  </si>
  <si>
    <t>Sesuai keterangan Bapak Anton (Kepala Bidang LKB), bahwa LKB yang bersangkutan telah menjalankan prinsip perLKBan dengan baik dan tidak sedang dalam kondisi bermasalah</t>
  </si>
  <si>
    <t>1. Merupakan LKB bermasalah
2. Pernah punya catatan bermasalah
3. Belum pernah memiliki catatan bermasalah
4. Reputasi cukup baik 
5. Reputasi sangat baik</t>
  </si>
  <si>
    <t xml:space="preserve">LKB (Direksi, Pengawas, dan Manajer) memiliki riwayat keuangan  yang baik karena tidak pernah punya catatan bermasalah dalam SLIK OJK. </t>
  </si>
  <si>
    <t>Pertumbuhan Modal</t>
  </si>
  <si>
    <t>Besarnya Pertumbuhan Modal 1 (satu) tahun buku terakhir</t>
  </si>
  <si>
    <t>Jasa Keuangan LKB</t>
  </si>
  <si>
    <t>Pertumbuhan Piutang (KYD)</t>
  </si>
  <si>
    <t>Besarnya Pertumbuhan Piutang KYD  1 (satu) tahun buku terakhir</t>
  </si>
  <si>
    <t>Tabungan/Deposito dari Nasabah diatas 1 tahun</t>
  </si>
  <si>
    <t>Laba Tahun Berjalan (sebelum pajak)</t>
  </si>
  <si>
    <t xml:space="preserve">  - Pendapatan Bunga Pinjaman </t>
  </si>
  <si>
    <t xml:space="preserve">  - Beban Bunga Tabungan / Deposito</t>
  </si>
  <si>
    <t xml:space="preserve">  - Beban Usaha LKB, Umum dan 
    Administrasi (Operasional)</t>
  </si>
  <si>
    <t>Laba/Rugi Sebelum Pajak</t>
  </si>
  <si>
    <t>Deviden Dibagi</t>
  </si>
  <si>
    <t>Laba/Rugi BERSIH</t>
  </si>
  <si>
    <t>LKB</t>
  </si>
  <si>
    <t>Pangsa pasar LKB</t>
  </si>
  <si>
    <t>Diversifikasi segmen pasar LKB</t>
  </si>
  <si>
    <t>Kekuatan merk (brand image) / Kekuatan Nama LKB</t>
  </si>
  <si>
    <t>Berdasarkan verifikasi dan hasil pengamatan, kekuatan merk (brand image LKB tsb) terbilang cukup kuat</t>
  </si>
  <si>
    <t>Susunan Direksi   :</t>
  </si>
  <si>
    <t xml:space="preserve">
1  : Tempat usaha yang tidak memiliki legalitas
2 : Tempat usaha milik orang lain
3 : Tempat usaha berstatus sewa
4 : Tempat usaha milik Direksi
5 : Tempat usaha milik LKB</t>
  </si>
  <si>
    <t>ASPEK MANAJEMEN/Direksi/PENGELOLA</t>
  </si>
  <si>
    <t>1 . Sampai dengan 50 Nasabah
2 . Sampai dengan 100 Nasabah
3 . Sampai dengan 200 Nasabah
4 . Sampai dengan 300 Nasabah
5 . Di atas 300 Nasabah</t>
  </si>
  <si>
    <t>Konsentrasi Nasabah</t>
  </si>
  <si>
    <t>Kapasitas pemberian pinjaman keNasabah dibanding pesaing terdekat</t>
  </si>
  <si>
    <t>Layanan jemput bola ke nasabah/debitur/Nasabah</t>
  </si>
  <si>
    <t>Pola/sifat permintaan Nasabah/Debitur</t>
  </si>
  <si>
    <t>Pertumbuhan permintaan Nasabah/Debitur</t>
  </si>
  <si>
    <t>Berdasarkan verifikasi, kualitas produk pinjaman dan Tabungan yang ditawarkan menarik buat calon konsumen</t>
  </si>
  <si>
    <t>Tingkat Bunga Produk Tabungan</t>
  </si>
  <si>
    <t>Berdasarkan verifikasi ditinjau dari kualitas produk Tabungan dan pinjaman sejenis di pasar, produk yang dijual cukup mengikuti kebutuhan pasar</t>
  </si>
  <si>
    <t>Ketaatan Nasabah dalam membayar Tabungan Wajib</t>
  </si>
  <si>
    <t>1.  sampai dengan 20% Nasabah taat membayar Tabungan wajib
'2.  sampai dengan 40% Nasabah taat membayar Tabungan wajib
'3. sampai dengan 60% Nasabah taat membayar Tabungan wajib
'4. sampai dengan 80% Nasabah taat membayar Tabungan wajib
'5.  seluruh Nasabah membayar taat Tabungan wajib</t>
  </si>
  <si>
    <t>Persaingan Produk Tabungan</t>
  </si>
  <si>
    <t>PERHITUNGAN KEBUTUHAN PINJAMAN</t>
  </si>
  <si>
    <t>PARAMETER</t>
  </si>
  <si>
    <t>Plafon Pinjaman yang Diminta / Dimohon</t>
  </si>
  <si>
    <t>Total Droping Kredit 1 tahun terakhir</t>
  </si>
  <si>
    <t>Pertumbuhan PYD 1 tahun terakhir</t>
  </si>
  <si>
    <t>Agunan yang tersedia (diluar penjaminan)</t>
  </si>
  <si>
    <t>Skor Rata - Rata Kelayakan Usaha</t>
  </si>
  <si>
    <t xml:space="preserve">Maksimal Plafon Pinjaman yang Dapat Diberikan adalah </t>
  </si>
  <si>
    <t>Posentase Rata - Rata kelayakan Usaha</t>
  </si>
  <si>
    <t>Ajustment Plafon terhadap Skor</t>
  </si>
  <si>
    <t>Sangat Layak</t>
  </si>
  <si>
    <t>Layak</t>
  </si>
  <si>
    <t>Cukup Layak</t>
  </si>
  <si>
    <t>Kurang Layak</t>
  </si>
  <si>
    <t>Sangat Tidak Layak</t>
  </si>
  <si>
    <t>Nilai Terendah dari Parameter A sampai D</t>
  </si>
  <si>
    <t xml:space="preserve">Skor Kelayakan Usaha </t>
  </si>
  <si>
    <t>Maksimal Plafon Pinjaman</t>
  </si>
  <si>
    <t xml:space="preserve">Skor Risiko </t>
  </si>
  <si>
    <t>Skor Risiko</t>
  </si>
  <si>
    <t>Minimum Risk</t>
  </si>
  <si>
    <t>Acceptable Risk</t>
  </si>
  <si>
    <t>Average Risk</t>
  </si>
  <si>
    <t>Allowable Risk</t>
  </si>
  <si>
    <t>Marginal Risk</t>
  </si>
  <si>
    <t>(Nilai terendah dari Parameter A sampai D, dikalikan dengan %tase Skor Rata-Rata Kelayakan Usaha) dikalikan dengan %tase Skor Risiko</t>
  </si>
  <si>
    <t>SKIM : Lembaga Keuangan Bank (LKB) dalam bentuk PT (Perseroan Terbatas)</t>
  </si>
  <si>
    <t>Copy/Asli</t>
  </si>
  <si>
    <t>Akta Pendirian Perusahaan</t>
  </si>
  <si>
    <t>Laporan kinerja perusahaan 2 (dua) tahun  buku terakhir</t>
  </si>
  <si>
    <t>Nomor Pokok Wajib Pajak (NPWP) dalam bentuk Surat Keterangan Terdaftar</t>
  </si>
  <si>
    <t>Tanda Daftar Perusahaan (TDP)*</t>
  </si>
  <si>
    <t>Surat Izin Tempat Usaha (SITU) /Izin Gangguan (HO) / Surat Keterangan Domisili (SKD) /Surat Keterangan Domisili Usaha (SKDU)*</t>
  </si>
  <si>
    <t>Kartu Tanda Penduduk (KTP) Direktur Utama</t>
  </si>
  <si>
    <t>Kartu Tanda Penduduk (KTP) Direktur</t>
  </si>
  <si>
    <t>Kartu Tanda Penduduk (KTP) Komisaris Utama</t>
  </si>
  <si>
    <t>Kartu Tanda Penduduk (KTP) Komisaris</t>
  </si>
  <si>
    <t>Kartu Tanda Penduduk (KTP) Komisaris Independen (bila ada)</t>
  </si>
  <si>
    <t>Kartu Keluarga (KK) Direktur Utama</t>
  </si>
  <si>
    <t>Kartu Keluarga (KK) Direktur</t>
  </si>
  <si>
    <t>Kartu Keluarga (KK) Komisaris Utama</t>
  </si>
  <si>
    <t>Kartu Keluarga (KK) Komisaris</t>
  </si>
  <si>
    <t>Kartu Keluarga (KK) Komisaris Independen (bila ada)</t>
  </si>
  <si>
    <t>SKIM : Lembaga Keuangan Bank (LKB) dalam bentuk Perusahaan Daerah (PD)</t>
  </si>
  <si>
    <t>Surat permohonan pinjaman yang ditujukan kepada Direktur Utama LPDB-KUMKM</t>
  </si>
  <si>
    <t>Proposal pinjaman yang berupa:</t>
  </si>
  <si>
    <t>Lampiran daftar nominatif calon debitur diisi dengan lengkap</t>
  </si>
  <si>
    <r>
      <t xml:space="preserve">Lampiran surat pernyataan dari seluruh Direksi bersedia bertindak sebagai </t>
    </r>
    <r>
      <rPr>
        <i/>
        <sz val="16"/>
        <rFont val="Calibri"/>
        <family val="2"/>
      </rPr>
      <t xml:space="preserve">executing agent, </t>
    </r>
    <r>
      <rPr>
        <sz val="16"/>
        <rFont val="Calibri"/>
        <family val="2"/>
      </rPr>
      <t>dan menjamin kelancaran pinjaman</t>
    </r>
  </si>
  <si>
    <t>Lampiran persetujuan komisaris atas tindakan Direksi mengajukan permohonan pinjaman kepada LPDB-KUMKM</t>
  </si>
  <si>
    <r>
      <t xml:space="preserve">Lampiran surat pernyataan dari seluruh Direksi bersedia melakukan penjaminan berupa </t>
    </r>
    <r>
      <rPr>
        <i/>
        <sz val="16"/>
        <color indexed="8"/>
        <rFont val="Calibri"/>
        <family val="2"/>
      </rPr>
      <t xml:space="preserve">Personal Guarantee </t>
    </r>
    <r>
      <rPr>
        <sz val="16"/>
        <color indexed="8"/>
        <rFont val="Calibri"/>
        <family val="2"/>
      </rPr>
      <t>dan/atau</t>
    </r>
    <r>
      <rPr>
        <i/>
        <sz val="16"/>
        <color indexed="8"/>
        <rFont val="Calibri"/>
        <family val="2"/>
      </rPr>
      <t xml:space="preserve"> Corporate Guarantee</t>
    </r>
    <r>
      <rPr>
        <sz val="16"/>
        <color indexed="8"/>
        <rFont val="Calibri"/>
        <family val="2"/>
      </rPr>
      <t xml:space="preserve"> dan/atau bilyet deposito pada Bank Umum (</t>
    </r>
    <r>
      <rPr>
        <i/>
        <sz val="16"/>
        <color indexed="8"/>
        <rFont val="Calibri"/>
        <family val="2"/>
      </rPr>
      <t>Cash Collateral</t>
    </r>
    <r>
      <rPr>
        <sz val="16"/>
        <color indexed="8"/>
        <rFont val="Calibri"/>
        <family val="2"/>
      </rPr>
      <t>) dan/atau piutang sehat milik LKB.</t>
    </r>
  </si>
  <si>
    <t>Surat Rekomendasi/Surat Pengantar/Surat Keterangan/Surat Referensi dari Asosiasi Perbankan</t>
  </si>
  <si>
    <t>Akta Badan Hukum Perseroan Terbatas (PT), berupa:</t>
  </si>
  <si>
    <t>Lembar pengesahan akta pendirian yang diterbitkan oleh Kementerian Hukum dan HAM</t>
  </si>
  <si>
    <t>Seluruh akta perubahan anggaran dasar (bila ada perubahan)</t>
  </si>
  <si>
    <t>Lembar pengesahan akta perubahan anggaran dasar yang diterbitkan oleh Kementerian Hukum dan HAM (bila ada perubahan)</t>
  </si>
  <si>
    <t>Laporan Rapat Umum Pemegang Saham (RUPS), berupa:</t>
  </si>
  <si>
    <t>Risalah rapat umum pemegang saham 2 (dua) tahun buku terakhir</t>
  </si>
  <si>
    <t>Laporan Keuangan (Neraca dan laba/rugi), berupa:</t>
  </si>
  <si>
    <t>Laporan keuangan audit (Neraca, laba/rugi, perubahan ekuitas, laporan arus kas dan catatan laporan keuangan) 2 (dua) tahun  buku terakhir dengan laba positif</t>
  </si>
  <si>
    <t>Laporan keuangan (Neraca laba/rugi) 3 (tiga) bulan terakhir dengan laba positif terhitung sejak tanggal pengajuan Pinjaman</t>
  </si>
  <si>
    <t>Surat Izin Tempat Usaha (SITU)/Izin Gangguan (HO)/Surat Keterangan Domisili (SKD)/Surat Keterangan Domisili Usaha (SKDU)*</t>
  </si>
  <si>
    <t>Izin operasional usaha (Kementerian Keuangan/OJK/Bapepam-LK)*</t>
  </si>
  <si>
    <t>Izin pembukaan kantor cabang/ kantor cabang pembantu/kantor kas dari Kementerian Keuangan/OJK/Bapepam-LK*</t>
  </si>
  <si>
    <r>
      <t>Surat LKB kepada OJK yang berisi laporan keuangan dan hasil S</t>
    </r>
    <r>
      <rPr>
        <b/>
        <i/>
        <sz val="16"/>
        <color indexed="8"/>
        <rFont val="Calibri"/>
        <family val="2"/>
      </rPr>
      <t>elf Assessment</t>
    </r>
    <r>
      <rPr>
        <b/>
        <sz val="16"/>
        <color indexed="8"/>
        <rFont val="Calibri"/>
        <family val="2"/>
      </rPr>
      <t xml:space="preserve"> TKK (Tingkat kesehatan) Triwulan terakhir, sebelum tanggal permohonan dana bergulir</t>
    </r>
  </si>
  <si>
    <t>Kartu Tanda Penduduk (KTP), berupa:</t>
  </si>
  <si>
    <t>Kartu Tanda Penduduk (KTP) Direktur lainnya (bila ada)</t>
  </si>
  <si>
    <t xml:space="preserve">Kartu Keluarga (KK), berupa: </t>
  </si>
  <si>
    <t>Kartu Keluarga (KK) Direktur lainnya (bila Ada)</t>
  </si>
  <si>
    <t xml:space="preserve">Jaminan dapat berupa, antara lain: </t>
  </si>
  <si>
    <r>
      <t>Jaminan</t>
    </r>
    <r>
      <rPr>
        <i/>
        <sz val="16"/>
        <color indexed="8"/>
        <rFont val="Calibri"/>
        <family val="2"/>
      </rPr>
      <t xml:space="preserve"> Fixed Asset</t>
    </r>
    <r>
      <rPr>
        <sz val="16"/>
        <color indexed="8"/>
        <rFont val="Calibri"/>
        <family val="2"/>
      </rPr>
      <t xml:space="preserve"> dalam bentuk tanah dan bangunan (SHM dan/atau SHGB)***</t>
    </r>
  </si>
  <si>
    <t>Jaminan benda bergerak dalam bentuk kendaraan bermotor, yang dilampiri Bukti Pemilik Kendaraan Bermotor (BPKB) dan Surat Tanda Nomor Kendaraan (STNK)**</t>
  </si>
  <si>
    <r>
      <t xml:space="preserve">Jaminan </t>
    </r>
    <r>
      <rPr>
        <i/>
        <sz val="16"/>
        <color indexed="8"/>
        <rFont val="Calibri"/>
        <family val="2"/>
      </rPr>
      <t>Cash Collateral</t>
    </r>
    <r>
      <rPr>
        <sz val="16"/>
        <color indexed="8"/>
        <rFont val="Calibri"/>
        <family val="2"/>
      </rPr>
      <t xml:space="preserve"> dalam bentuk bilyet deposito pada Bank Umum atau Bank Pembagunan Daerah**</t>
    </r>
  </si>
  <si>
    <r>
      <t xml:space="preserve">Jaminan dalam bentuk </t>
    </r>
    <r>
      <rPr>
        <i/>
        <sz val="16"/>
        <color indexed="8"/>
        <rFont val="Calibri"/>
        <family val="2"/>
      </rPr>
      <t>Personal Guarantee**</t>
    </r>
  </si>
  <si>
    <r>
      <t xml:space="preserve">Jaminan dalam bentuk </t>
    </r>
    <r>
      <rPr>
        <i/>
        <sz val="16"/>
        <color indexed="8"/>
        <rFont val="Calibri"/>
        <family val="2"/>
      </rPr>
      <t>Corporate Guarantee**</t>
    </r>
  </si>
  <si>
    <t>Jaminan dalam bentuk tagihan piutang sehat, yang dilampiri dengan daftar piutang sehat milik LKB **</t>
  </si>
  <si>
    <r>
      <t>Hasil penilaian jaminan (Appraisal)</t>
    </r>
    <r>
      <rPr>
        <i/>
        <sz val="16"/>
        <color indexed="8"/>
        <rFont val="Calibri"/>
        <family val="2"/>
      </rPr>
      <t xml:space="preserve"> Fixed Asset </t>
    </r>
    <r>
      <rPr>
        <sz val="16"/>
        <color indexed="8"/>
        <rFont val="Calibri"/>
        <family val="2"/>
      </rPr>
      <t xml:space="preserve">yang diterbitkan oleh Kantor Jasa Penilai Publik (KJPP) beserta SPPT Pajak Bumi dan Bangunan (PBB) tahun terakhir atas jaminan </t>
    </r>
    <r>
      <rPr>
        <i/>
        <sz val="16"/>
        <color indexed="8"/>
        <rFont val="Calibri"/>
        <family val="2"/>
      </rPr>
      <t>Fixed Asset</t>
    </r>
    <r>
      <rPr>
        <sz val="16"/>
        <color indexed="8"/>
        <rFont val="Calibri"/>
        <family val="2"/>
      </rPr>
      <t>***</t>
    </r>
  </si>
  <si>
    <t>Note:</t>
  </si>
  <si>
    <t>*</t>
  </si>
  <si>
    <t xml:space="preserve">Dokumen yang diserahkan wajib masih berlaku </t>
  </si>
  <si>
    <t>**</t>
  </si>
  <si>
    <t>Dokumen harus dilengkapi setelah dinyatakan lolos Deskreview dan OTS tidak akan dilakukan jika dokumen belum lengkap.</t>
  </si>
  <si>
    <t>***</t>
  </si>
  <si>
    <r>
      <t>Untuk calon mitra yang menggunakan jaminan</t>
    </r>
    <r>
      <rPr>
        <i/>
        <sz val="16"/>
        <color indexed="8"/>
        <rFont val="Calibri"/>
        <family val="2"/>
      </rPr>
      <t xml:space="preserve"> Fixed Asset</t>
    </r>
    <r>
      <rPr>
        <sz val="16"/>
        <color indexed="8"/>
        <rFont val="Calibri"/>
        <family val="2"/>
      </rPr>
      <t>, dokumen harus dilengkapi setelah dinyatakan lolos Desk Review dan OTS tidak akan dilakukan jika dokumen tersebut belum lengkap.</t>
    </r>
  </si>
  <si>
    <r>
      <t xml:space="preserve">Lampiran surat pernyataan dari seluruh Direksi bersedia melakukan penjaminan berupa </t>
    </r>
    <r>
      <rPr>
        <i/>
        <sz val="16"/>
        <color indexed="8"/>
        <rFont val="Calibri"/>
        <family val="2"/>
      </rPr>
      <t>Personal Guarantee</t>
    </r>
    <r>
      <rPr>
        <sz val="16"/>
        <color indexed="8"/>
        <rFont val="Calibri"/>
        <family val="2"/>
      </rPr>
      <t xml:space="preserve"> dan/atau </t>
    </r>
    <r>
      <rPr>
        <i/>
        <sz val="16"/>
        <color indexed="8"/>
        <rFont val="Calibri"/>
        <family val="2"/>
      </rPr>
      <t>Corporate Guarantee</t>
    </r>
    <r>
      <rPr>
        <sz val="16"/>
        <color indexed="8"/>
        <rFont val="Calibri"/>
        <family val="2"/>
      </rPr>
      <t xml:space="preserve"> dan/atau bilyet deposito pada Bank Umum (</t>
    </r>
    <r>
      <rPr>
        <i/>
        <sz val="16"/>
        <color indexed="8"/>
        <rFont val="Calibri"/>
        <family val="2"/>
      </rPr>
      <t>Cash Collateral</t>
    </r>
    <r>
      <rPr>
        <sz val="16"/>
        <color indexed="8"/>
        <rFont val="Calibri"/>
        <family val="2"/>
      </rPr>
      <t>) dan/atau piutang sehat milik LKB.</t>
    </r>
  </si>
  <si>
    <t>Akta Badan Hukum Perusahaan Daerah (PD), berupa:</t>
  </si>
  <si>
    <t>Peraturan Daerah mengenai pendirian Perusahaan Daerah (PD) Bagi yang berbadan hukum Perusahaan Daerah</t>
  </si>
  <si>
    <t>Seluruh perubahan Peraturan Daerah (Perda) terkait LKB yang telah disahkan oleh Pemerintah Daerah setempat (Bagi yang berbadan hukum Perusahaan Daerah)</t>
  </si>
  <si>
    <t>Laporan pertanggung jawaban tahunan, berupa:</t>
  </si>
  <si>
    <t>Laporan pertanggung jawaban 2 (dua) tahun buku terakhir</t>
  </si>
  <si>
    <t>Laporan keuangan (Neraca dan laba/rugi), berupa:</t>
  </si>
  <si>
    <t>Laporan keuangan konsolidasi audit (Neraca dan laba/rugi, perubahan ekuitas, laporan arus kas dan catatan laporan keuangan) 2 (dua) tahun buku terakhir dengan laba positif</t>
  </si>
  <si>
    <t>Laporan keuangan konsolidasi (Neraca dan laba/rugi) 3 (tiga) bulan terakhir dengan laba positif terhitung sejak tanggal pengajuan Pinjaman</t>
  </si>
  <si>
    <t>Izin operasional usaha (Kementerian Keuangan/OJK/BI)*</t>
  </si>
  <si>
    <t>Izin pembukaan kantor cabang/kantor cabang pembantu/kantor kas dari OJK/BI*</t>
  </si>
  <si>
    <r>
      <t xml:space="preserve">Surat LKB kepada OJK yang berisi laporan keuangan dan hasil </t>
    </r>
    <r>
      <rPr>
        <b/>
        <i/>
        <sz val="16"/>
        <color indexed="8"/>
        <rFont val="Calibri"/>
        <family val="2"/>
      </rPr>
      <t>Self Assessment</t>
    </r>
    <r>
      <rPr>
        <b/>
        <sz val="16"/>
        <color indexed="8"/>
        <rFont val="Calibri"/>
        <family val="2"/>
      </rPr>
      <t xml:space="preserve"> TKK (Tingkat kesehatan) Triwulan terakhir, sebelum tanggal permohonan dana bergulir.</t>
    </r>
  </si>
  <si>
    <t>Kartu Keluarga (KK), berupa:</t>
  </si>
  <si>
    <t>Kartu Keluarga (KK) Direktur lainnya (bila ada)</t>
  </si>
  <si>
    <r>
      <t xml:space="preserve">Jaminan </t>
    </r>
    <r>
      <rPr>
        <i/>
        <sz val="16"/>
        <color indexed="8"/>
        <rFont val="Calibri"/>
        <family val="2"/>
      </rPr>
      <t>Fixed Asset</t>
    </r>
    <r>
      <rPr>
        <sz val="16"/>
        <color indexed="8"/>
        <rFont val="Calibri"/>
        <family val="2"/>
      </rPr>
      <t xml:space="preserve"> dalam bentuk tanah dan bangunan (SHM dan/atau SHGB)***</t>
    </r>
  </si>
  <si>
    <r>
      <t xml:space="preserve">Jaminan </t>
    </r>
    <r>
      <rPr>
        <i/>
        <sz val="16"/>
        <color indexed="8"/>
        <rFont val="Calibri"/>
        <family val="2"/>
      </rPr>
      <t xml:space="preserve">Cash Collateral </t>
    </r>
    <r>
      <rPr>
        <sz val="16"/>
        <color indexed="8"/>
        <rFont val="Calibri"/>
        <family val="2"/>
      </rPr>
      <t>dalam bentuk bilyet deposito pada Bank Umum atau Bank Pembagunan Daerah**</t>
    </r>
  </si>
  <si>
    <t>Jaminan dalam bentuk tagihan piutang sehat, yang dilampiri dengan daftar piutang sehat milik LKB**</t>
  </si>
  <si>
    <r>
      <t>Hasil penilaian jaminan (</t>
    </r>
    <r>
      <rPr>
        <i/>
        <sz val="16"/>
        <color indexed="8"/>
        <rFont val="Calibri"/>
        <family val="2"/>
      </rPr>
      <t>Appraisal</t>
    </r>
    <r>
      <rPr>
        <sz val="16"/>
        <color indexed="8"/>
        <rFont val="Calibri"/>
        <family val="2"/>
      </rPr>
      <t xml:space="preserve">) </t>
    </r>
    <r>
      <rPr>
        <i/>
        <sz val="16"/>
        <color indexed="8"/>
        <rFont val="Calibri"/>
        <family val="2"/>
      </rPr>
      <t>Fixed Asset</t>
    </r>
    <r>
      <rPr>
        <sz val="16"/>
        <color indexed="8"/>
        <rFont val="Calibri"/>
        <family val="2"/>
      </rPr>
      <t xml:space="preserve"> yang diterbitkan oleh Kantor Jasa Penilai Publik (KJPP) beserta SPPT Pajak Bumi dan Bangunan (PBB) tahun terakhir atas jaminan </t>
    </r>
    <r>
      <rPr>
        <i/>
        <sz val="16"/>
        <color indexed="8"/>
        <rFont val="Calibri"/>
        <family val="2"/>
      </rPr>
      <t>Fixed Asset</t>
    </r>
    <r>
      <rPr>
        <sz val="16"/>
        <color indexed="8"/>
        <rFont val="Calibri"/>
        <family val="2"/>
      </rPr>
      <t>***</t>
    </r>
  </si>
  <si>
    <r>
      <t xml:space="preserve">Untuk calon mitra yang menggunakan Jaminan </t>
    </r>
    <r>
      <rPr>
        <i/>
        <sz val="16"/>
        <color indexed="8"/>
        <rFont val="Calibri"/>
        <family val="2"/>
      </rPr>
      <t>Fixed Asset</t>
    </r>
    <r>
      <rPr>
        <sz val="16"/>
        <color indexed="8"/>
        <rFont val="Calibri"/>
        <family val="2"/>
      </rPr>
      <t>, dokumen harus dilengkapi setelah dinyatakan lolos Deskreview dan OTS tidak akan dilakukan jika dokumen tersebut belum lengkap.</t>
    </r>
  </si>
  <si>
    <t>Rekening transaksi operasional LKB (6 bulan terakhir)</t>
  </si>
  <si>
    <t>Laba/Rugi Tahun Berjalan (sebelum pajak)</t>
  </si>
  <si>
    <t>Tabungan dan Deposito  maks 1 tahun</t>
  </si>
  <si>
    <t>Tabungan dan Deposito diatas 1 tahun</t>
  </si>
  <si>
    <t>LABA / RUGI BERSIH</t>
  </si>
  <si>
    <t>Laba / Rugi Sebelum Pajak</t>
  </si>
  <si>
    <t>Laba / Rugi Dibagi</t>
  </si>
  <si>
    <t>Laba / Rugi/Piutang</t>
  </si>
  <si>
    <t xml:space="preserve">  - Pendapatan Bunga Pinjaman Kepada Nasabah</t>
  </si>
  <si>
    <t>Dokumen asli BH (disyahkan OJK/BI) sama dengan fotocopy di proposal pengajuan</t>
  </si>
  <si>
    <t xml:space="preserve">Pendapatan Usaha </t>
  </si>
  <si>
    <t>Bebab Usaha/Operasional</t>
  </si>
  <si>
    <t>Jumlah Kebutuhan Kredit</t>
  </si>
  <si>
    <t>Maka Ybs kekurangan Kredit sebesar</t>
  </si>
  <si>
    <t>1  : tidak Baik
2 : kurang baik
3 : cukup baik
4 : baik
5 : sangat baik</t>
  </si>
  <si>
    <t xml:space="preserve">Nama petugas Jamkrida yang melakukan kunjungan  
(3)
Nama petugas JAMKRIDA yang melakukan kunjungan  </t>
  </si>
  <si>
    <t>Perusahaan mampu memenuhi syarat syarat pembiayaan yang telah diperjanjikan. Selain itu perusahaan juga dinilai terbuka dalam bernegoisasi dengan JAMKRIDA.</t>
  </si>
  <si>
    <t>Nama Calon Mitra:</t>
  </si>
  <si>
    <t xml:space="preserve">Alamat : </t>
  </si>
  <si>
    <t>ASLI</t>
  </si>
  <si>
    <t>COPY</t>
  </si>
  <si>
    <t xml:space="preserve">Ket.:  SESUAI dan tidak ditemukan adanya permasalahan/tidak ada rekayasa. </t>
  </si>
  <si>
    <t>Ket.:  SESUAI dan tidak ditemukan adanya permasalahan/tidak ada rekayasa.</t>
  </si>
  <si>
    <t>Tanah yang terletak di JL RAYA SERANG IX No. 19 BANTEN</t>
  </si>
  <si>
    <t>Informasi dari Penjamin/Nasabah Dominan</t>
  </si>
  <si>
    <r>
      <t xml:space="preserve">Rasio Pinjaman Bermasalah (RPM) / NPL / Bad Debt Ratio
Tiring skor :
1.  Sangat Tidak Sehat : NPL &gt;10%
2. Tidak Sehat : 8% &lt; NPL </t>
    </r>
    <r>
      <rPr>
        <u/>
        <sz val="9"/>
        <color indexed="8"/>
        <rFont val="Trebuchet MS"/>
        <family val="2"/>
      </rPr>
      <t>&lt;</t>
    </r>
    <r>
      <rPr>
        <sz val="9"/>
        <color indexed="8"/>
        <rFont val="Trebuchet MS"/>
        <family val="2"/>
      </rPr>
      <t xml:space="preserve"> 10%
3. Kurang Sehat : 5% &lt; NPL </t>
    </r>
    <r>
      <rPr>
        <u/>
        <sz val="9"/>
        <color indexed="8"/>
        <rFont val="Trebuchet MS"/>
        <family val="2"/>
      </rPr>
      <t>&lt;</t>
    </r>
    <r>
      <rPr>
        <sz val="9"/>
        <color indexed="8"/>
        <rFont val="Trebuchet MS"/>
        <family val="2"/>
      </rPr>
      <t xml:space="preserve"> 8%
4. Cukup Sehat  : 0% &lt; NPL </t>
    </r>
    <r>
      <rPr>
        <u/>
        <sz val="9"/>
        <color indexed="8"/>
        <rFont val="Trebuchet MS"/>
        <family val="2"/>
      </rPr>
      <t>&lt;</t>
    </r>
    <r>
      <rPr>
        <sz val="9"/>
        <color indexed="8"/>
        <rFont val="Trebuchet MS"/>
        <family val="2"/>
      </rPr>
      <t xml:space="preserve"> 5%
5. Sehat : NPL = 0%</t>
    </r>
  </si>
  <si>
    <t>Tingkat Pendidikan Direksi LKB</t>
  </si>
  <si>
    <t>tidak ada</t>
  </si>
  <si>
    <t>Asli</t>
  </si>
  <si>
    <t>Copy</t>
  </si>
  <si>
    <t>Adi irawan saputra</t>
  </si>
  <si>
    <t>Deni Ardian</t>
  </si>
  <si>
    <t>I Wayan Ruspa</t>
  </si>
  <si>
    <t>Indra Manthica</t>
  </si>
  <si>
    <t>01/JNB-LPDB/IX/2018</t>
  </si>
  <si>
    <t>PD. BPR DOMPU</t>
  </si>
  <si>
    <t xml:space="preserve">Jl. Nusantara No. 04 </t>
  </si>
  <si>
    <t>Bada</t>
  </si>
  <si>
    <t>Dompu</t>
  </si>
  <si>
    <t>Nusa Tenggara Barat</t>
  </si>
  <si>
    <t>(0373) 22090</t>
  </si>
  <si>
    <t>Jufrin H. Abdullah, S.Sos</t>
  </si>
  <si>
    <t>0819177238850</t>
  </si>
  <si>
    <t>Hj. Erma Suryani, SE</t>
  </si>
  <si>
    <t>087866720555</t>
  </si>
  <si>
    <t>98/01/PD.BPR NTB DPU/VII/2018</t>
  </si>
  <si>
    <t>58 Orang (Des 2017)</t>
  </si>
  <si>
    <t>2 Orang (Des 2017)</t>
  </si>
  <si>
    <t>02.972.760.9-912.000</t>
  </si>
  <si>
    <t>230302066500018</t>
  </si>
  <si>
    <t>Lainnya (Prov&amp;admin + pendapatan yang ditangguhkan)</t>
  </si>
  <si>
    <t>Rupa-rupa aktiva (aset lain-lainya)</t>
  </si>
  <si>
    <t>Kewajiban lainya (dana set modal+kewajiban lainya)</t>
  </si>
  <si>
    <t>Dari bank-bank lain di Indonesia (hasil bunga dari bank lain)</t>
  </si>
  <si>
    <t>Lainnya (beban bunga lainnya)</t>
  </si>
  <si>
    <t>Adm Umum dan Tenaga kerja (beban tenaga kerja + biaya pendidikan dan pelatihan)</t>
  </si>
  <si>
    <t xml:space="preserve">Biaya Sewa </t>
  </si>
  <si>
    <t>Penghapusan Aktiva Produktif/cadangan aktiva produktif</t>
  </si>
  <si>
    <t>Lainnya (biaya oprasional lainnya)</t>
  </si>
  <si>
    <t xml:space="preserve">Lain-lain </t>
  </si>
  <si>
    <t>Pinjaman/Pembiayaan yang jatuh tempo dalam satu tahun (utang bunga+utang pajak)</t>
  </si>
  <si>
    <t xml:space="preserve">  - Beban Usaha Lain (beban bank2 lain)</t>
  </si>
  <si>
    <t>----------</t>
  </si>
  <si>
    <t>-------------------------------------------------------</t>
  </si>
  <si>
    <t>Drs. H. Hj. Mulyati, MM</t>
  </si>
  <si>
    <t>500/410/SITU/-HO/KPPT/2016</t>
  </si>
  <si>
    <t>003/23-03/PB/VII/2016/P/I.</t>
  </si>
  <si>
    <t>PD NO.90</t>
  </si>
  <si>
    <t>5205053112600063</t>
  </si>
  <si>
    <t>12/3/KEP.DpG/2010</t>
  </si>
  <si>
    <t>5206034310670001</t>
  </si>
  <si>
    <t>5205076509650002</t>
  </si>
  <si>
    <t>Aspek Hubungan dengan Penjamin memiliki skor rata-rata sebesar 3,50 dan masuk kategori penilaian 'Baik'</t>
  </si>
  <si>
    <t>Pemerintah Propinsi NTB</t>
  </si>
  <si>
    <t>Pemerintah Kabupaten Dompu</t>
  </si>
  <si>
    <t>Hubungan dengan pengurus semuanya baik</t>
  </si>
  <si>
    <t>Aspek Hubungan Antar Pemegang Saham memiliki skor rata-rata sebesar 4.00 dan masuk kategori penilaian 'Baik'</t>
  </si>
  <si>
    <t>Saat belum memiliki grup Afiliasi</t>
  </si>
  <si>
    <t>Informasi yang kami peroleh, perusahaan calon mitra masuk dalam kategori penilaian sangat Memenuhi Syarat dengan skor rata-rata adalah 5</t>
  </si>
  <si>
    <t xml:space="preserve"> Berdasarkan hasil verifikasi diketahui besarnya kas rata-rata adalah 183.4% dari laba operational. Sementara rata-rata pertumbuhan piutang adalah 9.45% dari total penjualan bersih. Total pertumbuhan tabungan/simpanan 17.3% adalah  dan Pertumbuhan Modal mencapai 16.2%. Secara umum hal ini menunjukkan posisi keuangan perusahaan dalam kondisi memenuhi syarat.  </t>
  </si>
  <si>
    <t>Perbankan</t>
  </si>
  <si>
    <t>Tabungan dan Kredit</t>
  </si>
  <si>
    <t xml:space="preserve"> Berdasarkan hasil verifikasi diketahui besarnya kas rata-rata adalah 183.4% dari laba operational. Sementara rata-rata pertumbuhan piutang adalah 9.45% dari total penjualan bersih. Total pertumbuhan tabungan/simpanan 17.3% adalah  dan Pertumbuhan Modal mencapai 16.2%. Secara umum hal ini menunjukkan posisi keuangan perusahaan dalam kondisi cukup memenuhi syarat.  </t>
  </si>
  <si>
    <t>Pada hari ini: Rabu</t>
  </si>
  <si>
    <t>Telah melakukan peninjauan setempat/penilaian barang-barang jaminan dari Terjamin/ calon Terjamin atas nama : PD. BPR NTB DOMPU terdiri dari :</t>
  </si>
  <si>
    <t>Piutang sehat / Kolektibilitas A diikat Fidusia</t>
  </si>
  <si>
    <t>YANG DIJAMIN OLEH JAMKRIDA NTB BERSAING</t>
  </si>
  <si>
    <t>AGUNAN</t>
  </si>
  <si>
    <t xml:space="preserve">Data yang diberikan SESUAI dan tidak ditemukan adanya permasalahan/tidak ada rekayasa. </t>
  </si>
  <si>
    <t xml:space="preserve">Data yang diberikan SESUAI dan tidak ditemukan adanya permasalahan/tidak ada rekayasa. Dapat diyakini kebenaran, keabsahan dan keasliannya  </t>
  </si>
  <si>
    <t>Agunan yang digunakan menggunakan piutang lancar, dimana saat ini berdasarkan neraca pertanggal 30 juni 2018 sebesar Rp.49.332.554.985,71,</t>
  </si>
  <si>
    <t>Aspek legalitas usaha memiliki skor rata-rata sebesar 4.10 dan masuk kategori penilaian 'Memenuhi Syarat'</t>
  </si>
  <si>
    <t>Aspek legalitas usaha memiliki skor rata-rata sebesar 4.10 dan masuk kategori penilaian 'Memenuhi Syarat'. Berdasarkan kunjungan setempat &amp; verifikasi.hanya SITU saja yang dalam proses perpanjangan</t>
  </si>
  <si>
    <t>Aspek Hubungan Antar Pemegang Saham memiliki skor rata-rata sebesar 4,00 dan masuk kategori penilaian 'Baik'. Berdasarkan kunjungan setempat &amp; verifikasi</t>
  </si>
  <si>
    <t>Saat ini PD. BPR Dompu tidak memilik Grup / Afiliasi Perusahaan / Hubungan Eksternal : Berdasarkan kunjungan setempat &amp; verifikasi</t>
  </si>
  <si>
    <t>berdasarkan hasil kunjungan dan verifikasi di lokasi,Sudah sesuai dengan data/Informasi</t>
  </si>
  <si>
    <t>Untuk Pos-pos keuangan di Neraca, sudah sesui dan balance,dimana skor yang diperoleh nilai 4.00 dan memenuhi syarat.</t>
  </si>
  <si>
    <t>Pos keuangan pada Laba Rugi sangat memenuhi syarat dengan skor 4</t>
  </si>
  <si>
    <t xml:space="preserve">Secara umum kondisi keuangan perusahaan masuk dalam kategori cukup baik, dengan nilai rata-rata sebesar 4,20. Ditinjau dari analisa pernyataan rugi laba diketahui bahwa perusahaan memilki profitabilitas yang baik. Sementara dari sisi neraca keuangan diketahui bahwa beberapa rasio utama seperti DER, ROE, ROA dalam kondisi baik,  hanya CR yang perlu diperhatikan. </t>
  </si>
  <si>
    <t>Secara umum kondisi keuangan perusahaan masuk dalam kategori cukup baik, dengan nilai rata-rata sebesar 4,00. Ditinjau dari analisa pernyataan rugi laba diketahui bahwa perusahaan memilki profitabilitas yang baik. Sementara dari sisi neraca keuangan diketahui bahwa beberapa rasio utama seperti DER, ROE, ROA   dalam kondisi baik, hanya rasio CR saja yang perlu perhatian.</t>
  </si>
  <si>
    <t>dengan asumsi 60% dari piutang lancar</t>
  </si>
  <si>
    <t>Saat ini PD. BPR Dompu menggunakan Piutang lancar sebagai jaminan untuk pengajuan kredit di LPDB, hal ini disebabkan fix Asset yang dimiliki masih dalam proses hibah, sehingga membutuhkan waktu yang cukup lama,sehingga total nilai agunan sebesar 69% dan total penjaminan sebesar 56% dengan skor 3.50 dan memenuhi Syarat.</t>
  </si>
  <si>
    <t>Potensi pertumbuhan permintaan target pasar diperkirakan lebih dari 5%-10%.</t>
  </si>
  <si>
    <t>Luasnya pangsa pasar perusahaan diperkirakan sebesar 10 besar di Kabupaten Dompu</t>
  </si>
  <si>
    <t>Perusahaan memiliki potensi daya serap, tingkat konsumsi dan daya beli yang cukup tinggi. Dimana target pasar baru mencakup area sekitar lokasi uasaha dengan kondisi permintaan yang cukup stabil. Dengan kondisi ini, permintaan diprediksi akan tumbuh sebesar 5%-10%. LKB ini  diperkirakan masuk dalam daftar 10 besar pemain utama dalam industri sejenis di Kabupaten Dompu. Namun, dengan realisasi penjualan yang berada pada kisaran 80%-90% dari target yang ditetapkan perusahaan. Skor rata-rata untuk tingkat permintaan mencapai 3,57 dan masuk katagori memenuhi syarat</t>
  </si>
  <si>
    <t>Luasnya jaringan distribusi produk/jasa yang dihasilkan perusahaaan berdasarkan verifikasi data dibandingkan dengan produk/jasa perusahaan yang sejenis adalah 4 agen di Kabupaten Dompu.</t>
  </si>
  <si>
    <r>
      <t xml:space="preserve">Kualitas produk yang ditawarkan terbilang sudah baik, ditambah lagi dengan harga yang telah sesuai dengan rata-rata harga pasar. Dengan varian produk di bawah 10 jenis produk dan jaringan distribusi mencapai 4 cabang/outlet, hal ini turut membentuk </t>
    </r>
    <r>
      <rPr>
        <b/>
        <i/>
        <sz val="9"/>
        <color indexed="8"/>
        <rFont val="Trebuchet MS"/>
        <family val="2"/>
      </rPr>
      <t xml:space="preserve">brand image </t>
    </r>
    <r>
      <rPr>
        <b/>
        <sz val="9"/>
        <color indexed="8"/>
        <rFont val="Trebuchet MS"/>
        <family val="2"/>
      </rPr>
      <t>perusahaan menjadi cukup kuat. Dari sisi penjualan, syarat yang dibebankan kepada konsumen juga cukup mudah, melayani pembayaran cash maupun kredit tanpa uang muka maupun jaminan. Jumlah skor rata-rata kualitas produk atau jasa adalah 3,00</t>
    </r>
  </si>
  <si>
    <t>Berdasarkan verifikasi di lapangan, terdapat kurang lebih  60% Nasabah taat membayar Tabungan wajib penjualan</t>
  </si>
  <si>
    <t>Kualitas Hubungan dengan Penyimpan/Deposan Terbesar cukup baik, sehingga deposan terus menambah saldo tabungannya</t>
  </si>
  <si>
    <t>Berdasarkan verifikasi di lapangan, terdapat kurang lebih  60% Nasabah taat membayar Tabungan wajib penjualan dan Kualitas Hubungan dengan Penyimpan/Deposan Terbesar cukup baik, sehingga deposan terus menambah saldo tabungannya, sehingga diperoleh skor 3.50</t>
  </si>
  <si>
    <t>Persaingan Produk Tabungan dengan lembaga keuangan sejenis cukup mampu bersaing</t>
  </si>
  <si>
    <t>Persaingan Produk Pinjaman dengan lembaga keuangan sejenis mampu bersaing</t>
  </si>
  <si>
    <t>Tingkat persaingan nyata dalam produk / jasa berdasarkan verifikasi data dimana beberapa pemain besar diperkirakan menguasai sekitar15%- 20% pasar.</t>
  </si>
  <si>
    <t>Terkait dengan tingkat persaingan, dalam industri sejenis diketahui beberapa pemain besar menguasai sekitar 15-20% pasar. Namun perusahaan terlihat mampu bersaing karena biaya yang ditawarkan cukup kompetitif, ditambah dengan kualitas produk yang terbilang baik. Perusahaan juga terlihat mampu bersaing mengingat rendahnya faktor penghalang untuk keluar/masuknya produk ke dalam pasar. Strategi untuk menghadapi persaingan sudah begitu jelas dan rasional sesuai dengan kondisi internal. Perusahaan juga memiliki 2 (dua) aktivitas usaha lain yang saling terkait, 'Persaingan Produk Tabungan dan Pinjaman dengan lembaga keuangan sejenis cukup mampu bersaing</t>
  </si>
  <si>
    <t>Kondisi Lokasi Kantor merupakan kawasan bisnis dan perkantoran , sehingga sangat mendukung dalam proses perkembangan bisnis  yang dijalani.</t>
  </si>
  <si>
    <t xml:space="preserve">Berdasarkan verifikasi dan hasil pengamatan kondisi lahan sebagai tempat usaha terbilang sangat layak. Kondisi  tempat usaha  merupakan bangunan permanen yang cukup terawat dan bersih. </t>
  </si>
  <si>
    <t xml:space="preserve">Perijinan lokasi usaha Perusahaan sudah memenuhi syarat, sesuai ketentuan pemerintah. </t>
  </si>
  <si>
    <t>Status tempat usaha adalah milik pemerintah Kab. Dompu dan saat ini dalam proses Hibah dan pengurusan sertfikat menjadi hak milik perusahaan.</t>
  </si>
  <si>
    <t>Berdasarkan hasil veriikasi diketahui bahwa lokasi usaha bertetap di area kawasan industri, tepatnya di  Jl. Rungkut Kidul Industri Surabaya, dimana disekelilingnya terdapat beberapa usaha sejenis (leasing &amp; BPR). Kondisi tempat usaha dapat dikatakan sangat layak, dengan kondisi terawat, Perijinan lokasi perusahaan telah memenuhi syarat sebagai mana diatur dalam ketentuan pemerintah. Mengenai status kepemilikan lokasi usaha,telah menjadi milik perusahaan. Kondisi lokasi usaha dengan skor rata-rata 4.25</t>
  </si>
  <si>
    <t>Semua pegawai menggunakan PC sebagai penunjang pekerjaan di perusahaan</t>
  </si>
  <si>
    <t>Kondisi Brankas dalam keadaan baik dan sudah memenuhi stadar serta memiliki tingkat keamaan yang sangat baik</t>
  </si>
  <si>
    <t>salah satu keunggulan yang dimiliki oleh perusaahaan adalah Layanan jemput bola ke nasabah/debitur/Nasabah, sehingga membuat nasabah merasa sangat di bantu dan mudah dalam proses transaksi keuangannya.</t>
  </si>
  <si>
    <t>Terkait dengan kondisi sarana/peralatan diketahui bahwa dibandingkan dengan perusahaan sejenis jumlahnya telah diatas rata-rata, dengan kapasitas pemakaian mencapai 80%.  Sarana yang digunakan juga terbilang modern. 'Semua pegawai menggunakan PC sebagai penunjang pekerjaan di perusahaan.'Kondisi Brankas dalam keadaan baik dan sudah memenuhi stadar serta memiliki tingkat keamaan yang sangat baik, 'salah satu keunggulan yang dimiliki oleh perusaahaan adalah Layanan jemput bola ke nasabah/debitur/Nasabah, sehingga membuat nasabah merasa sangat di bantu dan mudah dalam proses transaksi keuangannya. Skor rata-rata kondisi peralatan adalah 3,83</t>
  </si>
  <si>
    <t>Perusahaan sudah lama menjalankan bisnis yang bergerak dibidang keuangan perbankan, dimana sudah beroperasi kurang lebih 8 tahun dan terus berkembang sampai detik ini</t>
  </si>
  <si>
    <t>Perusahaan sudah berjalan lebih dari 8 tahun. Kompetensi perusahaan sudah berpengalaman untuk menciptakan keunggulan kompetitif terhadap persaingan industri. Perencanaan Usaha dan Pengendalian Keuangan sudah baik, manajemen dalam mengambil keputusan terbilang cukup baik dengan pengelolaan risiko yang mampu mendapatkan solusi untuk mengurangi risiko yang timbul dengan skor rata-rata pengalaman adalah 3.80</t>
  </si>
  <si>
    <t xml:space="preserve">Latar belakang pendidikan Ybs. adalah Sarjana  Skill dan ilmu yang dimiliki sejalan dengan bidang usaha yang saat ini ditekuni Ybs.  </t>
  </si>
  <si>
    <t xml:space="preserve">Tenaga kerja  pada umumnya merupakan Sarjana dan D3
</t>
  </si>
  <si>
    <t>Key Person yang memegang peranan vital dalam perusahaan memiliki latar belakang pendidkan yang memadai, ''dimana rata2 Tenaga kerja  pada umumnya merupakan Sarjana dan D3</t>
  </si>
  <si>
    <t>Perusahaan yang bersangkutan mampu menyerahkan  Tepat Waktu sesuai dengan Periode Pelaporan</t>
  </si>
  <si>
    <t>Dalam hal kepatuhan terkait dengan pelaporan keuangan, Perusahaan yang bersangkutan mampu menyerahkan  Tepat Waktu sesuai dengan Periode Pelaporan. dengan kualitas informasi yang disampaikan, laporan keuangan perusahaan dinyatakan wajar, tanpa syarat. Hal ini ditunjang dengan penggunaan teknologi yang sudah sangat modern dalam hal penyusunan laporan keuangan yang valid dan akurat dengan jumlah skor rata-rata 4,67</t>
  </si>
  <si>
    <t xml:space="preserve">Perusahan telah menjadi nasabah dari JAMKRIDA lebih dari 3 tahun, dengan melalui penggunaan fasilitas penjaminan umum danKUR, </t>
  </si>
  <si>
    <t>Berdasarkan data intern mengenai banyaknya utilitas/pemakaian produk JAMKRIDA, perusahaan menggunakan 1 jenis produk JAMKRIDA.</t>
  </si>
  <si>
    <t>Perusahaan diketahui telah menjadi nasabah JAMKRIDA selama 4 tahun dengan memanfaatkan penjaminan sekurang-kurangnya 1 Jenis produk. Selama menjalin kerjasama dengan JAMKRIDA, perusahaan milik terjamin menunjukan sikap yang kooperatif dalam memenuhi kewajiban pembayaran walauppun kendala-kendala muncul dilapangan. Selama dalam masa penjaminan, terjamin selalu tepat waktu dalam melakukan pembayaran kewajiban. Sementara itu diketahui terjamin juga memanfaatkan fasilitas dari perusahaan pembiayaan lain, namun kualitasnya juga sangat baik.Terkait dengan penggunaan fasilitas Pembiayaan/Penjaminan, Terjamin terbukti tidak melakukan side streaming, artinya fasilitas yang diterima benar-benar dialokasikan untuk kebutuhan sebagaimana diusulkan dalam pengajuan. Begitupun dengan jumlah skor rata-rata adalah 3,33</t>
  </si>
  <si>
    <t>secara keseluruhan, diperoleh skor 3.33 dengan katagori memenuhi syarat</t>
  </si>
  <si>
    <t xml:space="preserve"> Penyesuaian karena adanya kondisi-kondisi khusus, diperoleh rating risiko menjadi sebesar 1,26 Scoring ini masuk dalam kategori MINIMUM RISK</t>
  </si>
  <si>
    <t>Risiko Track record pembiayaan di Lembaga Pembiyaan Lainnya masuk tergoloeng lemah, hal ini disebabkan karena kertebatasan tenaga, sehingga mengakibatkan maintance menjadi lemah, untuk mengatasinya harus terus dilakukan maintance secara rutin agar record pembiayan terus berjalan lancar.</t>
  </si>
  <si>
    <t>Dengan melihat besarnya pengaruh risiko Kondisi Khusus terhadap First Way Out, rating risiko menjadi sebesar 2.13 Scoring ini masuk dalam kategori ACCEPTABLE RISK</t>
  </si>
  <si>
    <t>5% p.a sliding</t>
  </si>
  <si>
    <t xml:space="preserve">IJP YANG HARUS DIBAYARKAN : Rate </t>
  </si>
  <si>
    <t>Dengan melihat besarnya pengaruh risiko Kondisi Agunan terhadap Second Way Out, rating risiko menjadi sebesar 2.46 Scoring ini masuk dalam kategori ACCEPTABLE RISK</t>
  </si>
  <si>
    <t>Nama lengkap</t>
  </si>
</sst>
</file>

<file path=xl/styles.xml><?xml version="1.0" encoding="utf-8"?>
<styleSheet xmlns="http://schemas.openxmlformats.org/spreadsheetml/2006/main" xmlns:mc="http://schemas.openxmlformats.org/markup-compatibility/2006" xmlns:x14ac="http://schemas.microsoft.com/office/spreadsheetml/2009/9/ac" mc:Ignorable="x14ac">
  <numFmts count="35">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_-* #,##0.00_-;\-* #,##0.00_-;_-* &quot;-&quot;_-;_-@_-"/>
    <numFmt numFmtId="167" formatCode="[$-409]d\-mmm\-yy;@"/>
    <numFmt numFmtId="168" formatCode="0_)"/>
    <numFmt numFmtId="169" formatCode="dd\-mmm\-yy_)"/>
    <numFmt numFmtId="170" formatCode="_(* #,##0.00_);_(* \(#,##0.00\);_(* &quot;-&quot;_);_(@_)"/>
    <numFmt numFmtId="171" formatCode="_(* #,##0.0_);_(* \(#,##0.0\);_(* &quot;-&quot;_);_(@_)"/>
    <numFmt numFmtId="172" formatCode="0.0%"/>
    <numFmt numFmtId="173" formatCode="[&lt;=9999999]###\-####;\(###\)\ ###\-####"/>
    <numFmt numFmtId="174" formatCode="0.000"/>
    <numFmt numFmtId="175" formatCode="0.0"/>
    <numFmt numFmtId="176" formatCode="[$-F800]dddd\,\ mmmm\ dd\,\ yyyy"/>
    <numFmt numFmtId="177" formatCode="0.00_);\(0.00\)"/>
    <numFmt numFmtId="178" formatCode="_-* #,##0_-;\-* #,##0_-;_-* &quot;-&quot;??_-;_-@_-"/>
    <numFmt numFmtId="179" formatCode="_(* #,##0.0_);_(* \(#,##0.0\);_(* &quot;-&quot;??_);_(@_)"/>
    <numFmt numFmtId="180" formatCode="_(* #,##0_);_(* \(#,##0\);_(* &quot;-&quot;??_);_(@_)"/>
    <numFmt numFmtId="181" formatCode="dd\ mmmm\ yyyy"/>
    <numFmt numFmtId="182" formatCode="&quot;Rp&quot;#,##0"/>
    <numFmt numFmtId="183" formatCode="#\ &quot;bulan&quot;"/>
    <numFmt numFmtId="184" formatCode="_([$Rp-421]* #,##0_);_([$Rp-421]* \(#,##0\);_([$Rp-421]* &quot;-&quot;_);_(@_)"/>
    <numFmt numFmtId="185" formatCode="_([$IDR]\ * #,##0_);_([$IDR]\ * \(#,##0\);_([$IDR]\ * &quot;-&quot;??_);_(@_)"/>
    <numFmt numFmtId="186" formatCode="#,##0;[Red]#,##0"/>
    <numFmt numFmtId="187" formatCode="General\ &quot;Tahun&quot;"/>
    <numFmt numFmtId="188" formatCode="mmm\ yyyy"/>
    <numFmt numFmtId="189" formatCode="_(* #,##0.000_);_(* \(#,##0.000\);_(* &quot;-&quot;_);_(@_)"/>
    <numFmt numFmtId="190" formatCode="_(* #,##0.0_);_(* \(#,##0.0\);_(* &quot;-&quot;?_);_(@_)"/>
    <numFmt numFmtId="191" formatCode="[$-409]mmm\-yy;@"/>
    <numFmt numFmtId="192" formatCode="[$-C09]dd\-mmm\-yy;@"/>
    <numFmt numFmtId="193" formatCode="_-* #,##0.0_-;\-* #,##0.0_-;_-* &quot;-&quot;??_-;_-@_-"/>
    <numFmt numFmtId="194" formatCode="[$-421]dd\ mmmm\ yyyy;@"/>
    <numFmt numFmtId="195" formatCode="[$-409]d/mmm/yy;@"/>
  </numFmts>
  <fonts count="173" x14ac:knownFonts="1">
    <font>
      <sz val="11"/>
      <color theme="1"/>
      <name val="Calibri"/>
      <family val="2"/>
      <scheme val="minor"/>
    </font>
    <font>
      <sz val="11"/>
      <color indexed="8"/>
      <name val="Calibri"/>
      <family val="2"/>
    </font>
    <font>
      <sz val="10"/>
      <name val="Courier"/>
      <family val="3"/>
    </font>
    <font>
      <sz val="11"/>
      <color indexed="8"/>
      <name val="Calibri"/>
      <family val="2"/>
    </font>
    <font>
      <sz val="10"/>
      <color indexed="8"/>
      <name val="Tahoma"/>
      <family val="2"/>
    </font>
    <font>
      <b/>
      <sz val="11"/>
      <color indexed="8"/>
      <name val="Book Antiqua"/>
      <family val="1"/>
    </font>
    <font>
      <sz val="11"/>
      <color indexed="8"/>
      <name val="Book Antiqua"/>
      <family val="1"/>
    </font>
    <font>
      <b/>
      <sz val="10"/>
      <color indexed="8"/>
      <name val="Book Antiqua"/>
      <family val="1"/>
    </font>
    <font>
      <sz val="10"/>
      <color indexed="8"/>
      <name val="Book Antiqua"/>
      <family val="1"/>
    </font>
    <font>
      <sz val="9"/>
      <color indexed="8"/>
      <name val="Book Antiqua"/>
      <family val="1"/>
    </font>
    <font>
      <b/>
      <sz val="9"/>
      <color indexed="8"/>
      <name val="Book Antiqua"/>
      <family val="1"/>
    </font>
    <font>
      <sz val="8"/>
      <color indexed="8"/>
      <name val="Book Antiqua"/>
      <family val="1"/>
    </font>
    <font>
      <u/>
      <sz val="11"/>
      <color indexed="8"/>
      <name val="Book Antiqua"/>
      <family val="1"/>
    </font>
    <font>
      <b/>
      <sz val="9"/>
      <color indexed="8"/>
      <name val="Book Antiqua"/>
      <family val="1"/>
    </font>
    <font>
      <sz val="9"/>
      <color indexed="62"/>
      <name val="Book Antiqua"/>
      <family val="1"/>
    </font>
    <font>
      <b/>
      <sz val="11"/>
      <color indexed="8"/>
      <name val="Calibri"/>
      <family val="2"/>
    </font>
    <font>
      <b/>
      <sz val="12"/>
      <color indexed="8"/>
      <name val="Book Antiqua"/>
      <family val="1"/>
    </font>
    <font>
      <sz val="10"/>
      <color indexed="8"/>
      <name val="Arial"/>
      <family val="2"/>
    </font>
    <font>
      <sz val="10"/>
      <color indexed="40"/>
      <name val="Book Antiqua"/>
      <family val="1"/>
    </font>
    <font>
      <b/>
      <sz val="8"/>
      <color indexed="30"/>
      <name val="Book Antiqua"/>
      <family val="1"/>
    </font>
    <font>
      <sz val="9"/>
      <color indexed="8"/>
      <name val="Arial"/>
      <family val="2"/>
    </font>
    <font>
      <b/>
      <sz val="10"/>
      <color indexed="40"/>
      <name val="Book Antiqua"/>
      <family val="1"/>
    </font>
    <font>
      <b/>
      <sz val="16"/>
      <color indexed="8"/>
      <name val="Calibri"/>
      <family val="2"/>
    </font>
    <font>
      <sz val="16"/>
      <color indexed="8"/>
      <name val="Calibri"/>
      <family val="2"/>
    </font>
    <font>
      <b/>
      <sz val="10"/>
      <color indexed="8"/>
      <name val="Calibri"/>
      <family val="2"/>
    </font>
    <font>
      <sz val="10"/>
      <color indexed="8"/>
      <name val="Calibri"/>
      <family val="2"/>
    </font>
    <font>
      <sz val="11"/>
      <name val="Book Antiqua"/>
      <family val="1"/>
    </font>
    <font>
      <sz val="10"/>
      <color indexed="8"/>
      <name val="Book Antiqua"/>
      <family val="1"/>
    </font>
    <font>
      <b/>
      <sz val="12"/>
      <color indexed="8"/>
      <name val="Arial"/>
      <family val="2"/>
    </font>
    <font>
      <sz val="12"/>
      <color indexed="8"/>
      <name val="Arial"/>
      <family val="2"/>
    </font>
    <font>
      <b/>
      <sz val="14"/>
      <color indexed="8"/>
      <name val="Arial"/>
      <family val="2"/>
    </font>
    <font>
      <sz val="8"/>
      <color indexed="8"/>
      <name val="Arial"/>
      <family val="2"/>
    </font>
    <font>
      <i/>
      <sz val="8"/>
      <color indexed="8"/>
      <name val="Arial"/>
      <family val="2"/>
    </font>
    <font>
      <b/>
      <i/>
      <sz val="8"/>
      <color indexed="8"/>
      <name val="Arial"/>
      <family val="2"/>
    </font>
    <font>
      <sz val="12"/>
      <name val="Arial"/>
      <family val="2"/>
    </font>
    <font>
      <i/>
      <sz val="10"/>
      <color indexed="8"/>
      <name val="Arial"/>
      <family val="2"/>
    </font>
    <font>
      <b/>
      <sz val="10"/>
      <color indexed="30"/>
      <name val="Book Antiqua"/>
      <family val="1"/>
    </font>
    <font>
      <sz val="9"/>
      <color indexed="8"/>
      <name val="Tahoma"/>
      <family val="2"/>
    </font>
    <font>
      <sz val="10"/>
      <color indexed="8"/>
      <name val="Trebuchet MS"/>
      <family val="2"/>
    </font>
    <font>
      <b/>
      <sz val="10"/>
      <color indexed="8"/>
      <name val="Trebuchet MS"/>
      <family val="2"/>
    </font>
    <font>
      <sz val="9"/>
      <color indexed="8"/>
      <name val="Trebuchet MS"/>
      <family val="2"/>
    </font>
    <font>
      <b/>
      <sz val="9"/>
      <color indexed="8"/>
      <name val="Trebuchet MS"/>
      <family val="2"/>
    </font>
    <font>
      <b/>
      <sz val="9"/>
      <color indexed="30"/>
      <name val="Trebuchet MS"/>
      <family val="2"/>
    </font>
    <font>
      <sz val="9"/>
      <color indexed="30"/>
      <name val="Trebuchet MS"/>
      <family val="2"/>
    </font>
    <font>
      <u/>
      <sz val="9"/>
      <color indexed="8"/>
      <name val="Trebuchet MS"/>
      <family val="2"/>
    </font>
    <font>
      <sz val="9"/>
      <name val="Trebuchet MS"/>
      <family val="2"/>
    </font>
    <font>
      <sz val="9"/>
      <color indexed="62"/>
      <name val="Trebuchet MS"/>
      <family val="2"/>
    </font>
    <font>
      <b/>
      <u/>
      <sz val="9"/>
      <color indexed="8"/>
      <name val="Trebuchet MS"/>
      <family val="2"/>
    </font>
    <font>
      <b/>
      <sz val="9"/>
      <name val="Trebuchet MS"/>
      <family val="2"/>
    </font>
    <font>
      <b/>
      <u/>
      <sz val="9"/>
      <name val="Trebuchet MS"/>
      <family val="2"/>
    </font>
    <font>
      <u/>
      <sz val="9"/>
      <color indexed="30"/>
      <name val="Trebuchet MS"/>
      <family val="2"/>
    </font>
    <font>
      <b/>
      <sz val="9"/>
      <color indexed="10"/>
      <name val="Trebuchet MS"/>
      <family val="2"/>
    </font>
    <font>
      <sz val="9"/>
      <color indexed="10"/>
      <name val="Trebuchet MS"/>
      <family val="2"/>
    </font>
    <font>
      <sz val="9"/>
      <color indexed="23"/>
      <name val="Trebuchet MS"/>
      <family val="2"/>
    </font>
    <font>
      <u/>
      <sz val="9"/>
      <name val="Trebuchet MS"/>
      <family val="2"/>
    </font>
    <font>
      <b/>
      <sz val="9"/>
      <color indexed="12"/>
      <name val="Trebuchet MS"/>
      <family val="2"/>
    </font>
    <font>
      <b/>
      <u/>
      <sz val="9"/>
      <color indexed="12"/>
      <name val="Trebuchet MS"/>
      <family val="2"/>
    </font>
    <font>
      <b/>
      <sz val="9"/>
      <color indexed="18"/>
      <name val="Trebuchet MS"/>
      <family val="2"/>
    </font>
    <font>
      <b/>
      <sz val="9"/>
      <color indexed="62"/>
      <name val="Trebuchet MS"/>
      <family val="2"/>
    </font>
    <font>
      <b/>
      <vertAlign val="superscript"/>
      <sz val="9"/>
      <color indexed="8"/>
      <name val="Trebuchet MS"/>
      <family val="2"/>
    </font>
    <font>
      <b/>
      <sz val="9"/>
      <color indexed="40"/>
      <name val="Trebuchet MS"/>
      <family val="2"/>
    </font>
    <font>
      <sz val="9"/>
      <color indexed="40"/>
      <name val="Trebuchet MS"/>
      <family val="2"/>
    </font>
    <font>
      <b/>
      <i/>
      <sz val="9"/>
      <color indexed="8"/>
      <name val="Trebuchet MS"/>
      <family val="2"/>
    </font>
    <font>
      <i/>
      <sz val="9"/>
      <color indexed="8"/>
      <name val="Trebuchet MS"/>
      <family val="2"/>
    </font>
    <font>
      <sz val="9"/>
      <color indexed="56"/>
      <name val="Trebuchet MS"/>
      <family val="2"/>
    </font>
    <font>
      <vertAlign val="superscript"/>
      <sz val="9"/>
      <color indexed="8"/>
      <name val="Trebuchet MS"/>
      <family val="2"/>
    </font>
    <font>
      <sz val="9"/>
      <color indexed="49"/>
      <name val="Trebuchet MS"/>
      <family val="2"/>
    </font>
    <font>
      <sz val="9"/>
      <color indexed="9"/>
      <name val="Trebuchet MS"/>
      <family val="2"/>
    </font>
    <font>
      <b/>
      <sz val="9"/>
      <color indexed="9"/>
      <name val="Trebuchet MS"/>
      <family val="2"/>
    </font>
    <font>
      <b/>
      <i/>
      <sz val="9"/>
      <color indexed="10"/>
      <name val="Trebuchet MS"/>
      <family val="2"/>
    </font>
    <font>
      <b/>
      <u/>
      <sz val="9"/>
      <color indexed="9"/>
      <name val="Trebuchet MS"/>
      <family val="2"/>
    </font>
    <font>
      <sz val="10"/>
      <color indexed="8"/>
      <name val="Trebuchet MS"/>
      <family val="2"/>
    </font>
    <font>
      <sz val="9"/>
      <color indexed="12"/>
      <name val="Trebuchet MS"/>
      <family val="2"/>
    </font>
    <font>
      <b/>
      <sz val="9"/>
      <color indexed="12"/>
      <name val="Trebuchet MS"/>
      <family val="2"/>
    </font>
    <font>
      <b/>
      <sz val="9"/>
      <color indexed="56"/>
      <name val="Trebuchet MS"/>
      <family val="2"/>
    </font>
    <font>
      <sz val="9"/>
      <color indexed="56"/>
      <name val="Trebuchet MS"/>
      <family val="2"/>
    </font>
    <font>
      <b/>
      <sz val="10"/>
      <color indexed="8"/>
      <name val="Trebuchet MS"/>
      <family val="2"/>
    </font>
    <font>
      <b/>
      <i/>
      <sz val="9"/>
      <color indexed="12"/>
      <name val="Trebuchet MS"/>
      <family val="2"/>
    </font>
    <font>
      <sz val="11"/>
      <color indexed="8"/>
      <name val="Arial"/>
      <family val="2"/>
    </font>
    <font>
      <sz val="11"/>
      <color indexed="18"/>
      <name val="Arial"/>
      <family val="2"/>
    </font>
    <font>
      <sz val="11"/>
      <name val="Arial"/>
      <family val="2"/>
    </font>
    <font>
      <sz val="11"/>
      <color indexed="10"/>
      <name val="Arial"/>
      <family val="2"/>
    </font>
    <font>
      <b/>
      <u/>
      <sz val="11"/>
      <color indexed="8"/>
      <name val="Arial"/>
      <family val="2"/>
    </font>
    <font>
      <b/>
      <sz val="11"/>
      <color indexed="8"/>
      <name val="Arial"/>
      <family val="2"/>
    </font>
    <font>
      <b/>
      <sz val="11"/>
      <color indexed="18"/>
      <name val="Arial"/>
      <family val="2"/>
    </font>
    <font>
      <b/>
      <sz val="11"/>
      <name val="Arial"/>
      <family val="2"/>
    </font>
    <font>
      <b/>
      <sz val="11"/>
      <color indexed="9"/>
      <name val="Arial"/>
      <family val="2"/>
    </font>
    <font>
      <sz val="11"/>
      <color indexed="9"/>
      <name val="Arial"/>
      <family val="2"/>
    </font>
    <font>
      <u/>
      <sz val="11"/>
      <name val="Arial"/>
      <family val="2"/>
    </font>
    <font>
      <sz val="20"/>
      <color indexed="9"/>
      <name val="Arial"/>
      <family val="2"/>
    </font>
    <font>
      <b/>
      <sz val="12"/>
      <color indexed="9"/>
      <name val="Arial"/>
      <family val="2"/>
    </font>
    <font>
      <b/>
      <sz val="11"/>
      <color indexed="10"/>
      <name val="Arial"/>
      <family val="2"/>
    </font>
    <font>
      <sz val="11"/>
      <color indexed="18"/>
      <name val="Calibri"/>
      <family val="2"/>
    </font>
    <font>
      <sz val="9"/>
      <color indexed="18"/>
      <name val="Arial"/>
      <family val="2"/>
    </font>
    <font>
      <b/>
      <u/>
      <sz val="11"/>
      <color indexed="8"/>
      <name val="Calibri"/>
      <family val="2"/>
    </font>
    <font>
      <b/>
      <sz val="11"/>
      <name val="Calibri"/>
      <family val="2"/>
    </font>
    <font>
      <sz val="11"/>
      <color indexed="9"/>
      <name val="Calibri"/>
      <family val="2"/>
    </font>
    <font>
      <b/>
      <sz val="11"/>
      <color indexed="9"/>
      <name val="Calibri"/>
      <family val="2"/>
    </font>
    <font>
      <b/>
      <sz val="11"/>
      <color indexed="10"/>
      <name val="Calibri"/>
      <family val="2"/>
    </font>
    <font>
      <sz val="10"/>
      <color indexed="9"/>
      <name val="Calibri"/>
      <family val="2"/>
    </font>
    <font>
      <b/>
      <sz val="9"/>
      <color indexed="8"/>
      <name val="Trebuchet MS"/>
      <family val="2"/>
    </font>
    <font>
      <b/>
      <i/>
      <sz val="11"/>
      <name val="Arial"/>
      <family val="2"/>
    </font>
    <font>
      <b/>
      <i/>
      <sz val="11"/>
      <color indexed="10"/>
      <name val="Arial"/>
      <family val="2"/>
    </font>
    <font>
      <i/>
      <sz val="11"/>
      <name val="Arial"/>
      <family val="2"/>
    </font>
    <font>
      <sz val="12"/>
      <color indexed="10"/>
      <name val="Calibri"/>
      <family val="2"/>
    </font>
    <font>
      <sz val="12"/>
      <color indexed="8"/>
      <name val="Calibri"/>
      <family val="2"/>
    </font>
    <font>
      <b/>
      <sz val="12"/>
      <color indexed="10"/>
      <name val="Calibri"/>
      <family val="2"/>
    </font>
    <font>
      <b/>
      <sz val="16"/>
      <color indexed="22"/>
      <name val="Calibri"/>
      <family val="2"/>
    </font>
    <font>
      <b/>
      <sz val="12"/>
      <color indexed="14"/>
      <name val="Calibri"/>
      <family val="2"/>
    </font>
    <font>
      <sz val="12"/>
      <color indexed="14"/>
      <name val="Calibri"/>
      <family val="2"/>
    </font>
    <font>
      <i/>
      <sz val="16"/>
      <color indexed="8"/>
      <name val="Calibri"/>
      <family val="2"/>
    </font>
    <font>
      <b/>
      <sz val="12"/>
      <color indexed="9"/>
      <name val="Calibri"/>
      <family val="2"/>
    </font>
    <font>
      <sz val="12"/>
      <color indexed="9"/>
      <name val="Calibri"/>
      <family val="2"/>
    </font>
    <font>
      <sz val="16"/>
      <name val="Calibri"/>
      <family val="2"/>
    </font>
    <font>
      <b/>
      <sz val="12"/>
      <name val="Calibri"/>
      <family val="2"/>
    </font>
    <font>
      <b/>
      <i/>
      <sz val="16"/>
      <color indexed="8"/>
      <name val="Calibri"/>
      <family val="2"/>
    </font>
    <font>
      <b/>
      <u/>
      <sz val="16"/>
      <color indexed="8"/>
      <name val="Calibri"/>
      <family val="2"/>
    </font>
    <font>
      <b/>
      <sz val="16"/>
      <name val="Calibri"/>
      <family val="2"/>
    </font>
    <font>
      <u/>
      <sz val="16"/>
      <color indexed="8"/>
      <name val="Calibri"/>
      <family val="2"/>
    </font>
    <font>
      <b/>
      <sz val="16"/>
      <color indexed="8"/>
      <name val="Arial"/>
      <family val="2"/>
    </font>
    <font>
      <b/>
      <sz val="8"/>
      <color indexed="8"/>
      <name val="Calibri"/>
      <family val="2"/>
    </font>
    <font>
      <b/>
      <sz val="16"/>
      <color indexed="9"/>
      <name val="Calibri"/>
      <family val="2"/>
    </font>
    <font>
      <b/>
      <sz val="16"/>
      <color indexed="9"/>
      <name val="Arial"/>
      <family val="2"/>
    </font>
    <font>
      <sz val="16"/>
      <color indexed="9"/>
      <name val="Calibri"/>
      <family val="2"/>
    </font>
    <font>
      <b/>
      <sz val="16"/>
      <color indexed="53"/>
      <name val="Calibri"/>
      <family val="2"/>
    </font>
    <font>
      <sz val="16"/>
      <color indexed="52"/>
      <name val="Calibri"/>
      <family val="2"/>
    </font>
    <font>
      <sz val="12"/>
      <name val="Calibri"/>
      <family val="2"/>
    </font>
    <font>
      <b/>
      <sz val="11"/>
      <color indexed="10"/>
      <name val="Arial"/>
      <family val="2"/>
    </font>
    <font>
      <sz val="11"/>
      <color indexed="9"/>
      <name val="Arial"/>
      <family val="2"/>
    </font>
    <font>
      <b/>
      <sz val="11"/>
      <color indexed="9"/>
      <name val="Arial"/>
      <family val="2"/>
    </font>
    <font>
      <sz val="9"/>
      <color indexed="12"/>
      <name val="Trebuchet MS"/>
      <family val="2"/>
    </font>
    <font>
      <b/>
      <sz val="9"/>
      <color indexed="12"/>
      <name val="Trebuchet MS"/>
      <family val="2"/>
    </font>
    <font>
      <sz val="11"/>
      <color indexed="8"/>
      <name val="Book Antiqua"/>
      <family val="1"/>
    </font>
    <font>
      <b/>
      <sz val="11"/>
      <color indexed="8"/>
      <name val="Book Antiqua"/>
      <family val="1"/>
    </font>
    <font>
      <sz val="11"/>
      <color indexed="12"/>
      <name val="Book Antiqua"/>
      <family val="1"/>
    </font>
    <font>
      <b/>
      <sz val="11"/>
      <color indexed="10"/>
      <name val="Book Antiqua"/>
      <family val="1"/>
    </font>
    <font>
      <b/>
      <sz val="16"/>
      <color indexed="12"/>
      <name val="Book Antiqua"/>
      <family val="1"/>
    </font>
    <font>
      <sz val="11"/>
      <color indexed="10"/>
      <name val="Book Antiqua"/>
      <family val="1"/>
    </font>
    <font>
      <i/>
      <sz val="16"/>
      <name val="Calibri"/>
      <family val="2"/>
    </font>
    <font>
      <sz val="11"/>
      <color theme="1"/>
      <name val="Calibri"/>
      <family val="2"/>
      <scheme val="minor"/>
    </font>
    <font>
      <sz val="11"/>
      <color theme="2" tint="-0.749961851863155"/>
      <name val="Calibri"/>
      <family val="2"/>
      <scheme val="minor"/>
    </font>
    <font>
      <sz val="12"/>
      <color theme="2" tint="-0.749961851863155"/>
      <name val="Calibri"/>
      <family val="2"/>
      <scheme val="minor"/>
    </font>
    <font>
      <sz val="11"/>
      <color theme="1"/>
      <name val="Calibri"/>
      <family val="2"/>
      <charset val="1"/>
      <scheme val="minor"/>
    </font>
    <font>
      <sz val="24"/>
      <color theme="9" tint="-0.24994659260841701"/>
      <name val="Cambria"/>
      <family val="2"/>
    </font>
    <font>
      <b/>
      <sz val="11"/>
      <color theme="1"/>
      <name val="Calibri"/>
      <family val="2"/>
      <scheme val="minor"/>
    </font>
    <font>
      <b/>
      <sz val="16"/>
      <color theme="1"/>
      <name val="Calibri"/>
      <family val="2"/>
      <scheme val="minor"/>
    </font>
    <font>
      <b/>
      <sz val="16"/>
      <color rgb="FF000000"/>
      <name val="Calibri"/>
      <family val="2"/>
      <scheme val="minor"/>
    </font>
    <font>
      <sz val="16"/>
      <color rgb="FF000000"/>
      <name val="Calibri"/>
      <family val="2"/>
      <scheme val="minor"/>
    </font>
    <font>
      <sz val="16"/>
      <color theme="1"/>
      <name val="Calibri"/>
      <family val="2"/>
      <scheme val="minor"/>
    </font>
    <font>
      <sz val="16"/>
      <name val="Calibri"/>
      <family val="2"/>
      <scheme val="minor"/>
    </font>
    <font>
      <b/>
      <sz val="16"/>
      <name val="Calibri"/>
      <family val="2"/>
      <scheme val="minor"/>
    </font>
    <font>
      <b/>
      <sz val="14"/>
      <color theme="1"/>
      <name val="Calibri"/>
      <family val="2"/>
      <scheme val="minor"/>
    </font>
    <font>
      <sz val="10"/>
      <color indexed="12"/>
      <name val="Book Antiqua"/>
      <family val="1"/>
    </font>
    <font>
      <b/>
      <sz val="10"/>
      <color indexed="12"/>
      <name val="Book Antiqua"/>
      <family val="1"/>
    </font>
    <font>
      <b/>
      <sz val="12"/>
      <color indexed="12"/>
      <name val="Book Antiqua"/>
      <family val="1"/>
    </font>
    <font>
      <sz val="8"/>
      <color rgb="FF000000"/>
      <name val="Segoe UI"/>
      <family val="2"/>
    </font>
    <font>
      <b/>
      <sz val="9"/>
      <color rgb="FF0000FF"/>
      <name val="Trebuchet MS"/>
      <family val="2"/>
    </font>
    <font>
      <b/>
      <sz val="12"/>
      <color rgb="FF0000FF"/>
      <name val="Arial"/>
      <family val="2"/>
    </font>
    <font>
      <sz val="12"/>
      <color rgb="FF0000FF"/>
      <name val="Arial"/>
      <family val="2"/>
    </font>
    <font>
      <sz val="10"/>
      <color rgb="FF0000FF"/>
      <name val="Arial"/>
      <family val="2"/>
    </font>
    <font>
      <sz val="11"/>
      <color rgb="FF0000FF"/>
      <name val="Arial"/>
      <family val="2"/>
    </font>
    <font>
      <b/>
      <sz val="11"/>
      <color rgb="FF0000FF"/>
      <name val="Arial"/>
      <family val="2"/>
    </font>
    <font>
      <sz val="10"/>
      <name val="Trebuchet MS"/>
      <family val="2"/>
    </font>
    <font>
      <b/>
      <sz val="10"/>
      <name val="Trebuchet MS"/>
      <family val="2"/>
    </font>
    <font>
      <sz val="14"/>
      <color theme="1"/>
      <name val="Calibri"/>
      <family val="2"/>
      <charset val="1"/>
      <scheme val="minor"/>
    </font>
    <font>
      <b/>
      <sz val="20"/>
      <color theme="1"/>
      <name val="Calibri"/>
      <family val="2"/>
      <scheme val="minor"/>
    </font>
    <font>
      <sz val="20"/>
      <color theme="1"/>
      <name val="Calibri"/>
      <family val="2"/>
      <scheme val="minor"/>
    </font>
    <font>
      <b/>
      <sz val="16"/>
      <color rgb="FF0000FF"/>
      <name val="Calibri"/>
      <family val="2"/>
      <scheme val="minor"/>
    </font>
    <font>
      <sz val="10"/>
      <color theme="1"/>
      <name val="Trebuchet MS"/>
      <family val="2"/>
    </font>
    <font>
      <sz val="9"/>
      <color theme="0"/>
      <name val="Trebuchet MS"/>
      <family val="2"/>
    </font>
    <font>
      <sz val="11"/>
      <color theme="0"/>
      <name val="Calibri"/>
      <family val="2"/>
      <scheme val="minor"/>
    </font>
    <font>
      <b/>
      <sz val="9"/>
      <color theme="1"/>
      <name val="Trebuchet MS"/>
      <family val="2"/>
    </font>
    <font>
      <sz val="11"/>
      <color rgb="FF000000"/>
      <name val="Calibri"/>
      <family val="2"/>
    </font>
  </fonts>
  <fills count="34">
    <fill>
      <patternFill patternType="none"/>
    </fill>
    <fill>
      <patternFill patternType="gray125"/>
    </fill>
    <fill>
      <patternFill patternType="solid">
        <fgColor indexed="52"/>
        <bgColor indexed="64"/>
      </patternFill>
    </fill>
    <fill>
      <patternFill patternType="solid">
        <fgColor indexed="22"/>
        <bgColor indexed="64"/>
      </patternFill>
    </fill>
    <fill>
      <patternFill patternType="solid">
        <fgColor indexed="49"/>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63"/>
        <bgColor indexed="64"/>
      </patternFill>
    </fill>
    <fill>
      <patternFill patternType="solid">
        <fgColor indexed="47"/>
        <bgColor indexed="64"/>
      </patternFill>
    </fill>
    <fill>
      <patternFill patternType="solid">
        <fgColor indexed="44"/>
        <bgColor indexed="64"/>
      </patternFill>
    </fill>
    <fill>
      <patternFill patternType="solid">
        <fgColor indexed="27"/>
        <bgColor indexed="64"/>
      </patternFill>
    </fill>
    <fill>
      <patternFill patternType="solid">
        <fgColor indexed="29"/>
        <bgColor indexed="64"/>
      </patternFill>
    </fill>
    <fill>
      <patternFill patternType="solid">
        <fgColor indexed="51"/>
        <bgColor indexed="64"/>
      </patternFill>
    </fill>
    <fill>
      <patternFill patternType="solid">
        <fgColor indexed="8"/>
        <bgColor indexed="64"/>
      </patternFill>
    </fill>
    <fill>
      <patternFill patternType="solid">
        <fgColor indexed="31"/>
        <bgColor indexed="64"/>
      </patternFill>
    </fill>
    <fill>
      <patternFill patternType="solid">
        <fgColor indexed="13"/>
        <bgColor indexed="64"/>
      </patternFill>
    </fill>
    <fill>
      <patternFill patternType="solid">
        <fgColor indexed="43"/>
        <bgColor indexed="64"/>
      </patternFill>
    </fill>
    <fill>
      <patternFill patternType="solid">
        <fgColor indexed="11"/>
        <bgColor indexed="64"/>
      </patternFill>
    </fill>
    <fill>
      <patternFill patternType="solid">
        <fgColor indexed="40"/>
        <bgColor indexed="64"/>
      </patternFill>
    </fill>
    <fill>
      <patternFill patternType="solid">
        <fgColor indexed="41"/>
        <bgColor indexed="64"/>
      </patternFill>
    </fill>
    <fill>
      <patternFill patternType="solid">
        <fgColor indexed="23"/>
        <bgColor indexed="64"/>
      </patternFill>
    </fill>
    <fill>
      <patternFill patternType="solid">
        <fgColor indexed="30"/>
        <bgColor indexed="64"/>
      </patternFill>
    </fill>
    <fill>
      <patternFill patternType="solid">
        <fgColor theme="0" tint="-0.14999847407452621"/>
        <bgColor indexed="64"/>
      </patternFill>
    </fill>
    <fill>
      <patternFill patternType="solid">
        <fgColor theme="0"/>
        <bgColor indexed="64"/>
      </patternFill>
    </fill>
    <fill>
      <patternFill patternType="solid">
        <fgColor indexed="4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bgColor indexed="64"/>
      </patternFill>
    </fill>
  </fills>
  <borders count="152">
    <border>
      <left/>
      <right/>
      <top/>
      <bottom/>
      <diagonal/>
    </border>
    <border>
      <left style="thin">
        <color indexed="22"/>
      </left>
      <right style="thin">
        <color indexed="22"/>
      </right>
      <top style="thin">
        <color indexed="22"/>
      </top>
      <bottom style="thin">
        <color indexed="22"/>
      </bottom>
      <diagonal/>
    </border>
    <border>
      <left/>
      <right/>
      <top/>
      <bottom style="thin">
        <color indexed="19"/>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style="hair">
        <color indexed="64"/>
      </left>
      <right/>
      <top/>
      <bottom style="hair">
        <color indexed="64"/>
      </bottom>
      <diagonal/>
    </border>
    <border>
      <left/>
      <right style="thin">
        <color indexed="64"/>
      </right>
      <top style="thin">
        <color indexed="64"/>
      </top>
      <bottom style="hair">
        <color indexed="64"/>
      </bottom>
      <diagonal/>
    </border>
    <border>
      <left/>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medium">
        <color indexed="22"/>
      </left>
      <right/>
      <top style="thin">
        <color indexed="22"/>
      </top>
      <bottom/>
      <diagonal/>
    </border>
    <border>
      <left/>
      <right/>
      <top style="thin">
        <color indexed="22"/>
      </top>
      <bottom/>
      <diagonal/>
    </border>
    <border>
      <left style="medium">
        <color indexed="22"/>
      </left>
      <right/>
      <top/>
      <bottom style="thin">
        <color indexed="22"/>
      </bottom>
      <diagonal/>
    </border>
    <border>
      <left/>
      <right/>
      <top/>
      <bottom style="thin">
        <color indexed="22"/>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right/>
      <top style="hair">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22"/>
      </left>
      <right style="thin">
        <color indexed="22"/>
      </right>
      <top/>
      <bottom style="medium">
        <color indexed="22"/>
      </bottom>
      <diagonal/>
    </border>
    <border>
      <left style="thin">
        <color indexed="22"/>
      </left>
      <right style="thin">
        <color indexed="22"/>
      </right>
      <top/>
      <bottom style="medium">
        <color indexed="22"/>
      </bottom>
      <diagonal/>
    </border>
    <border>
      <left style="thin">
        <color indexed="22"/>
      </left>
      <right/>
      <top/>
      <bottom style="medium">
        <color indexed="22"/>
      </bottom>
      <diagonal/>
    </border>
    <border>
      <left style="thin">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medium">
        <color indexed="22"/>
      </left>
      <right style="thin">
        <color indexed="22"/>
      </right>
      <top style="medium">
        <color indexed="22"/>
      </top>
      <bottom style="thin">
        <color indexed="22"/>
      </bottom>
      <diagonal/>
    </border>
    <border>
      <left style="thin">
        <color indexed="22"/>
      </left>
      <right style="thin">
        <color indexed="22"/>
      </right>
      <top style="medium">
        <color indexed="22"/>
      </top>
      <bottom style="thin">
        <color indexed="22"/>
      </bottom>
      <diagonal/>
    </border>
    <border>
      <left style="thin">
        <color indexed="22"/>
      </left>
      <right/>
      <top style="medium">
        <color indexed="22"/>
      </top>
      <bottom style="thin">
        <color indexed="22"/>
      </bottom>
      <diagonal/>
    </border>
    <border>
      <left/>
      <right/>
      <top/>
      <bottom style="hair">
        <color indexed="64"/>
      </bottom>
      <diagonal/>
    </border>
    <border>
      <left/>
      <right style="hair">
        <color indexed="64"/>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1">
    <xf numFmtId="0" fontId="0" fillId="0" borderId="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 fillId="0" borderId="0" applyFont="0" applyFill="0" applyBorder="0" applyAlignment="0" applyProtection="0"/>
    <xf numFmtId="44" fontId="17" fillId="0" borderId="0" applyFont="0" applyFill="0" applyBorder="0" applyProtection="0">
      <alignment horizontal="center" vertical="center"/>
    </xf>
    <xf numFmtId="14" fontId="3" fillId="0" borderId="0" applyFont="0" applyFill="0" applyBorder="0" applyAlignment="0">
      <alignment vertical="center" wrapText="1"/>
    </xf>
    <xf numFmtId="0" fontId="140" fillId="0" borderId="0" applyNumberFormat="0" applyFill="0" applyBorder="0" applyProtection="0">
      <alignment horizontal="left" wrapText="1"/>
    </xf>
    <xf numFmtId="0" fontId="141" fillId="0" borderId="0" applyNumberFormat="0" applyFill="0" applyBorder="0" applyProtection="0">
      <alignment wrapText="1"/>
    </xf>
    <xf numFmtId="0" fontId="140" fillId="0" borderId="0" applyNumberFormat="0" applyFill="0" applyBorder="0" applyProtection="0">
      <alignment wrapText="1"/>
    </xf>
    <xf numFmtId="2" fontId="3" fillId="0" borderId="0" applyFont="0" applyFill="0" applyBorder="0">
      <alignment horizontal="center" vertical="center"/>
    </xf>
    <xf numFmtId="0" fontId="140" fillId="0" borderId="0" applyNumberFormat="0" applyFill="0" applyBorder="0" applyProtection="0">
      <alignment horizontal="left" wrapText="1"/>
    </xf>
    <xf numFmtId="0" fontId="3" fillId="0" borderId="147" applyNumberFormat="0" applyFont="0" applyFill="0" applyAlignment="0" applyProtection="0"/>
    <xf numFmtId="0" fontId="139" fillId="0" borderId="0">
      <alignment vertical="center" wrapText="1"/>
    </xf>
    <xf numFmtId="0" fontId="139" fillId="0" borderId="0">
      <alignment vertical="center" wrapText="1"/>
    </xf>
    <xf numFmtId="0" fontId="142" fillId="0" borderId="0"/>
    <xf numFmtId="0" fontId="3" fillId="0" borderId="0">
      <alignment vertical="top"/>
    </xf>
    <xf numFmtId="168" fontId="2" fillId="0" borderId="0"/>
    <xf numFmtId="0" fontId="3" fillId="0" borderId="2" applyNumberFormat="0" applyFont="0" applyAlignment="0" applyProtection="0"/>
    <xf numFmtId="9" fontId="3" fillId="0" borderId="0" applyFont="0" applyFill="0" applyBorder="0" applyAlignment="0" applyProtection="0"/>
    <xf numFmtId="9" fontId="1" fillId="0" borderId="0" applyFont="0" applyFill="0" applyBorder="0" applyAlignment="0" applyProtection="0"/>
    <xf numFmtId="173" fontId="3" fillId="0" borderId="0" applyFont="0" applyFill="0" applyBorder="0">
      <alignment horizontal="left"/>
    </xf>
    <xf numFmtId="0" fontId="143" fillId="0" borderId="0" applyNumberFormat="0" applyFill="0" applyBorder="0" applyProtection="0">
      <alignment horizontal="right" vertical="top"/>
    </xf>
    <xf numFmtId="0" fontId="144" fillId="2" borderId="148" applyNumberFormat="0" applyProtection="0">
      <alignment horizontal="left" vertical="center"/>
    </xf>
    <xf numFmtId="14" fontId="3" fillId="0" borderId="0" applyFont="0" applyFill="0" applyBorder="0">
      <alignment horizontal="left"/>
    </xf>
    <xf numFmtId="164" fontId="1" fillId="0" borderId="0" applyFont="0" applyFill="0" applyBorder="0" applyAlignment="0" applyProtection="0"/>
  </cellStyleXfs>
  <cellXfs count="4725">
    <xf numFmtId="0" fontId="0" fillId="0" borderId="0" xfId="0"/>
    <xf numFmtId="0" fontId="0" fillId="0" borderId="0" xfId="0" applyBorder="1"/>
    <xf numFmtId="0" fontId="6" fillId="0" borderId="0" xfId="0" applyFont="1" applyBorder="1"/>
    <xf numFmtId="0" fontId="8" fillId="0" borderId="0" xfId="0" applyFont="1" applyBorder="1"/>
    <xf numFmtId="0" fontId="5" fillId="0" borderId="0" xfId="0" applyFont="1" applyBorder="1"/>
    <xf numFmtId="0" fontId="6" fillId="0" borderId="8" xfId="0" applyFont="1" applyBorder="1"/>
    <xf numFmtId="0" fontId="9" fillId="0" borderId="0" xfId="0" applyFont="1" applyBorder="1"/>
    <xf numFmtId="0" fontId="8" fillId="0" borderId="0" xfId="0" applyFont="1"/>
    <xf numFmtId="0" fontId="6" fillId="0" borderId="0" xfId="0" applyFont="1" applyBorder="1" applyAlignment="1">
      <alignment horizontal="center"/>
    </xf>
    <xf numFmtId="0" fontId="13" fillId="0" borderId="0" xfId="0" applyFont="1" applyAlignment="1">
      <alignment vertical="center" wrapText="1"/>
    </xf>
    <xf numFmtId="0" fontId="8" fillId="0" borderId="0" xfId="0" applyFont="1" applyBorder="1" applyAlignment="1">
      <alignment vertical="center" wrapText="1"/>
    </xf>
    <xf numFmtId="0" fontId="6" fillId="0" borderId="0" xfId="0" applyFont="1" applyBorder="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center"/>
    </xf>
    <xf numFmtId="0" fontId="6" fillId="0" borderId="0" xfId="0" applyFont="1" applyBorder="1" applyAlignment="1">
      <alignment vertical="top"/>
    </xf>
    <xf numFmtId="0" fontId="9" fillId="0" borderId="0" xfId="0" applyFont="1" applyAlignment="1">
      <alignment vertical="center" wrapText="1"/>
    </xf>
    <xf numFmtId="0" fontId="8" fillId="0" borderId="0" xfId="0" applyFont="1" applyFill="1" applyAlignment="1">
      <alignment horizontal="center"/>
    </xf>
    <xf numFmtId="0" fontId="9" fillId="0" borderId="0" xfId="0" applyFont="1"/>
    <xf numFmtId="0" fontId="4" fillId="0" borderId="0" xfId="0" applyFont="1" applyBorder="1" applyAlignment="1">
      <alignment vertical="center" wrapText="1"/>
    </xf>
    <xf numFmtId="0" fontId="8" fillId="3" borderId="0" xfId="0" applyFont="1" applyFill="1" applyBorder="1" applyAlignment="1">
      <alignment vertical="center" wrapText="1"/>
    </xf>
    <xf numFmtId="0" fontId="0" fillId="0" borderId="0" xfId="0" applyAlignment="1">
      <alignment vertical="center" wrapText="1"/>
    </xf>
    <xf numFmtId="0" fontId="6" fillId="0" borderId="0" xfId="0" applyFont="1" applyBorder="1" applyAlignment="1">
      <alignment vertical="center"/>
    </xf>
    <xf numFmtId="0" fontId="9" fillId="0" borderId="0" xfId="0" applyFont="1" applyBorder="1" applyAlignment="1">
      <alignment vertical="center" wrapText="1"/>
    </xf>
    <xf numFmtId="0" fontId="8" fillId="0" borderId="0" xfId="0" applyFont="1" applyFill="1" applyBorder="1" applyAlignment="1">
      <alignment vertical="center" wrapText="1"/>
    </xf>
    <xf numFmtId="0" fontId="9" fillId="0" borderId="0" xfId="0" applyFont="1" applyAlignment="1">
      <alignment horizontal="center"/>
    </xf>
    <xf numFmtId="0" fontId="8" fillId="0" borderId="0" xfId="0" applyFont="1" applyAlignment="1">
      <alignment horizontal="left" vertical="center"/>
    </xf>
    <xf numFmtId="0" fontId="18" fillId="0" borderId="0" xfId="0" applyFont="1" applyBorder="1" applyAlignment="1">
      <alignment vertical="center" wrapText="1"/>
    </xf>
    <xf numFmtId="0" fontId="11" fillId="0" borderId="0" xfId="0" applyFont="1" applyBorder="1" applyAlignment="1">
      <alignment vertical="center" wrapText="1"/>
    </xf>
    <xf numFmtId="0" fontId="0" fillId="0" borderId="0" xfId="0" applyAlignment="1">
      <alignment vertical="center"/>
    </xf>
    <xf numFmtId="0" fontId="7" fillId="0" borderId="0" xfId="0" applyFont="1" applyBorder="1" applyAlignment="1">
      <alignment vertical="center" wrapText="1"/>
    </xf>
    <xf numFmtId="0" fontId="8" fillId="0" borderId="0" xfId="0" applyFont="1" applyBorder="1" applyAlignment="1">
      <alignment horizontal="left" vertical="center" wrapText="1"/>
    </xf>
    <xf numFmtId="0" fontId="11" fillId="0" borderId="0" xfId="0" applyFont="1" applyBorder="1" applyAlignment="1">
      <alignment vertical="center"/>
    </xf>
    <xf numFmtId="0" fontId="9" fillId="0" borderId="0" xfId="0" applyFont="1" applyFill="1" applyBorder="1" applyAlignment="1">
      <alignment vertical="center" wrapText="1"/>
    </xf>
    <xf numFmtId="0" fontId="8" fillId="0" borderId="0" xfId="0" applyFont="1" applyAlignment="1">
      <alignment horizontal="center" vertical="center"/>
    </xf>
    <xf numFmtId="0" fontId="6" fillId="0" borderId="0" xfId="0" applyFont="1" applyBorder="1" applyAlignment="1">
      <alignment horizontal="center" vertical="center"/>
    </xf>
    <xf numFmtId="43" fontId="0" fillId="0" borderId="0" xfId="0" applyNumberFormat="1" applyAlignment="1">
      <alignment vertical="center" wrapText="1"/>
    </xf>
    <xf numFmtId="0" fontId="8" fillId="0" borderId="0" xfId="0" applyFont="1" applyFill="1"/>
    <xf numFmtId="0" fontId="9" fillId="0" borderId="0" xfId="0" applyFont="1" applyFill="1"/>
    <xf numFmtId="0" fontId="9" fillId="0" borderId="0" xfId="0" applyFont="1" applyFill="1" applyAlignment="1">
      <alignment vertical="center" wrapText="1"/>
    </xf>
    <xf numFmtId="0" fontId="27" fillId="0" borderId="0" xfId="0" applyFont="1" applyBorder="1" applyAlignment="1">
      <alignment vertical="center" wrapText="1"/>
    </xf>
    <xf numFmtId="0" fontId="9" fillId="0" borderId="0" xfId="0" applyFont="1" applyFill="1" applyBorder="1" applyAlignment="1">
      <alignment horizontal="center"/>
    </xf>
    <xf numFmtId="0" fontId="0" fillId="0" borderId="0" xfId="0" applyAlignment="1">
      <alignment horizontal="center" vertical="center"/>
    </xf>
    <xf numFmtId="0" fontId="15" fillId="4" borderId="8" xfId="0" applyFont="1" applyFill="1" applyBorder="1" applyAlignment="1">
      <alignment horizontal="center" vertical="center"/>
    </xf>
    <xf numFmtId="0" fontId="0" fillId="0" borderId="8" xfId="0" applyBorder="1" applyAlignment="1">
      <alignment vertical="center"/>
    </xf>
    <xf numFmtId="0" fontId="0" fillId="0" borderId="0" xfId="0" applyFill="1" applyAlignment="1">
      <alignment vertical="center"/>
    </xf>
    <xf numFmtId="0" fontId="15" fillId="0" borderId="0" xfId="0" applyFont="1" applyAlignment="1" applyProtection="1">
      <alignment vertical="center"/>
    </xf>
    <xf numFmtId="0" fontId="25" fillId="0" borderId="0" xfId="0" applyFont="1" applyAlignment="1" applyProtection="1">
      <alignment vertical="center"/>
    </xf>
    <xf numFmtId="0" fontId="25" fillId="0" borderId="0" xfId="0" applyFont="1" applyAlignment="1" applyProtection="1">
      <alignment vertical="center" wrapText="1"/>
    </xf>
    <xf numFmtId="0" fontId="25" fillId="5" borderId="0" xfId="0" applyFont="1" applyFill="1" applyAlignment="1" applyProtection="1">
      <alignment horizontal="right" vertical="center" wrapText="1"/>
    </xf>
    <xf numFmtId="0" fontId="24" fillId="3" borderId="17" xfId="0" applyFont="1" applyFill="1" applyBorder="1" applyAlignment="1" applyProtection="1">
      <alignment horizontal="center" vertical="center"/>
    </xf>
    <xf numFmtId="0" fontId="24" fillId="3" borderId="18" xfId="0" applyFont="1" applyFill="1" applyBorder="1" applyAlignment="1" applyProtection="1">
      <alignment horizontal="center" vertical="center"/>
    </xf>
    <xf numFmtId="0" fontId="25" fillId="0" borderId="19" xfId="0" applyFont="1" applyBorder="1" applyAlignment="1" applyProtection="1">
      <alignment vertical="center"/>
    </xf>
    <xf numFmtId="0" fontId="25" fillId="0" borderId="20" xfId="0" applyFont="1" applyBorder="1" applyAlignment="1" applyProtection="1">
      <alignment vertical="center"/>
    </xf>
    <xf numFmtId="0" fontId="25" fillId="0" borderId="21" xfId="0" applyFont="1" applyBorder="1" applyAlignment="1" applyProtection="1">
      <alignment vertical="center"/>
    </xf>
    <xf numFmtId="9" fontId="25" fillId="0" borderId="0" xfId="24" applyFont="1" applyAlignment="1" applyProtection="1">
      <alignment vertical="center"/>
    </xf>
    <xf numFmtId="0" fontId="24" fillId="0" borderId="0" xfId="0" applyFont="1" applyAlignment="1" applyProtection="1">
      <alignment vertical="center"/>
    </xf>
    <xf numFmtId="0" fontId="25" fillId="0" borderId="0" xfId="0" applyFont="1" applyAlignment="1" applyProtection="1">
      <alignment horizontal="right" vertical="center" wrapText="1"/>
    </xf>
    <xf numFmtId="41" fontId="25" fillId="0" borderId="0" xfId="0" applyNumberFormat="1" applyFont="1" applyAlignment="1" applyProtection="1">
      <alignment vertical="center"/>
    </xf>
    <xf numFmtId="41" fontId="25" fillId="0" borderId="0" xfId="2" applyNumberFormat="1" applyFont="1" applyAlignment="1" applyProtection="1">
      <alignment vertical="center"/>
    </xf>
    <xf numFmtId="0" fontId="8" fillId="0" borderId="0" xfId="0" applyFont="1" applyProtection="1">
      <protection locked="0"/>
    </xf>
    <xf numFmtId="0" fontId="8" fillId="0" borderId="0" xfId="0" applyFont="1" applyBorder="1" applyProtection="1">
      <protection locked="0"/>
    </xf>
    <xf numFmtId="0" fontId="8" fillId="0" borderId="0" xfId="0" applyFont="1" applyAlignment="1" applyProtection="1">
      <alignment horizontal="center"/>
      <protection locked="0"/>
    </xf>
    <xf numFmtId="0" fontId="0" fillId="0" borderId="0" xfId="0" applyFill="1" applyBorder="1" applyAlignment="1">
      <alignment vertical="center" wrapText="1"/>
    </xf>
    <xf numFmtId="0" fontId="6" fillId="0" borderId="0" xfId="0" applyFont="1" applyFill="1" applyBorder="1"/>
    <xf numFmtId="0" fontId="8" fillId="0" borderId="0" xfId="0" applyFont="1" applyAlignment="1" applyProtection="1">
      <alignment horizontal="center" vertical="center"/>
      <protection locked="0"/>
    </xf>
    <xf numFmtId="0" fontId="8" fillId="0" borderId="0" xfId="0" applyFont="1" applyProtection="1">
      <protection hidden="1"/>
    </xf>
    <xf numFmtId="0" fontId="8" fillId="0" borderId="0" xfId="0" applyFont="1" applyBorder="1" applyAlignment="1" applyProtection="1">
      <alignment vertical="center"/>
      <protection locked="0"/>
    </xf>
    <xf numFmtId="0" fontId="8" fillId="0" borderId="0" xfId="0" applyFont="1" applyBorder="1" applyAlignment="1" applyProtection="1">
      <alignment horizontal="center" vertical="center"/>
      <protection locked="0"/>
    </xf>
    <xf numFmtId="0" fontId="29" fillId="0" borderId="0" xfId="20" applyFont="1"/>
    <xf numFmtId="0" fontId="29" fillId="0" borderId="0" xfId="20" applyFont="1" applyBorder="1"/>
    <xf numFmtId="0" fontId="29" fillId="5" borderId="0" xfId="20" applyFont="1" applyFill="1"/>
    <xf numFmtId="0" fontId="29" fillId="0" borderId="0" xfId="20" applyFont="1" applyFill="1"/>
    <xf numFmtId="0" fontId="6" fillId="0" borderId="0" xfId="19" applyFont="1" applyProtection="1">
      <alignment vertical="center" wrapText="1"/>
      <protection locked="0"/>
    </xf>
    <xf numFmtId="0" fontId="6" fillId="0" borderId="0" xfId="19" applyFont="1" applyAlignment="1" applyProtection="1">
      <alignment vertical="center" wrapText="1"/>
      <protection locked="0"/>
    </xf>
    <xf numFmtId="0" fontId="6" fillId="0" borderId="0" xfId="19" applyFont="1" applyBorder="1">
      <alignment vertical="center" wrapText="1"/>
    </xf>
    <xf numFmtId="0" fontId="6" fillId="0" borderId="0" xfId="19" applyFont="1" applyBorder="1" applyProtection="1">
      <alignment vertical="center" wrapText="1"/>
      <protection locked="0"/>
    </xf>
    <xf numFmtId="0" fontId="6" fillId="0" borderId="0" xfId="19" applyFont="1">
      <alignment vertical="center" wrapText="1"/>
    </xf>
    <xf numFmtId="0" fontId="5" fillId="0" borderId="0" xfId="19" applyFont="1" applyProtection="1">
      <alignment vertical="center" wrapText="1"/>
      <protection locked="0"/>
    </xf>
    <xf numFmtId="0" fontId="5" fillId="0" borderId="0" xfId="19" applyFont="1">
      <alignment vertical="center" wrapText="1"/>
    </xf>
    <xf numFmtId="0" fontId="6" fillId="0" borderId="0" xfId="19" applyFont="1" applyAlignment="1">
      <alignment vertical="center" wrapText="1"/>
    </xf>
    <xf numFmtId="0" fontId="6" fillId="0" borderId="0" xfId="19" applyFont="1" applyBorder="1" applyAlignment="1" applyProtection="1">
      <alignment vertical="center"/>
      <protection locked="0"/>
    </xf>
    <xf numFmtId="0" fontId="5" fillId="0" borderId="0" xfId="19" applyFont="1" applyBorder="1" applyAlignment="1" applyProtection="1">
      <alignment vertical="center"/>
      <protection locked="0"/>
    </xf>
    <xf numFmtId="0" fontId="6" fillId="0" borderId="0" xfId="19" applyFont="1" applyAlignment="1" applyProtection="1">
      <alignment vertical="center"/>
      <protection locked="0"/>
    </xf>
    <xf numFmtId="0" fontId="5" fillId="0" borderId="0" xfId="19" applyFont="1" applyBorder="1" applyProtection="1">
      <alignment vertical="center" wrapText="1"/>
      <protection locked="0"/>
    </xf>
    <xf numFmtId="0" fontId="5" fillId="0" borderId="0" xfId="19" applyFont="1" applyBorder="1">
      <alignment vertical="center" wrapText="1"/>
    </xf>
    <xf numFmtId="0" fontId="41" fillId="0" borderId="8" xfId="0" applyFont="1" applyBorder="1" applyAlignment="1">
      <alignment horizontal="center" vertical="center" wrapText="1"/>
    </xf>
    <xf numFmtId="0" fontId="41" fillId="0" borderId="12" xfId="0" applyFont="1" applyBorder="1" applyAlignment="1">
      <alignment horizontal="center" vertical="center" wrapText="1"/>
    </xf>
    <xf numFmtId="0" fontId="40" fillId="0" borderId="14" xfId="0" applyFont="1" applyBorder="1" applyAlignment="1">
      <alignment vertical="center" wrapText="1"/>
    </xf>
    <xf numFmtId="0" fontId="40" fillId="0" borderId="0" xfId="0" applyFont="1" applyFill="1" applyBorder="1" applyAlignment="1">
      <alignment vertical="center" wrapText="1"/>
    </xf>
    <xf numFmtId="0" fontId="41" fillId="0" borderId="0" xfId="0" applyFont="1" applyFill="1" applyBorder="1" applyAlignment="1">
      <alignment horizontal="center" vertical="center" wrapText="1"/>
    </xf>
    <xf numFmtId="0" fontId="40" fillId="0" borderId="0" xfId="0" applyFont="1" applyAlignment="1">
      <alignment horizontal="center"/>
    </xf>
    <xf numFmtId="0" fontId="40" fillId="0" borderId="0" xfId="0" applyFont="1"/>
    <xf numFmtId="0" fontId="40" fillId="0" borderId="0" xfId="0" applyFont="1" applyFill="1"/>
    <xf numFmtId="0" fontId="40" fillId="0" borderId="0" xfId="0" applyFont="1" applyFill="1" applyBorder="1"/>
    <xf numFmtId="10" fontId="40" fillId="5" borderId="0" xfId="0" applyNumberFormat="1" applyFont="1" applyFill="1" applyBorder="1" applyAlignment="1" applyProtection="1">
      <alignment horizontal="center" vertical="center"/>
    </xf>
    <xf numFmtId="10" fontId="40" fillId="0" borderId="0" xfId="0" applyNumberFormat="1" applyFont="1" applyBorder="1" applyAlignment="1" applyProtection="1">
      <alignment horizontal="center" vertical="center"/>
    </xf>
    <xf numFmtId="0" fontId="56" fillId="0" borderId="0" xfId="0" applyFont="1" applyFill="1" applyBorder="1" applyAlignment="1">
      <alignment vertical="center" wrapText="1"/>
    </xf>
    <xf numFmtId="0" fontId="48" fillId="0" borderId="0" xfId="27" applyFont="1" applyFill="1" applyBorder="1" applyAlignment="1">
      <alignment vertical="center" wrapText="1"/>
    </xf>
    <xf numFmtId="0" fontId="48" fillId="0" borderId="0" xfId="27" applyFont="1" applyFill="1" applyBorder="1" applyAlignment="1">
      <alignment horizontal="center" vertical="center" wrapText="1"/>
    </xf>
    <xf numFmtId="0" fontId="41" fillId="0" borderId="0" xfId="0" applyFont="1" applyFill="1" applyBorder="1" applyAlignment="1">
      <alignment vertical="center"/>
    </xf>
    <xf numFmtId="0" fontId="40" fillId="0" borderId="0" xfId="0" applyFont="1" applyAlignment="1">
      <alignment vertical="center" wrapText="1"/>
    </xf>
    <xf numFmtId="0" fontId="41" fillId="0" borderId="16" xfId="0" applyFont="1" applyBorder="1" applyAlignment="1">
      <alignment horizontal="center" vertical="center" wrapText="1"/>
    </xf>
    <xf numFmtId="0" fontId="41" fillId="0" borderId="11" xfId="0" applyFont="1" applyBorder="1" applyAlignment="1">
      <alignment horizontal="center" vertical="center" wrapText="1"/>
    </xf>
    <xf numFmtId="0" fontId="41" fillId="0" borderId="9" xfId="0" applyFont="1" applyBorder="1" applyAlignment="1">
      <alignment horizontal="center" vertical="center" wrapText="1"/>
    </xf>
    <xf numFmtId="2" fontId="41" fillId="3" borderId="13" xfId="0" applyNumberFormat="1" applyFont="1" applyFill="1" applyBorder="1" applyAlignment="1">
      <alignment vertical="center" wrapText="1"/>
    </xf>
    <xf numFmtId="43" fontId="40" fillId="0" borderId="14" xfId="0" applyNumberFormat="1" applyFont="1" applyBorder="1" applyAlignment="1">
      <alignment vertical="center" wrapText="1"/>
    </xf>
    <xf numFmtId="2" fontId="40" fillId="0" borderId="14" xfId="0" applyNumberFormat="1" applyFont="1" applyBorder="1" applyAlignment="1">
      <alignment vertical="center" wrapText="1"/>
    </xf>
    <xf numFmtId="43" fontId="57" fillId="3" borderId="14" xfId="0" applyNumberFormat="1" applyFont="1" applyFill="1" applyBorder="1" applyAlignment="1">
      <alignment vertical="center" wrapText="1"/>
    </xf>
    <xf numFmtId="2" fontId="40" fillId="0" borderId="0" xfId="0" applyNumberFormat="1" applyFont="1" applyBorder="1" applyAlignment="1">
      <alignment vertical="center" wrapText="1"/>
    </xf>
    <xf numFmtId="2" fontId="40" fillId="0" borderId="4" xfId="0" applyNumberFormat="1" applyFont="1" applyBorder="1" applyAlignment="1">
      <alignment vertical="center" wrapText="1"/>
    </xf>
    <xf numFmtId="2" fontId="41" fillId="3" borderId="14" xfId="0" applyNumberFormat="1" applyFont="1" applyFill="1" applyBorder="1" applyAlignment="1">
      <alignment vertical="center" wrapText="1"/>
    </xf>
    <xf numFmtId="2" fontId="41" fillId="3" borderId="4" xfId="0" applyNumberFormat="1" applyFont="1" applyFill="1" applyBorder="1" applyAlignment="1">
      <alignment vertical="center" wrapText="1"/>
    </xf>
    <xf numFmtId="43" fontId="40" fillId="3" borderId="14" xfId="0" applyNumberFormat="1" applyFont="1" applyFill="1" applyBorder="1" applyAlignment="1">
      <alignment vertical="center" wrapText="1"/>
    </xf>
    <xf numFmtId="43" fontId="40" fillId="3" borderId="4" xfId="0" applyNumberFormat="1" applyFont="1" applyFill="1" applyBorder="1" applyAlignment="1">
      <alignment vertical="center" wrapText="1"/>
    </xf>
    <xf numFmtId="43" fontId="41" fillId="3" borderId="14" xfId="0" applyNumberFormat="1" applyFont="1" applyFill="1" applyBorder="1" applyAlignment="1">
      <alignment vertical="center" wrapText="1"/>
    </xf>
    <xf numFmtId="43" fontId="41" fillId="3" borderId="4" xfId="0" applyNumberFormat="1" applyFont="1" applyFill="1" applyBorder="1" applyAlignment="1">
      <alignment vertical="center" wrapText="1"/>
    </xf>
    <xf numFmtId="2" fontId="40" fillId="0" borderId="15" xfId="0" applyNumberFormat="1" applyFont="1" applyBorder="1" applyAlignment="1">
      <alignment vertical="center" wrapText="1"/>
    </xf>
    <xf numFmtId="2" fontId="40" fillId="0" borderId="6" xfId="0" applyNumberFormat="1" applyFont="1" applyBorder="1" applyAlignment="1">
      <alignment vertical="center" wrapText="1"/>
    </xf>
    <xf numFmtId="0" fontId="40" fillId="0" borderId="13" xfId="0" applyFont="1" applyBorder="1" applyAlignment="1">
      <alignment vertical="center" wrapText="1"/>
    </xf>
    <xf numFmtId="0" fontId="41" fillId="7" borderId="8" xfId="0" applyFont="1" applyFill="1" applyBorder="1" applyAlignment="1" applyProtection="1">
      <alignment horizontal="center" vertical="center" wrapText="1"/>
      <protection hidden="1"/>
    </xf>
    <xf numFmtId="9" fontId="41" fillId="0" borderId="6" xfId="0" applyNumberFormat="1" applyFont="1" applyBorder="1" applyAlignment="1" applyProtection="1">
      <alignment horizontal="center" vertical="center" wrapText="1"/>
      <protection hidden="1"/>
    </xf>
    <xf numFmtId="9" fontId="41" fillId="0" borderId="9" xfId="24" applyFont="1" applyBorder="1" applyAlignment="1" applyProtection="1">
      <alignment horizontal="center" vertical="center" wrapText="1"/>
      <protection hidden="1"/>
    </xf>
    <xf numFmtId="9" fontId="42" fillId="0" borderId="9" xfId="24" applyFont="1" applyBorder="1" applyAlignment="1" applyProtection="1">
      <alignment horizontal="center" vertical="center" wrapText="1"/>
      <protection hidden="1"/>
    </xf>
    <xf numFmtId="9" fontId="60" fillId="0" borderId="9" xfId="24" applyFont="1" applyBorder="1" applyAlignment="1" applyProtection="1">
      <alignment horizontal="center" vertical="center" wrapText="1"/>
      <protection hidden="1"/>
    </xf>
    <xf numFmtId="165" fontId="61" fillId="0" borderId="9" xfId="0" applyNumberFormat="1" applyFont="1" applyBorder="1" applyAlignment="1" applyProtection="1">
      <alignment horizontal="center" vertical="center" wrapText="1"/>
      <protection hidden="1"/>
    </xf>
    <xf numFmtId="0" fontId="61" fillId="0" borderId="12" xfId="0" applyFont="1" applyBorder="1" applyAlignment="1" applyProtection="1">
      <alignment horizontal="center" vertical="center" wrapText="1"/>
      <protection hidden="1"/>
    </xf>
    <xf numFmtId="0" fontId="41" fillId="6" borderId="8" xfId="0" applyFont="1" applyFill="1" applyBorder="1" applyAlignment="1" applyProtection="1">
      <alignment horizontal="center" vertical="center" wrapText="1"/>
      <protection hidden="1"/>
    </xf>
    <xf numFmtId="9" fontId="41" fillId="6" borderId="9" xfId="24" applyFont="1" applyFill="1" applyBorder="1" applyAlignment="1" applyProtection="1">
      <alignment horizontal="center" vertical="center" wrapText="1"/>
      <protection hidden="1"/>
    </xf>
    <xf numFmtId="9" fontId="41" fillId="0" borderId="14" xfId="24" applyFont="1" applyBorder="1" applyAlignment="1" applyProtection="1">
      <alignment vertical="center" wrapText="1"/>
      <protection hidden="1"/>
    </xf>
    <xf numFmtId="165" fontId="41" fillId="6" borderId="8" xfId="1" applyFont="1" applyFill="1" applyBorder="1" applyAlignment="1" applyProtection="1">
      <alignment horizontal="center" vertical="center" wrapText="1"/>
      <protection hidden="1"/>
    </xf>
    <xf numFmtId="0" fontId="40" fillId="5" borderId="8" xfId="0" applyFont="1" applyFill="1" applyBorder="1" applyAlignment="1" applyProtection="1">
      <alignment horizontal="center" vertical="center" wrapText="1"/>
      <protection hidden="1"/>
    </xf>
    <xf numFmtId="0" fontId="40" fillId="0" borderId="0" xfId="0" applyFont="1" applyProtection="1">
      <protection locked="0"/>
    </xf>
    <xf numFmtId="0" fontId="40" fillId="0" borderId="4" xfId="0" applyFont="1" applyBorder="1" applyAlignment="1" applyProtection="1">
      <protection hidden="1"/>
    </xf>
    <xf numFmtId="0" fontId="40" fillId="0" borderId="5" xfId="0" applyFont="1" applyBorder="1" applyAlignment="1" applyProtection="1">
      <protection hidden="1"/>
    </xf>
    <xf numFmtId="0" fontId="40" fillId="0" borderId="8" xfId="0" applyFont="1" applyBorder="1" applyProtection="1">
      <protection locked="0"/>
    </xf>
    <xf numFmtId="0" fontId="40" fillId="8" borderId="8" xfId="0" applyFont="1" applyFill="1" applyBorder="1" applyProtection="1">
      <protection locked="0"/>
    </xf>
    <xf numFmtId="0" fontId="40" fillId="0" borderId="13" xfId="0" applyFont="1" applyBorder="1" applyProtection="1">
      <protection locked="0"/>
    </xf>
    <xf numFmtId="0" fontId="40" fillId="0" borderId="0" xfId="0" applyFont="1" applyProtection="1">
      <protection hidden="1"/>
    </xf>
    <xf numFmtId="2" fontId="40" fillId="0" borderId="0" xfId="0" applyNumberFormat="1" applyFont="1" applyProtection="1">
      <protection locked="0"/>
    </xf>
    <xf numFmtId="0" fontId="40" fillId="0" borderId="0" xfId="0" applyFont="1" applyAlignment="1" applyProtection="1">
      <alignment vertical="center"/>
      <protection locked="0"/>
    </xf>
    <xf numFmtId="0" fontId="47" fillId="0" borderId="0" xfId="0" applyFont="1" applyAlignment="1" applyProtection="1">
      <alignment horizontal="left" vertical="top"/>
      <protection locked="0"/>
    </xf>
    <xf numFmtId="0" fontId="40" fillId="0" borderId="6" xfId="0" applyFont="1" applyBorder="1" applyAlignment="1" applyProtection="1">
      <protection hidden="1"/>
    </xf>
    <xf numFmtId="0" fontId="40" fillId="0" borderId="11" xfId="0" applyFont="1" applyBorder="1" applyAlignment="1" applyProtection="1">
      <protection hidden="1"/>
    </xf>
    <xf numFmtId="0" fontId="40" fillId="0" borderId="0" xfId="0" applyFont="1" applyBorder="1" applyProtection="1">
      <protection locked="0"/>
    </xf>
    <xf numFmtId="0" fontId="41" fillId="6" borderId="9" xfId="0" applyFont="1" applyFill="1" applyBorder="1" applyAlignment="1" applyProtection="1">
      <alignment horizontal="left" vertical="center" wrapText="1"/>
      <protection hidden="1"/>
    </xf>
    <xf numFmtId="0" fontId="41" fillId="5" borderId="9" xfId="0" applyFont="1" applyFill="1" applyBorder="1" applyAlignment="1" applyProtection="1">
      <alignment horizontal="center" vertical="center" wrapText="1"/>
      <protection hidden="1"/>
    </xf>
    <xf numFmtId="0" fontId="41" fillId="5" borderId="12" xfId="0" applyFont="1" applyFill="1" applyBorder="1" applyAlignment="1" applyProtection="1">
      <alignment horizontal="center" vertical="center" wrapText="1"/>
      <protection hidden="1"/>
    </xf>
    <xf numFmtId="0" fontId="40" fillId="0" borderId="0" xfId="0" applyFont="1" applyAlignment="1" applyProtection="1">
      <alignment vertical="top" wrapText="1"/>
      <protection hidden="1"/>
    </xf>
    <xf numFmtId="0" fontId="40" fillId="0" borderId="0" xfId="0" applyFont="1" applyAlignment="1" applyProtection="1">
      <alignment vertical="center" wrapText="1"/>
      <protection hidden="1"/>
    </xf>
    <xf numFmtId="0" fontId="40" fillId="0" borderId="0" xfId="0" applyFont="1" applyAlignment="1" applyProtection="1">
      <alignment horizontal="left" vertical="center" wrapText="1"/>
      <protection hidden="1"/>
    </xf>
    <xf numFmtId="0" fontId="40" fillId="0" borderId="0" xfId="19" applyFont="1" applyProtection="1">
      <alignment vertical="center" wrapText="1"/>
      <protection hidden="1"/>
    </xf>
    <xf numFmtId="0" fontId="40" fillId="0" borderId="0" xfId="19" applyFont="1" applyProtection="1">
      <alignment vertical="center" wrapText="1"/>
      <protection locked="0"/>
    </xf>
    <xf numFmtId="0" fontId="40" fillId="0" borderId="0" xfId="19" applyFont="1" applyAlignment="1" applyProtection="1">
      <alignment vertical="center" wrapText="1"/>
      <protection hidden="1"/>
    </xf>
    <xf numFmtId="0" fontId="61" fillId="0" borderId="4" xfId="19" applyFont="1" applyBorder="1" applyAlignment="1" applyProtection="1">
      <alignment horizontal="left" vertical="center" wrapText="1"/>
      <protection locked="0"/>
    </xf>
    <xf numFmtId="0" fontId="40" fillId="0" borderId="0" xfId="19" applyFont="1" applyBorder="1" applyProtection="1">
      <alignment vertical="center" wrapText="1"/>
      <protection locked="0"/>
    </xf>
    <xf numFmtId="0" fontId="40" fillId="0" borderId="0" xfId="19" applyFont="1" applyBorder="1" applyAlignment="1" applyProtection="1">
      <alignment horizontal="left" vertical="top" wrapText="1"/>
      <protection locked="0"/>
    </xf>
    <xf numFmtId="0" fontId="40" fillId="0" borderId="0" xfId="19" applyFont="1" applyFill="1" applyBorder="1" applyAlignment="1" applyProtection="1">
      <alignment horizontal="left" vertical="top" wrapText="1"/>
      <protection locked="0"/>
    </xf>
    <xf numFmtId="0" fontId="40" fillId="0" borderId="10" xfId="19" applyFont="1" applyBorder="1" applyAlignment="1" applyProtection="1">
      <alignment horizontal="left" vertical="top" wrapText="1"/>
      <protection locked="0"/>
    </xf>
    <xf numFmtId="0" fontId="40" fillId="0" borderId="10" xfId="19" applyFont="1" applyFill="1" applyBorder="1" applyAlignment="1" applyProtection="1">
      <alignment horizontal="left" vertical="top" wrapText="1"/>
      <protection locked="0"/>
    </xf>
    <xf numFmtId="0" fontId="41" fillId="0" borderId="0" xfId="19" applyFont="1" applyAlignment="1" applyProtection="1">
      <alignment vertical="center" wrapText="1"/>
      <protection hidden="1"/>
    </xf>
    <xf numFmtId="0" fontId="41" fillId="0" borderId="0" xfId="19" applyFont="1" applyProtection="1">
      <alignment vertical="center" wrapText="1"/>
      <protection locked="0"/>
    </xf>
    <xf numFmtId="0" fontId="40" fillId="0" borderId="8" xfId="19" applyFont="1" applyBorder="1" applyProtection="1">
      <alignment vertical="center" wrapText="1"/>
      <protection hidden="1"/>
    </xf>
    <xf numFmtId="2" fontId="40" fillId="0" borderId="8" xfId="19" applyNumberFormat="1" applyFont="1" applyBorder="1" applyProtection="1">
      <alignment vertical="center" wrapText="1"/>
      <protection hidden="1"/>
    </xf>
    <xf numFmtId="2" fontId="42" fillId="0" borderId="0" xfId="0" applyNumberFormat="1" applyFont="1" applyBorder="1" applyAlignment="1" applyProtection="1">
      <alignment horizontal="center"/>
      <protection locked="0"/>
    </xf>
    <xf numFmtId="0" fontId="40" fillId="0" borderId="3" xfId="19" applyFont="1" applyBorder="1" applyProtection="1">
      <alignment vertical="center" wrapText="1"/>
      <protection locked="0"/>
    </xf>
    <xf numFmtId="0" fontId="40" fillId="0" borderId="7" xfId="19" applyFont="1" applyBorder="1" applyProtection="1">
      <alignment vertical="center" wrapText="1"/>
      <protection locked="0"/>
    </xf>
    <xf numFmtId="0" fontId="40" fillId="0" borderId="22" xfId="19" applyFont="1" applyBorder="1" applyProtection="1">
      <alignment vertical="center" wrapText="1"/>
      <protection locked="0"/>
    </xf>
    <xf numFmtId="0" fontId="40" fillId="0" borderId="16" xfId="19" applyFont="1" applyBorder="1" applyProtection="1">
      <alignment vertical="center" wrapText="1"/>
      <protection locked="0"/>
    </xf>
    <xf numFmtId="0" fontId="40" fillId="0" borderId="4" xfId="19" applyFont="1" applyBorder="1" applyProtection="1">
      <alignment vertical="center" wrapText="1"/>
      <protection locked="0"/>
    </xf>
    <xf numFmtId="0" fontId="40" fillId="0" borderId="5" xfId="19" applyFont="1" applyBorder="1" applyProtection="1">
      <alignment vertical="center" wrapText="1"/>
      <protection locked="0"/>
    </xf>
    <xf numFmtId="0" fontId="40" fillId="0" borderId="6" xfId="19" applyFont="1" applyBorder="1" applyProtection="1">
      <alignment vertical="center" wrapText="1"/>
      <protection locked="0"/>
    </xf>
    <xf numFmtId="0" fontId="40" fillId="0" borderId="10" xfId="19" applyFont="1" applyBorder="1" applyProtection="1">
      <alignment vertical="center" wrapText="1"/>
      <protection locked="0"/>
    </xf>
    <xf numFmtId="0" fontId="40" fillId="0" borderId="11" xfId="19" applyFont="1" applyBorder="1" applyProtection="1">
      <alignment vertical="center" wrapText="1"/>
      <protection locked="0"/>
    </xf>
    <xf numFmtId="2" fontId="66" fillId="0" borderId="0" xfId="19" applyNumberFormat="1" applyFont="1" applyBorder="1" applyAlignment="1" applyProtection="1">
      <alignment horizontal="center" vertical="center" wrapText="1"/>
      <protection locked="0"/>
    </xf>
    <xf numFmtId="0" fontId="41" fillId="0" borderId="0" xfId="19" applyFont="1" applyBorder="1" applyProtection="1">
      <alignment vertical="center" wrapText="1"/>
      <protection locked="0"/>
    </xf>
    <xf numFmtId="0" fontId="41" fillId="0" borderId="13" xfId="0" applyFont="1" applyBorder="1" applyAlignment="1" applyProtection="1">
      <alignment vertical="center"/>
      <protection hidden="1"/>
    </xf>
    <xf numFmtId="0" fontId="41" fillId="0" borderId="3" xfId="0" applyFont="1" applyBorder="1" applyAlignment="1" applyProtection="1">
      <alignment vertical="center"/>
      <protection hidden="1"/>
    </xf>
    <xf numFmtId="0" fontId="41" fillId="0" borderId="7" xfId="0" applyFont="1" applyBorder="1" applyAlignment="1" applyProtection="1">
      <alignment vertical="center"/>
      <protection hidden="1"/>
    </xf>
    <xf numFmtId="9" fontId="41" fillId="0" borderId="7" xfId="0" applyNumberFormat="1" applyFont="1" applyBorder="1" applyAlignment="1" applyProtection="1">
      <alignment horizontal="center" vertical="center" wrapText="1"/>
      <protection hidden="1"/>
    </xf>
    <xf numFmtId="0" fontId="41" fillId="0" borderId="14" xfId="0" applyFont="1" applyBorder="1" applyAlignment="1" applyProtection="1">
      <alignment vertical="center"/>
      <protection hidden="1"/>
    </xf>
    <xf numFmtId="0" fontId="41" fillId="0" borderId="4" xfId="0" applyFont="1" applyBorder="1" applyAlignment="1" applyProtection="1">
      <alignment vertical="center"/>
      <protection hidden="1"/>
    </xf>
    <xf numFmtId="165" fontId="61" fillId="0" borderId="0" xfId="0" applyNumberFormat="1" applyFont="1" applyBorder="1" applyAlignment="1" applyProtection="1">
      <alignment vertical="center" wrapText="1"/>
      <protection hidden="1"/>
    </xf>
    <xf numFmtId="0" fontId="61" fillId="0" borderId="5" xfId="0" applyFont="1" applyBorder="1" applyAlignment="1" applyProtection="1">
      <alignment vertical="center" wrapText="1"/>
      <protection hidden="1"/>
    </xf>
    <xf numFmtId="165" fontId="61" fillId="0" borderId="10" xfId="0" applyNumberFormat="1" applyFont="1" applyBorder="1" applyAlignment="1" applyProtection="1">
      <alignment horizontal="center" vertical="center" wrapText="1"/>
      <protection hidden="1"/>
    </xf>
    <xf numFmtId="0" fontId="61" fillId="0" borderId="11" xfId="0" applyFont="1" applyBorder="1" applyAlignment="1" applyProtection="1">
      <alignment horizontal="center" vertical="center" wrapText="1"/>
      <protection hidden="1"/>
    </xf>
    <xf numFmtId="0" fontId="41" fillId="5" borderId="8" xfId="0" applyFont="1" applyFill="1" applyBorder="1" applyAlignment="1" applyProtection="1">
      <alignment vertical="center" wrapText="1"/>
      <protection hidden="1"/>
    </xf>
    <xf numFmtId="0" fontId="41" fillId="5" borderId="9" xfId="0" applyFont="1" applyFill="1" applyBorder="1" applyAlignment="1" applyProtection="1">
      <alignment vertical="center" wrapText="1"/>
      <protection hidden="1"/>
    </xf>
    <xf numFmtId="0" fontId="62" fillId="5" borderId="8" xfId="0" applyFont="1" applyFill="1" applyBorder="1" applyAlignment="1" applyProtection="1">
      <alignment vertical="center" wrapText="1"/>
      <protection hidden="1"/>
    </xf>
    <xf numFmtId="0" fontId="40" fillId="0" borderId="0" xfId="0" applyFont="1" applyBorder="1" applyAlignment="1" applyProtection="1">
      <alignment horizontal="center"/>
      <protection locked="0"/>
    </xf>
    <xf numFmtId="0" fontId="40" fillId="0" borderId="6" xfId="0" applyFont="1" applyBorder="1" applyAlignment="1" applyProtection="1">
      <alignment vertical="top" wrapText="1"/>
      <protection locked="0"/>
    </xf>
    <xf numFmtId="0" fontId="40" fillId="0" borderId="10" xfId="0" applyFont="1" applyBorder="1" applyAlignment="1" applyProtection="1">
      <alignment vertical="top" wrapText="1"/>
      <protection locked="0"/>
    </xf>
    <xf numFmtId="0" fontId="40" fillId="0" borderId="11" xfId="0" applyFont="1" applyBorder="1" applyAlignment="1" applyProtection="1">
      <alignment vertical="top" wrapText="1"/>
      <protection locked="0"/>
    </xf>
    <xf numFmtId="0" fontId="40" fillId="0" borderId="3" xfId="0" applyFont="1" applyBorder="1" applyProtection="1">
      <protection locked="0"/>
    </xf>
    <xf numFmtId="0" fontId="41" fillId="0" borderId="7" xfId="0" applyFont="1" applyBorder="1" applyAlignment="1" applyProtection="1">
      <alignment horizontal="left" vertical="top" wrapText="1"/>
      <protection locked="0"/>
    </xf>
    <xf numFmtId="0" fontId="41" fillId="0" borderId="16" xfId="0" applyFont="1" applyBorder="1" applyAlignment="1" applyProtection="1">
      <alignment horizontal="left" vertical="top" wrapText="1"/>
      <protection locked="0"/>
    </xf>
    <xf numFmtId="0" fontId="41" fillId="0" borderId="3" xfId="0" applyFont="1" applyBorder="1" applyAlignment="1" applyProtection="1">
      <alignment horizontal="left" vertical="top" wrapText="1"/>
      <protection locked="0"/>
    </xf>
    <xf numFmtId="0" fontId="40" fillId="0" borderId="4" xfId="0" applyFont="1" applyBorder="1" applyProtection="1">
      <protection locked="0"/>
    </xf>
    <xf numFmtId="0" fontId="41" fillId="0" borderId="0" xfId="0" applyFont="1" applyBorder="1" applyProtection="1">
      <protection locked="0"/>
    </xf>
    <xf numFmtId="0" fontId="41" fillId="0" borderId="5" xfId="0" applyFont="1" applyBorder="1" applyAlignment="1" applyProtection="1">
      <alignment horizontal="left" vertical="top" wrapText="1"/>
      <protection locked="0"/>
    </xf>
    <xf numFmtId="0" fontId="41" fillId="0" borderId="4" xfId="0" applyFont="1" applyBorder="1" applyAlignment="1" applyProtection="1">
      <alignment horizontal="left" vertical="top" wrapText="1"/>
      <protection locked="0"/>
    </xf>
    <xf numFmtId="0" fontId="40" fillId="0" borderId="6" xfId="0" applyFont="1" applyBorder="1" applyProtection="1">
      <protection locked="0"/>
    </xf>
    <xf numFmtId="0" fontId="41" fillId="0" borderId="10" xfId="0" applyFont="1" applyBorder="1" applyProtection="1">
      <protection locked="0"/>
    </xf>
    <xf numFmtId="0" fontId="41" fillId="0" borderId="11" xfId="0" applyFont="1" applyBorder="1" applyProtection="1">
      <protection locked="0"/>
    </xf>
    <xf numFmtId="0" fontId="41" fillId="0" borderId="10" xfId="0" applyFont="1" applyBorder="1" applyAlignment="1" applyProtection="1">
      <protection locked="0"/>
    </xf>
    <xf numFmtId="0" fontId="39" fillId="9" borderId="0" xfId="0" applyFont="1" applyFill="1" applyAlignment="1" applyProtection="1">
      <alignment horizontal="left" vertical="center"/>
      <protection locked="0"/>
    </xf>
    <xf numFmtId="181" fontId="39" fillId="9" borderId="0" xfId="0" applyNumberFormat="1" applyFont="1" applyFill="1" applyAlignment="1" applyProtection="1">
      <alignment horizontal="left" vertical="center"/>
      <protection locked="0"/>
    </xf>
    <xf numFmtId="182" fontId="39" fillId="9" borderId="8" xfId="0" applyNumberFormat="1" applyFont="1" applyFill="1" applyBorder="1" applyAlignment="1" applyProtection="1">
      <alignment horizontal="left" vertical="center"/>
      <protection locked="0"/>
    </xf>
    <xf numFmtId="183" fontId="39" fillId="9" borderId="8" xfId="0" applyNumberFormat="1" applyFont="1" applyFill="1" applyBorder="1" applyAlignment="1" applyProtection="1">
      <alignment horizontal="left" vertical="center"/>
      <protection locked="0"/>
    </xf>
    <xf numFmtId="0" fontId="69" fillId="5" borderId="0" xfId="0" applyFont="1" applyFill="1" applyBorder="1" applyAlignment="1" applyProtection="1">
      <alignment horizontal="right" vertical="center"/>
    </xf>
    <xf numFmtId="0" fontId="41" fillId="5" borderId="0" xfId="0" applyFont="1" applyFill="1" applyAlignment="1" applyProtection="1">
      <alignment horizontal="center" vertical="center"/>
    </xf>
    <xf numFmtId="0" fontId="40" fillId="0" borderId="0" xfId="0" applyFont="1" applyAlignment="1" applyProtection="1">
      <alignment vertical="center"/>
    </xf>
    <xf numFmtId="0" fontId="40" fillId="0" borderId="0" xfId="0" applyFont="1" applyAlignment="1" applyProtection="1">
      <alignment vertical="center" wrapText="1"/>
    </xf>
    <xf numFmtId="0" fontId="40" fillId="5" borderId="0" xfId="0" applyFont="1" applyFill="1" applyAlignment="1" applyProtection="1">
      <alignment horizontal="right" vertical="center" wrapText="1"/>
    </xf>
    <xf numFmtId="167" fontId="41" fillId="3" borderId="20" xfId="0" applyNumberFormat="1" applyFont="1" applyFill="1" applyBorder="1" applyAlignment="1" applyProtection="1">
      <alignment horizontal="center" vertical="center"/>
    </xf>
    <xf numFmtId="167" fontId="41" fillId="3" borderId="20" xfId="0" quotePrefix="1" applyNumberFormat="1" applyFont="1" applyFill="1" applyBorder="1" applyAlignment="1" applyProtection="1">
      <alignment horizontal="center" vertical="center"/>
    </xf>
    <xf numFmtId="0" fontId="41" fillId="3" borderId="20" xfId="0" applyFont="1" applyFill="1" applyBorder="1" applyAlignment="1" applyProtection="1">
      <alignment horizontal="center" vertical="center" wrapText="1"/>
    </xf>
    <xf numFmtId="0" fontId="41" fillId="3" borderId="19" xfId="0" applyFont="1" applyFill="1" applyBorder="1" applyAlignment="1" applyProtection="1">
      <alignment horizontal="center" vertical="center" wrapText="1"/>
    </xf>
    <xf numFmtId="0" fontId="68" fillId="5" borderId="0" xfId="0" applyFont="1" applyFill="1" applyBorder="1" applyAlignment="1" applyProtection="1">
      <alignment horizontal="center" vertical="center" wrapText="1"/>
    </xf>
    <xf numFmtId="0" fontId="41" fillId="3" borderId="18" xfId="0" applyFont="1" applyFill="1" applyBorder="1" applyAlignment="1" applyProtection="1">
      <alignment horizontal="center" vertical="center" wrapText="1"/>
    </xf>
    <xf numFmtId="49" fontId="41" fillId="3" borderId="18" xfId="0" applyNumberFormat="1" applyFont="1" applyFill="1" applyBorder="1" applyAlignment="1" applyProtection="1">
      <alignment horizontal="center" vertical="center"/>
    </xf>
    <xf numFmtId="49" fontId="41" fillId="3" borderId="18" xfId="0" quotePrefix="1" applyNumberFormat="1" applyFont="1" applyFill="1" applyBorder="1" applyAlignment="1" applyProtection="1">
      <alignment horizontal="center" vertical="center"/>
    </xf>
    <xf numFmtId="0" fontId="41" fillId="3" borderId="17" xfId="0" applyFont="1" applyFill="1" applyBorder="1" applyAlignment="1" applyProtection="1">
      <alignment horizontal="center" vertical="center" wrapText="1"/>
    </xf>
    <xf numFmtId="0" fontId="41" fillId="3" borderId="41" xfId="0" applyFont="1" applyFill="1" applyBorder="1" applyAlignment="1" applyProtection="1">
      <alignment horizontal="center" vertical="center" wrapText="1"/>
    </xf>
    <xf numFmtId="0" fontId="40" fillId="11" borderId="42" xfId="0" applyFont="1" applyFill="1" applyBorder="1" applyAlignment="1" applyProtection="1">
      <alignment horizontal="left" vertical="center"/>
    </xf>
    <xf numFmtId="0" fontId="40" fillId="11" borderId="43" xfId="0" applyFont="1" applyFill="1" applyBorder="1" applyAlignment="1" applyProtection="1">
      <alignment horizontal="left" vertical="center"/>
    </xf>
    <xf numFmtId="0" fontId="41" fillId="0" borderId="42" xfId="0" applyFont="1" applyBorder="1" applyAlignment="1" applyProtection="1">
      <alignment horizontal="left" vertical="center"/>
    </xf>
    <xf numFmtId="0" fontId="41" fillId="0" borderId="10" xfId="0" applyFont="1" applyBorder="1" applyAlignment="1" applyProtection="1">
      <alignment horizontal="left" vertical="center"/>
    </xf>
    <xf numFmtId="0" fontId="41" fillId="0" borderId="43" xfId="0" applyFont="1" applyBorder="1" applyAlignment="1" applyProtection="1">
      <alignment horizontal="left" vertical="center"/>
    </xf>
    <xf numFmtId="0" fontId="41" fillId="12" borderId="42" xfId="0" applyFont="1" applyFill="1" applyBorder="1" applyAlignment="1" applyProtection="1">
      <alignment vertical="center" wrapText="1"/>
    </xf>
    <xf numFmtId="0" fontId="40" fillId="0" borderId="18" xfId="0" applyFont="1" applyBorder="1" applyAlignment="1" applyProtection="1">
      <alignment vertical="center"/>
    </xf>
    <xf numFmtId="0" fontId="40" fillId="0" borderId="18" xfId="0" applyFont="1" applyBorder="1" applyAlignment="1" applyProtection="1">
      <alignment horizontal="right" vertical="center" wrapText="1"/>
    </xf>
    <xf numFmtId="0" fontId="40" fillId="5" borderId="0" xfId="0" applyFont="1" applyFill="1" applyBorder="1" applyAlignment="1" applyProtection="1">
      <alignment horizontal="right" vertical="center" wrapText="1"/>
    </xf>
    <xf numFmtId="0" fontId="40" fillId="0" borderId="21" xfId="0" applyFont="1" applyBorder="1" applyAlignment="1" applyProtection="1">
      <alignment vertical="center" wrapText="1"/>
    </xf>
    <xf numFmtId="41" fontId="40" fillId="0" borderId="19" xfId="0" applyNumberFormat="1" applyFont="1" applyBorder="1" applyAlignment="1" applyProtection="1">
      <alignment vertical="center"/>
      <protection locked="0"/>
    </xf>
    <xf numFmtId="10" fontId="40" fillId="0" borderId="19" xfId="0" applyNumberFormat="1" applyFont="1" applyBorder="1" applyAlignment="1" applyProtection="1">
      <alignment horizontal="right" vertical="center" wrapText="1"/>
    </xf>
    <xf numFmtId="10" fontId="40" fillId="5" borderId="0" xfId="0" applyNumberFormat="1" applyFont="1" applyFill="1" applyBorder="1" applyAlignment="1" applyProtection="1">
      <alignment horizontal="right" vertical="center" wrapText="1"/>
    </xf>
    <xf numFmtId="184" fontId="41" fillId="0" borderId="22" xfId="0" applyNumberFormat="1" applyFont="1" applyBorder="1" applyAlignment="1" applyProtection="1">
      <alignment vertical="center"/>
    </xf>
    <xf numFmtId="184" fontId="41" fillId="0" borderId="44" xfId="0" applyNumberFormat="1" applyFont="1" applyBorder="1" applyAlignment="1" applyProtection="1">
      <alignment vertical="center"/>
    </xf>
    <xf numFmtId="0" fontId="41" fillId="0" borderId="22" xfId="0" applyFont="1" applyBorder="1" applyAlignment="1" applyProtection="1">
      <alignment vertical="center"/>
    </xf>
    <xf numFmtId="0" fontId="41" fillId="0" borderId="44" xfId="0" applyFont="1" applyBorder="1" applyAlignment="1" applyProtection="1">
      <alignment vertical="center"/>
    </xf>
    <xf numFmtId="41" fontId="40" fillId="13" borderId="19" xfId="0" applyNumberFormat="1" applyFont="1" applyFill="1" applyBorder="1" applyAlignment="1" applyProtection="1">
      <alignment vertical="center"/>
    </xf>
    <xf numFmtId="10" fontId="40" fillId="13" borderId="19" xfId="0" applyNumberFormat="1" applyFont="1" applyFill="1" applyBorder="1" applyAlignment="1" applyProtection="1">
      <alignment horizontal="right" vertical="center" wrapText="1"/>
    </xf>
    <xf numFmtId="0" fontId="40" fillId="5" borderId="21" xfId="0" applyFont="1" applyFill="1" applyBorder="1" applyAlignment="1" applyProtection="1">
      <alignment vertical="center" wrapText="1"/>
    </xf>
    <xf numFmtId="0" fontId="40" fillId="5" borderId="18" xfId="0" applyFont="1" applyFill="1" applyBorder="1" applyAlignment="1" applyProtection="1">
      <alignment vertical="center"/>
    </xf>
    <xf numFmtId="0" fontId="40" fillId="0" borderId="19" xfId="0" applyFont="1" applyBorder="1" applyAlignment="1" applyProtection="1">
      <alignment horizontal="center" vertical="center"/>
    </xf>
    <xf numFmtId="0" fontId="40" fillId="0" borderId="19" xfId="0" applyFont="1" applyBorder="1" applyAlignment="1" applyProtection="1">
      <alignment vertical="center" wrapText="1"/>
    </xf>
    <xf numFmtId="10" fontId="40" fillId="5" borderId="19" xfId="0" applyNumberFormat="1" applyFont="1" applyFill="1" applyBorder="1" applyAlignment="1" applyProtection="1">
      <alignment horizontal="center" vertical="center"/>
    </xf>
    <xf numFmtId="10" fontId="40" fillId="0" borderId="19" xfId="0" applyNumberFormat="1" applyFont="1" applyBorder="1" applyAlignment="1" applyProtection="1">
      <alignment horizontal="center" vertical="center"/>
    </xf>
    <xf numFmtId="0" fontId="41" fillId="0" borderId="21" xfId="0" applyFont="1" applyBorder="1" applyAlignment="1" applyProtection="1">
      <alignment vertical="center" wrapText="1"/>
    </xf>
    <xf numFmtId="41" fontId="41" fillId="13" borderId="19" xfId="0" applyNumberFormat="1" applyFont="1" applyFill="1" applyBorder="1" applyAlignment="1" applyProtection="1">
      <alignment vertical="center"/>
    </xf>
    <xf numFmtId="0" fontId="41" fillId="12" borderId="21" xfId="0" applyFont="1" applyFill="1" applyBorder="1" applyAlignment="1" applyProtection="1">
      <alignment vertical="center" wrapText="1"/>
    </xf>
    <xf numFmtId="41" fontId="41" fillId="0" borderId="19" xfId="0" applyNumberFormat="1" applyFont="1" applyBorder="1" applyAlignment="1" applyProtection="1">
      <alignment vertical="center"/>
      <protection locked="0"/>
    </xf>
    <xf numFmtId="41" fontId="40" fillId="0" borderId="19" xfId="0" applyNumberFormat="1" applyFont="1" applyBorder="1" applyAlignment="1" applyProtection="1">
      <alignment vertical="center"/>
    </xf>
    <xf numFmtId="0" fontId="41" fillId="10" borderId="21" xfId="0" applyFont="1" applyFill="1" applyBorder="1" applyAlignment="1" applyProtection="1">
      <alignment vertical="center" wrapText="1"/>
    </xf>
    <xf numFmtId="41" fontId="41" fillId="10" borderId="19" xfId="0" applyNumberFormat="1" applyFont="1" applyFill="1" applyBorder="1" applyAlignment="1" applyProtection="1">
      <alignment vertical="center"/>
    </xf>
    <xf numFmtId="10" fontId="40" fillId="10" borderId="19" xfId="0" applyNumberFormat="1" applyFont="1" applyFill="1" applyBorder="1" applyAlignment="1" applyProtection="1">
      <alignment horizontal="right" vertical="center" wrapText="1"/>
    </xf>
    <xf numFmtId="0" fontId="40" fillId="0" borderId="20" xfId="0" applyFont="1" applyBorder="1" applyAlignment="1" applyProtection="1">
      <alignment horizontal="center" vertical="center"/>
    </xf>
    <xf numFmtId="0" fontId="40" fillId="0" borderId="20" xfId="0" applyFont="1" applyBorder="1" applyAlignment="1" applyProtection="1">
      <alignment vertical="center" wrapText="1"/>
    </xf>
    <xf numFmtId="10" fontId="40" fillId="5" borderId="20" xfId="0" applyNumberFormat="1" applyFont="1" applyFill="1" applyBorder="1" applyAlignment="1" applyProtection="1">
      <alignment horizontal="center" vertical="center"/>
    </xf>
    <xf numFmtId="10" fontId="40" fillId="0" borderId="20" xfId="0" applyNumberFormat="1" applyFont="1" applyBorder="1" applyAlignment="1" applyProtection="1">
      <alignment horizontal="center" vertical="center"/>
    </xf>
    <xf numFmtId="0" fontId="40" fillId="0" borderId="45" xfId="0" applyFont="1" applyBorder="1" applyAlignment="1" applyProtection="1">
      <alignment vertical="center"/>
    </xf>
    <xf numFmtId="0" fontId="40" fillId="0" borderId="45" xfId="0" applyFont="1" applyBorder="1" applyAlignment="1" applyProtection="1">
      <alignment vertical="center" wrapText="1"/>
    </xf>
    <xf numFmtId="0" fontId="40" fillId="5" borderId="45" xfId="0" applyFont="1" applyFill="1" applyBorder="1" applyAlignment="1" applyProtection="1">
      <alignment horizontal="center" vertical="center"/>
    </xf>
    <xf numFmtId="10" fontId="40" fillId="0" borderId="45" xfId="0" applyNumberFormat="1" applyFont="1" applyBorder="1" applyAlignment="1" applyProtection="1">
      <alignment horizontal="center" vertical="center"/>
    </xf>
    <xf numFmtId="0" fontId="40" fillId="5" borderId="17" xfId="0" applyFont="1" applyFill="1" applyBorder="1" applyAlignment="1" applyProtection="1">
      <alignment horizontal="center" vertical="center"/>
    </xf>
    <xf numFmtId="10" fontId="40" fillId="0" borderId="17" xfId="0" applyNumberFormat="1" applyFont="1" applyBorder="1" applyAlignment="1" applyProtection="1">
      <alignment horizontal="center" vertical="center"/>
    </xf>
    <xf numFmtId="0" fontId="40" fillId="0" borderId="19" xfId="0" applyFont="1" applyBorder="1" applyAlignment="1" applyProtection="1">
      <alignment vertical="center"/>
    </xf>
    <xf numFmtId="0" fontId="40" fillId="0" borderId="22" xfId="0" applyFont="1" applyBorder="1" applyAlignment="1" applyProtection="1">
      <alignment vertical="center" wrapText="1"/>
    </xf>
    <xf numFmtId="0" fontId="40" fillId="0" borderId="46" xfId="0" applyFont="1" applyBorder="1" applyAlignment="1" applyProtection="1">
      <alignment vertical="center"/>
    </xf>
    <xf numFmtId="0" fontId="40" fillId="0" borderId="7" xfId="0" applyFont="1" applyBorder="1" applyAlignment="1" applyProtection="1">
      <alignment vertical="center" wrapText="1"/>
    </xf>
    <xf numFmtId="10" fontId="40" fillId="5" borderId="47" xfId="0" applyNumberFormat="1" applyFont="1" applyFill="1" applyBorder="1" applyAlignment="1" applyProtection="1">
      <alignment horizontal="center" vertical="center"/>
    </xf>
    <xf numFmtId="0" fontId="40" fillId="0" borderId="10" xfId="0" applyFont="1" applyBorder="1" applyAlignment="1" applyProtection="1">
      <alignment vertical="center" wrapText="1"/>
    </xf>
    <xf numFmtId="10" fontId="40" fillId="0" borderId="21" xfId="0" applyNumberFormat="1" applyFont="1" applyBorder="1" applyAlignment="1" applyProtection="1">
      <alignment vertical="center"/>
    </xf>
    <xf numFmtId="10" fontId="40" fillId="0" borderId="44" xfId="0" applyNumberFormat="1" applyFont="1" applyBorder="1" applyAlignment="1" applyProtection="1">
      <alignment vertical="center"/>
    </xf>
    <xf numFmtId="0" fontId="40" fillId="0" borderId="20" xfId="0" applyFont="1" applyBorder="1" applyAlignment="1" applyProtection="1">
      <alignment vertical="center"/>
    </xf>
    <xf numFmtId="0" fontId="40" fillId="0" borderId="48" xfId="0" applyFont="1" applyBorder="1" applyAlignment="1" applyProtection="1">
      <alignment vertical="center" wrapText="1"/>
    </xf>
    <xf numFmtId="0" fontId="40" fillId="0" borderId="0" xfId="0" applyFont="1" applyBorder="1" applyAlignment="1" applyProtection="1">
      <alignment vertical="center"/>
    </xf>
    <xf numFmtId="0" fontId="40" fillId="0" borderId="0" xfId="0" applyFont="1" applyBorder="1" applyAlignment="1" applyProtection="1">
      <alignment vertical="center" wrapText="1"/>
    </xf>
    <xf numFmtId="10" fontId="40" fillId="5" borderId="0" xfId="0" applyNumberFormat="1" applyFont="1" applyFill="1" applyBorder="1" applyAlignment="1" applyProtection="1">
      <alignment horizontal="right" vertical="center"/>
    </xf>
    <xf numFmtId="10" fontId="40" fillId="0" borderId="0" xfId="0" applyNumberFormat="1" applyFont="1" applyBorder="1" applyAlignment="1" applyProtection="1">
      <alignment horizontal="right" vertical="center"/>
    </xf>
    <xf numFmtId="0" fontId="41" fillId="5" borderId="21" xfId="0" applyFont="1" applyFill="1" applyBorder="1" applyAlignment="1" applyProtection="1">
      <alignment vertical="center" wrapText="1"/>
    </xf>
    <xf numFmtId="41" fontId="41" fillId="5" borderId="19" xfId="0" applyNumberFormat="1" applyFont="1" applyFill="1" applyBorder="1" applyAlignment="1" applyProtection="1">
      <alignment vertical="center"/>
    </xf>
    <xf numFmtId="10" fontId="40" fillId="5" borderId="19" xfId="0" applyNumberFormat="1" applyFont="1" applyFill="1" applyBorder="1" applyAlignment="1" applyProtection="1">
      <alignment horizontal="right" vertical="center" wrapText="1"/>
    </xf>
    <xf numFmtId="0" fontId="67" fillId="0" borderId="0" xfId="0" applyFont="1" applyBorder="1" applyAlignment="1" applyProtection="1">
      <alignment vertical="center" wrapText="1"/>
    </xf>
    <xf numFmtId="2" fontId="67" fillId="0" borderId="0" xfId="0" applyNumberFormat="1" applyFont="1" applyBorder="1" applyAlignment="1" applyProtection="1">
      <alignment horizontal="right" vertical="center"/>
    </xf>
    <xf numFmtId="0" fontId="48" fillId="0" borderId="4" xfId="0" applyFont="1" applyBorder="1" applyAlignment="1" applyProtection="1">
      <alignment vertical="center" wrapText="1"/>
    </xf>
    <xf numFmtId="10" fontId="48" fillId="0" borderId="5" xfId="0" applyNumberFormat="1" applyFont="1" applyBorder="1" applyAlignment="1" applyProtection="1">
      <alignment horizontal="right" vertical="center"/>
    </xf>
    <xf numFmtId="10" fontId="68" fillId="0" borderId="4" xfId="0" applyNumberFormat="1" applyFont="1" applyBorder="1" applyAlignment="1" applyProtection="1">
      <alignment horizontal="right" vertical="center"/>
    </xf>
    <xf numFmtId="10" fontId="68" fillId="0" borderId="0" xfId="0" applyNumberFormat="1" applyFont="1" applyBorder="1" applyAlignment="1" applyProtection="1">
      <alignment horizontal="right" vertical="center"/>
    </xf>
    <xf numFmtId="10" fontId="68" fillId="0" borderId="5" xfId="0" applyNumberFormat="1" applyFont="1" applyBorder="1" applyAlignment="1" applyProtection="1">
      <alignment horizontal="right" vertical="center"/>
    </xf>
    <xf numFmtId="0" fontId="40" fillId="5" borderId="0" xfId="0" applyFont="1" applyFill="1" applyBorder="1" applyAlignment="1" applyProtection="1">
      <alignment vertical="center"/>
    </xf>
    <xf numFmtId="0" fontId="48" fillId="5" borderId="4" xfId="0" applyFont="1" applyFill="1" applyBorder="1" applyAlignment="1" applyProtection="1">
      <alignment vertical="center"/>
    </xf>
    <xf numFmtId="10" fontId="48" fillId="5" borderId="5" xfId="0" applyNumberFormat="1" applyFont="1" applyFill="1" applyBorder="1" applyAlignment="1" applyProtection="1">
      <alignment horizontal="right" vertical="center"/>
    </xf>
    <xf numFmtId="10" fontId="68" fillId="5" borderId="4" xfId="0" applyNumberFormat="1" applyFont="1" applyFill="1" applyBorder="1" applyAlignment="1" applyProtection="1">
      <alignment horizontal="right" vertical="center"/>
    </xf>
    <xf numFmtId="10" fontId="68" fillId="5" borderId="0" xfId="0" applyNumberFormat="1" applyFont="1" applyFill="1" applyBorder="1" applyAlignment="1" applyProtection="1">
      <alignment horizontal="right" vertical="center"/>
    </xf>
    <xf numFmtId="10" fontId="68" fillId="5" borderId="5" xfId="0" applyNumberFormat="1" applyFont="1" applyFill="1" applyBorder="1" applyAlignment="1" applyProtection="1">
      <alignment horizontal="right" vertical="center"/>
    </xf>
    <xf numFmtId="0" fontId="48" fillId="5" borderId="5" xfId="0" applyFont="1" applyFill="1" applyBorder="1" applyAlignment="1" applyProtection="1">
      <alignment vertical="center"/>
    </xf>
    <xf numFmtId="0" fontId="48" fillId="5" borderId="0" xfId="0" applyFont="1" applyFill="1" applyBorder="1" applyAlignment="1" applyProtection="1">
      <alignment vertical="center"/>
    </xf>
    <xf numFmtId="0" fontId="41" fillId="5" borderId="4" xfId="0" applyFont="1" applyFill="1" applyBorder="1" applyAlignment="1" applyProtection="1">
      <alignment horizontal="center" vertical="center"/>
    </xf>
    <xf numFmtId="0" fontId="41" fillId="5" borderId="5" xfId="0" applyFont="1" applyFill="1" applyBorder="1" applyAlignment="1" applyProtection="1">
      <alignment horizontal="center" vertical="center"/>
    </xf>
    <xf numFmtId="17" fontId="41" fillId="5" borderId="0" xfId="0" quotePrefix="1" applyNumberFormat="1" applyFont="1" applyFill="1" applyBorder="1" applyAlignment="1" applyProtection="1">
      <alignment horizontal="center" vertical="center"/>
    </xf>
    <xf numFmtId="10" fontId="52" fillId="5" borderId="0" xfId="0" applyNumberFormat="1" applyFont="1" applyFill="1" applyBorder="1" applyAlignment="1" applyProtection="1">
      <alignment horizontal="right" vertical="center" wrapText="1"/>
    </xf>
    <xf numFmtId="0" fontId="48" fillId="5" borderId="0" xfId="0" applyFont="1" applyFill="1" applyBorder="1" applyAlignment="1" applyProtection="1">
      <alignment horizontal="right" vertical="center"/>
    </xf>
    <xf numFmtId="10" fontId="48" fillId="5" borderId="0" xfId="24" applyNumberFormat="1" applyFont="1" applyFill="1" applyBorder="1" applyAlignment="1" applyProtection="1">
      <alignment horizontal="center" vertical="center"/>
    </xf>
    <xf numFmtId="0" fontId="48" fillId="5" borderId="0" xfId="0" applyFont="1" applyFill="1" applyBorder="1" applyAlignment="1" applyProtection="1">
      <alignment horizontal="center" vertical="center"/>
    </xf>
    <xf numFmtId="10" fontId="41" fillId="5" borderId="0" xfId="0" applyNumberFormat="1" applyFont="1" applyFill="1" applyBorder="1" applyAlignment="1" applyProtection="1">
      <alignment horizontal="center" vertical="center"/>
    </xf>
    <xf numFmtId="41" fontId="51" fillId="0" borderId="19" xfId="0" applyNumberFormat="1" applyFont="1" applyBorder="1" applyAlignment="1" applyProtection="1">
      <alignment vertical="center"/>
    </xf>
    <xf numFmtId="10" fontId="52" fillId="0" borderId="19" xfId="0" applyNumberFormat="1" applyFont="1" applyBorder="1" applyAlignment="1" applyProtection="1">
      <alignment horizontal="right" vertical="center" wrapText="1"/>
    </xf>
    <xf numFmtId="180" fontId="48" fillId="5" borderId="0" xfId="1" quotePrefix="1" applyNumberFormat="1" applyFont="1" applyFill="1" applyBorder="1" applyAlignment="1" applyProtection="1">
      <alignment horizontal="center" vertical="center"/>
    </xf>
    <xf numFmtId="0" fontId="45" fillId="5" borderId="0" xfId="0" applyFont="1" applyFill="1" applyBorder="1" applyAlignment="1" applyProtection="1">
      <alignment vertical="center"/>
    </xf>
    <xf numFmtId="0" fontId="67" fillId="5" borderId="0" xfId="0" applyFont="1" applyFill="1" applyBorder="1" applyAlignment="1" applyProtection="1">
      <alignment horizontal="center" vertical="center"/>
    </xf>
    <xf numFmtId="41" fontId="48" fillId="10" borderId="19" xfId="0" applyNumberFormat="1" applyFont="1" applyFill="1" applyBorder="1" applyAlignment="1" applyProtection="1">
      <alignment vertical="center"/>
    </xf>
    <xf numFmtId="180" fontId="45" fillId="5" borderId="0" xfId="1" applyNumberFormat="1" applyFont="1" applyFill="1" applyBorder="1" applyAlignment="1" applyProtection="1">
      <alignment vertical="center"/>
    </xf>
    <xf numFmtId="10" fontId="68" fillId="5" borderId="0" xfId="0" applyNumberFormat="1" applyFont="1" applyFill="1" applyBorder="1" applyAlignment="1" applyProtection="1">
      <alignment vertical="center"/>
    </xf>
    <xf numFmtId="0" fontId="68" fillId="5" borderId="0" xfId="0" applyFont="1" applyFill="1" applyBorder="1" applyAlignment="1" applyProtection="1">
      <alignment vertical="center"/>
    </xf>
    <xf numFmtId="43" fontId="68" fillId="5" borderId="0" xfId="0" applyNumberFormat="1" applyFont="1" applyFill="1" applyBorder="1" applyAlignment="1" applyProtection="1">
      <alignment vertical="center"/>
    </xf>
    <xf numFmtId="180" fontId="48" fillId="5" borderId="0" xfId="1" applyNumberFormat="1" applyFont="1" applyFill="1" applyBorder="1" applyAlignment="1" applyProtection="1">
      <alignment vertical="center"/>
    </xf>
    <xf numFmtId="10" fontId="40" fillId="0" borderId="21" xfId="0" applyNumberFormat="1" applyFont="1" applyBorder="1" applyAlignment="1" applyProtection="1">
      <alignment horizontal="right" vertical="center" wrapText="1"/>
    </xf>
    <xf numFmtId="0" fontId="41" fillId="5" borderId="0" xfId="0" applyFont="1" applyFill="1" applyBorder="1" applyAlignment="1" applyProtection="1">
      <alignment vertical="center"/>
    </xf>
    <xf numFmtId="41" fontId="45" fillId="5" borderId="0" xfId="0" applyNumberFormat="1" applyFont="1" applyFill="1" applyBorder="1" applyAlignment="1" applyProtection="1">
      <alignment vertical="center"/>
    </xf>
    <xf numFmtId="0" fontId="41" fillId="5" borderId="0" xfId="0" applyFont="1" applyFill="1" applyBorder="1" applyAlignment="1" applyProtection="1">
      <alignment horizontal="center" vertical="center" wrapText="1"/>
    </xf>
    <xf numFmtId="0" fontId="41" fillId="5" borderId="0" xfId="0" applyFont="1" applyFill="1" applyBorder="1" applyAlignment="1" applyProtection="1">
      <alignment horizontal="center" vertical="center"/>
    </xf>
    <xf numFmtId="43" fontId="40" fillId="5" borderId="0" xfId="1" applyNumberFormat="1" applyFont="1" applyFill="1" applyBorder="1" applyAlignment="1" applyProtection="1">
      <alignment vertical="center" wrapText="1"/>
    </xf>
    <xf numFmtId="41" fontId="40" fillId="5" borderId="0" xfId="0" applyNumberFormat="1" applyFont="1" applyFill="1" applyBorder="1" applyAlignment="1" applyProtection="1">
      <alignment vertical="center"/>
    </xf>
    <xf numFmtId="41" fontId="40" fillId="5" borderId="0" xfId="0" applyNumberFormat="1" applyFont="1" applyFill="1" applyBorder="1" applyAlignment="1" applyProtection="1">
      <alignment horizontal="center" vertical="center"/>
    </xf>
    <xf numFmtId="0" fontId="40" fillId="5" borderId="0" xfId="0" applyFont="1" applyFill="1" applyBorder="1" applyAlignment="1" applyProtection="1">
      <alignment vertical="center" wrapText="1"/>
    </xf>
    <xf numFmtId="41" fontId="52" fillId="5" borderId="0" xfId="0" applyNumberFormat="1" applyFont="1" applyFill="1" applyBorder="1" applyAlignment="1" applyProtection="1">
      <alignment horizontal="center" vertical="center"/>
    </xf>
    <xf numFmtId="41" fontId="52" fillId="0" borderId="19" xfId="0" applyNumberFormat="1" applyFont="1" applyBorder="1" applyAlignment="1" applyProtection="1">
      <alignment horizontal="left" vertical="center" wrapText="1"/>
    </xf>
    <xf numFmtId="41" fontId="45" fillId="5" borderId="19" xfId="0" applyNumberFormat="1" applyFont="1" applyFill="1" applyBorder="1" applyAlignment="1" applyProtection="1">
      <alignment vertical="center"/>
    </xf>
    <xf numFmtId="0" fontId="40" fillId="5" borderId="0" xfId="0" applyFont="1" applyFill="1" applyBorder="1" applyAlignment="1" applyProtection="1">
      <alignment horizontal="center" vertical="center"/>
    </xf>
    <xf numFmtId="180" fontId="40" fillId="5" borderId="0" xfId="1" applyNumberFormat="1" applyFont="1" applyFill="1" applyBorder="1" applyAlignment="1" applyProtection="1">
      <alignment vertical="center"/>
    </xf>
    <xf numFmtId="180" fontId="40" fillId="5" borderId="0" xfId="0" applyNumberFormat="1" applyFont="1" applyFill="1" applyBorder="1" applyAlignment="1" applyProtection="1">
      <alignment vertical="center"/>
    </xf>
    <xf numFmtId="0" fontId="67" fillId="5" borderId="0" xfId="0" applyFont="1" applyFill="1" applyBorder="1" applyAlignment="1" applyProtection="1">
      <alignment horizontal="center" vertical="center" wrapText="1"/>
    </xf>
    <xf numFmtId="43" fontId="41" fillId="5" borderId="0" xfId="0" applyNumberFormat="1" applyFont="1" applyFill="1" applyBorder="1" applyAlignment="1" applyProtection="1">
      <alignment horizontal="center" vertical="center" wrapText="1"/>
    </xf>
    <xf numFmtId="43" fontId="41" fillId="5" borderId="0" xfId="0" applyNumberFormat="1" applyFont="1" applyFill="1" applyBorder="1" applyAlignment="1" applyProtection="1">
      <alignment vertical="center" wrapText="1"/>
    </xf>
    <xf numFmtId="43" fontId="40" fillId="5" borderId="0" xfId="0" applyNumberFormat="1" applyFont="1" applyFill="1" applyBorder="1" applyAlignment="1" applyProtection="1">
      <alignment vertical="center" wrapText="1"/>
    </xf>
    <xf numFmtId="180" fontId="41" fillId="5" borderId="0" xfId="1" applyNumberFormat="1" applyFont="1" applyFill="1" applyBorder="1" applyAlignment="1" applyProtection="1">
      <alignment vertical="center"/>
    </xf>
    <xf numFmtId="10" fontId="40" fillId="0" borderId="22" xfId="0" applyNumberFormat="1" applyFont="1" applyBorder="1" applyAlignment="1" applyProtection="1">
      <alignment horizontal="right" vertical="center" wrapText="1"/>
    </xf>
    <xf numFmtId="180" fontId="41" fillId="5" borderId="0" xfId="0" applyNumberFormat="1" applyFont="1" applyFill="1" applyBorder="1" applyAlignment="1" applyProtection="1">
      <alignment vertical="center"/>
    </xf>
    <xf numFmtId="9" fontId="40" fillId="5" borderId="0" xfId="0" applyNumberFormat="1" applyFont="1" applyFill="1" applyBorder="1" applyAlignment="1" applyProtection="1">
      <alignment vertical="center"/>
    </xf>
    <xf numFmtId="41" fontId="40" fillId="13" borderId="19" xfId="0" applyNumberFormat="1" applyFont="1" applyFill="1" applyBorder="1" applyAlignment="1" applyProtection="1">
      <alignment vertical="center"/>
      <protection locked="0"/>
    </xf>
    <xf numFmtId="43" fontId="40" fillId="5" borderId="0" xfId="0" applyNumberFormat="1" applyFont="1" applyFill="1" applyBorder="1" applyAlignment="1" applyProtection="1">
      <alignment vertical="center"/>
    </xf>
    <xf numFmtId="41" fontId="40" fillId="5" borderId="19" xfId="0" applyNumberFormat="1" applyFont="1" applyFill="1" applyBorder="1" applyAlignment="1" applyProtection="1">
      <alignment vertical="center"/>
      <protection locked="0"/>
    </xf>
    <xf numFmtId="0" fontId="70" fillId="5" borderId="0" xfId="0" applyFont="1" applyFill="1" applyBorder="1" applyAlignment="1" applyProtection="1">
      <alignment vertical="center" wrapText="1"/>
    </xf>
    <xf numFmtId="10" fontId="68" fillId="5" borderId="0" xfId="24" applyNumberFormat="1" applyFont="1" applyFill="1" applyBorder="1" applyAlignment="1" applyProtection="1">
      <alignment vertical="center"/>
    </xf>
    <xf numFmtId="43" fontId="68" fillId="5" borderId="0" xfId="1" applyNumberFormat="1" applyFont="1" applyFill="1" applyBorder="1" applyAlignment="1" applyProtection="1">
      <alignment vertical="center"/>
    </xf>
    <xf numFmtId="0" fontId="41" fillId="10" borderId="49" xfId="0" applyFont="1" applyFill="1" applyBorder="1" applyAlignment="1" applyProtection="1">
      <alignment vertical="center" wrapText="1"/>
    </xf>
    <xf numFmtId="41" fontId="41" fillId="10" borderId="20" xfId="0" applyNumberFormat="1" applyFont="1" applyFill="1" applyBorder="1" applyAlignment="1" applyProtection="1">
      <alignment vertical="center"/>
      <protection locked="0"/>
    </xf>
    <xf numFmtId="10" fontId="40" fillId="10" borderId="48" xfId="0" applyNumberFormat="1" applyFont="1" applyFill="1" applyBorder="1" applyAlignment="1" applyProtection="1">
      <alignment horizontal="right" vertical="center" wrapText="1"/>
    </xf>
    <xf numFmtId="10" fontId="40" fillId="10" borderId="20" xfId="0" applyNumberFormat="1" applyFont="1" applyFill="1" applyBorder="1" applyAlignment="1" applyProtection="1">
      <alignment horizontal="right" vertical="center" wrapText="1"/>
    </xf>
    <xf numFmtId="0" fontId="52" fillId="5" borderId="0" xfId="0" applyFont="1" applyFill="1" applyBorder="1" applyAlignment="1" applyProtection="1">
      <alignment horizontal="right" vertical="center" wrapText="1"/>
    </xf>
    <xf numFmtId="41" fontId="51" fillId="0" borderId="0" xfId="0" applyNumberFormat="1" applyFont="1" applyAlignment="1" applyProtection="1">
      <alignment vertical="center"/>
    </xf>
    <xf numFmtId="0" fontId="52" fillId="0" borderId="0" xfId="0" applyFont="1" applyBorder="1" applyAlignment="1" applyProtection="1">
      <alignment horizontal="right" vertical="center" wrapText="1"/>
    </xf>
    <xf numFmtId="41" fontId="41" fillId="5" borderId="0" xfId="2" applyNumberFormat="1" applyFont="1" applyFill="1" applyBorder="1" applyAlignment="1" applyProtection="1">
      <alignment vertical="center"/>
    </xf>
    <xf numFmtId="0" fontId="40" fillId="0" borderId="0" xfId="0" applyFont="1" applyAlignment="1" applyProtection="1">
      <alignment horizontal="right" vertical="center" wrapText="1"/>
    </xf>
    <xf numFmtId="0" fontId="40" fillId="5" borderId="0" xfId="0" applyFont="1" applyFill="1" applyAlignment="1" applyProtection="1">
      <alignment horizontal="left" vertical="center" wrapText="1"/>
    </xf>
    <xf numFmtId="0" fontId="40" fillId="0" borderId="0" xfId="0" applyFont="1" applyAlignment="1" applyProtection="1">
      <alignment horizontal="left" vertical="center" wrapText="1"/>
    </xf>
    <xf numFmtId="41" fontId="40" fillId="0" borderId="0" xfId="0" applyNumberFormat="1" applyFont="1" applyAlignment="1" applyProtection="1">
      <alignment vertical="center"/>
    </xf>
    <xf numFmtId="0" fontId="52" fillId="0" borderId="0" xfId="0" applyFont="1" applyAlignment="1" applyProtection="1">
      <alignment horizontal="right" vertical="center" wrapText="1"/>
    </xf>
    <xf numFmtId="0" fontId="41" fillId="0" borderId="0" xfId="20" applyFont="1" applyBorder="1"/>
    <xf numFmtId="0" fontId="41" fillId="0" borderId="0" xfId="0" applyFont="1" applyAlignment="1" applyProtection="1">
      <alignment horizontal="right" vertical="center" wrapText="1"/>
    </xf>
    <xf numFmtId="0" fontId="41" fillId="5" borderId="0" xfId="0" applyFont="1" applyFill="1" applyAlignment="1" applyProtection="1">
      <alignment horizontal="right" vertical="center" wrapText="1"/>
    </xf>
    <xf numFmtId="10" fontId="40" fillId="5" borderId="0" xfId="0" applyNumberFormat="1" applyFont="1" applyFill="1" applyBorder="1" applyAlignment="1" applyProtection="1">
      <alignment vertical="center"/>
    </xf>
    <xf numFmtId="10" fontId="40" fillId="4" borderId="19" xfId="0" applyNumberFormat="1" applyFont="1" applyFill="1" applyBorder="1" applyAlignment="1" applyProtection="1">
      <alignment horizontal="right" vertical="center" wrapText="1"/>
    </xf>
    <xf numFmtId="0" fontId="41" fillId="3" borderId="50" xfId="0" applyFont="1" applyFill="1" applyBorder="1" applyAlignment="1" applyProtection="1">
      <alignment horizontal="center" vertical="center" wrapText="1"/>
    </xf>
    <xf numFmtId="167" fontId="41" fillId="3" borderId="51" xfId="0" applyNumberFormat="1" applyFont="1" applyFill="1" applyBorder="1" applyAlignment="1" applyProtection="1">
      <alignment horizontal="center" vertical="center"/>
    </xf>
    <xf numFmtId="167" fontId="41" fillId="3" borderId="51" xfId="0" quotePrefix="1" applyNumberFormat="1" applyFont="1" applyFill="1" applyBorder="1" applyAlignment="1" applyProtection="1">
      <alignment horizontal="center" vertical="center"/>
    </xf>
    <xf numFmtId="0" fontId="41" fillId="3" borderId="51" xfId="0" applyFont="1" applyFill="1" applyBorder="1" applyAlignment="1" applyProtection="1">
      <alignment horizontal="center" vertical="center" wrapText="1"/>
    </xf>
    <xf numFmtId="0" fontId="41" fillId="3" borderId="52" xfId="0" applyFont="1" applyFill="1" applyBorder="1" applyAlignment="1" applyProtection="1">
      <alignment horizontal="center" vertical="center" wrapText="1"/>
    </xf>
    <xf numFmtId="0" fontId="40" fillId="5" borderId="53" xfId="0" applyFont="1" applyFill="1" applyBorder="1" applyAlignment="1" applyProtection="1">
      <alignment vertical="center" wrapText="1"/>
    </xf>
    <xf numFmtId="41" fontId="40" fillId="5" borderId="17" xfId="0" applyNumberFormat="1" applyFont="1" applyFill="1" applyBorder="1" applyAlignment="1" applyProtection="1">
      <alignment vertical="center"/>
    </xf>
    <xf numFmtId="10" fontId="40" fillId="0" borderId="17" xfId="0" applyNumberFormat="1" applyFont="1" applyBorder="1" applyAlignment="1" applyProtection="1">
      <alignment horizontal="right" vertical="center" wrapText="1"/>
    </xf>
    <xf numFmtId="10" fontId="40" fillId="0" borderId="53" xfId="0" applyNumberFormat="1" applyFont="1" applyBorder="1" applyAlignment="1" applyProtection="1">
      <alignment horizontal="right" vertical="center" wrapText="1"/>
    </xf>
    <xf numFmtId="10" fontId="40" fillId="4" borderId="20" xfId="0" applyNumberFormat="1" applyFont="1" applyFill="1" applyBorder="1" applyAlignment="1" applyProtection="1">
      <alignment horizontal="right" vertical="center" wrapText="1"/>
    </xf>
    <xf numFmtId="10" fontId="40" fillId="13" borderId="21" xfId="0" applyNumberFormat="1" applyFont="1" applyFill="1" applyBorder="1" applyAlignment="1" applyProtection="1">
      <alignment horizontal="right" vertical="center" wrapText="1"/>
    </xf>
    <xf numFmtId="0" fontId="40" fillId="0" borderId="7"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41" fillId="0" borderId="0" xfId="0" applyFont="1" applyBorder="1" applyAlignment="1" applyProtection="1">
      <alignment vertical="center" wrapText="1"/>
      <protection locked="0"/>
    </xf>
    <xf numFmtId="0" fontId="40" fillId="0" borderId="5" xfId="0" applyFont="1" applyBorder="1" applyAlignment="1" applyProtection="1">
      <alignment vertical="center" wrapText="1"/>
      <protection locked="0"/>
    </xf>
    <xf numFmtId="0" fontId="40" fillId="0" borderId="0" xfId="0" applyFont="1" applyBorder="1" applyAlignment="1" applyProtection="1">
      <alignment horizontal="center" vertical="center"/>
      <protection locked="0"/>
    </xf>
    <xf numFmtId="0" fontId="40" fillId="0" borderId="4" xfId="0" applyFont="1" applyBorder="1" applyAlignment="1" applyProtection="1">
      <alignment vertical="center"/>
      <protection locked="0"/>
    </xf>
    <xf numFmtId="0" fontId="40" fillId="0" borderId="5" xfId="0" applyFont="1" applyBorder="1" applyAlignment="1" applyProtection="1">
      <alignment vertical="center"/>
      <protection locked="0"/>
    </xf>
    <xf numFmtId="0" fontId="40" fillId="5" borderId="8" xfId="0" applyFont="1" applyFill="1" applyBorder="1" applyAlignment="1" applyProtection="1">
      <alignment horizontal="center" vertical="center" wrapText="1"/>
      <protection locked="0"/>
    </xf>
    <xf numFmtId="0" fontId="40" fillId="5" borderId="8" xfId="0" applyFont="1" applyFill="1" applyBorder="1" applyAlignment="1" applyProtection="1">
      <alignment horizontal="center" vertical="center"/>
      <protection locked="0"/>
    </xf>
    <xf numFmtId="0" fontId="40" fillId="0" borderId="16" xfId="0" applyFont="1" applyBorder="1" applyAlignment="1" applyProtection="1">
      <alignment vertical="center" wrapText="1"/>
      <protection locked="0"/>
    </xf>
    <xf numFmtId="0" fontId="40" fillId="5" borderId="13" xfId="0" applyFont="1" applyFill="1" applyBorder="1" applyAlignment="1" applyProtection="1">
      <alignment horizontal="center" vertical="center" wrapText="1"/>
      <protection locked="0"/>
    </xf>
    <xf numFmtId="0" fontId="40" fillId="5" borderId="13" xfId="0" applyFont="1" applyFill="1" applyBorder="1" applyAlignment="1" applyProtection="1">
      <alignment horizontal="center" vertical="center"/>
      <protection locked="0"/>
    </xf>
    <xf numFmtId="0" fontId="42" fillId="0" borderId="0" xfId="0" applyFont="1" applyBorder="1" applyAlignment="1" applyProtection="1">
      <alignment vertical="center"/>
      <protection locked="0"/>
    </xf>
    <xf numFmtId="2" fontId="42" fillId="0" borderId="0" xfId="0" applyNumberFormat="1" applyFont="1" applyBorder="1" applyAlignment="1" applyProtection="1">
      <alignment vertical="center" wrapText="1"/>
      <protection locked="0"/>
    </xf>
    <xf numFmtId="0" fontId="40" fillId="0" borderId="0" xfId="0" applyFont="1" applyFill="1" applyBorder="1" applyAlignment="1" applyProtection="1">
      <alignment horizontal="center" vertical="center"/>
      <protection locked="0"/>
    </xf>
    <xf numFmtId="0" fontId="40" fillId="0" borderId="12" xfId="0" applyFont="1" applyBorder="1" applyAlignment="1" applyProtection="1">
      <alignment vertical="center" wrapText="1"/>
      <protection locked="0"/>
    </xf>
    <xf numFmtId="0" fontId="40" fillId="8" borderId="9" xfId="0" applyFont="1" applyFill="1" applyBorder="1" applyAlignment="1" applyProtection="1">
      <alignment vertical="center" wrapText="1"/>
      <protection locked="0"/>
    </xf>
    <xf numFmtId="0" fontId="40" fillId="8" borderId="22" xfId="0" applyFont="1" applyFill="1" applyBorder="1" applyAlignment="1" applyProtection="1">
      <alignment vertical="center" wrapText="1"/>
      <protection locked="0"/>
    </xf>
    <xf numFmtId="0" fontId="40" fillId="8" borderId="12" xfId="0" applyFont="1" applyFill="1" applyBorder="1" applyAlignment="1" applyProtection="1">
      <alignment vertical="center" wrapText="1"/>
      <protection locked="0"/>
    </xf>
    <xf numFmtId="0" fontId="40" fillId="0" borderId="14" xfId="0" applyFont="1" applyBorder="1" applyAlignment="1" applyProtection="1">
      <alignment vertical="center" wrapText="1"/>
      <protection locked="0"/>
    </xf>
    <xf numFmtId="0" fontId="42" fillId="0" borderId="5" xfId="0" applyFont="1" applyBorder="1" applyAlignment="1" applyProtection="1">
      <alignment vertical="center"/>
      <protection locked="0"/>
    </xf>
    <xf numFmtId="0" fontId="40" fillId="0" borderId="4" xfId="0" applyFont="1" applyFill="1" applyBorder="1" applyAlignment="1" applyProtection="1">
      <alignment vertical="center" wrapText="1"/>
      <protection locked="0"/>
    </xf>
    <xf numFmtId="0" fontId="40" fillId="0" borderId="0" xfId="0" applyFont="1" applyFill="1" applyBorder="1" applyAlignment="1" applyProtection="1">
      <alignment vertical="center" wrapText="1"/>
      <protection locked="0"/>
    </xf>
    <xf numFmtId="2" fontId="42" fillId="0" borderId="0" xfId="0" applyNumberFormat="1" applyFont="1" applyFill="1" applyBorder="1" applyAlignment="1" applyProtection="1">
      <alignment horizontal="center" vertical="center"/>
      <protection locked="0"/>
    </xf>
    <xf numFmtId="2" fontId="42" fillId="0" borderId="0" xfId="0" applyNumberFormat="1" applyFont="1" applyFill="1" applyBorder="1" applyAlignment="1" applyProtection="1">
      <alignment horizontal="center" vertical="center" wrapText="1"/>
      <protection locked="0"/>
    </xf>
    <xf numFmtId="0" fontId="40" fillId="0" borderId="5" xfId="0" applyFont="1" applyFill="1" applyBorder="1" applyAlignment="1" applyProtection="1">
      <alignment vertical="center" wrapText="1"/>
      <protection locked="0"/>
    </xf>
    <xf numFmtId="178" fontId="40" fillId="0" borderId="8" xfId="1" applyNumberFormat="1" applyFont="1" applyBorder="1" applyAlignment="1" applyProtection="1">
      <alignment vertical="center" wrapText="1"/>
      <protection locked="0"/>
    </xf>
    <xf numFmtId="0" fontId="40" fillId="0" borderId="8" xfId="0" applyFont="1" applyFill="1" applyBorder="1" applyAlignment="1" applyProtection="1">
      <alignment vertical="center" wrapText="1"/>
      <protection locked="0"/>
    </xf>
    <xf numFmtId="0" fontId="40" fillId="0" borderId="8" xfId="0" applyFont="1" applyFill="1" applyBorder="1" applyAlignment="1" applyProtection="1">
      <alignment horizontal="center" vertical="center" wrapText="1"/>
      <protection locked="0"/>
    </xf>
    <xf numFmtId="0" fontId="40" fillId="0" borderId="10" xfId="0" applyFont="1" applyBorder="1" applyAlignment="1" applyProtection="1">
      <alignment vertical="center" wrapText="1"/>
      <protection locked="0"/>
    </xf>
    <xf numFmtId="0" fontId="40" fillId="0" borderId="11" xfId="0" applyFont="1" applyBorder="1" applyAlignment="1" applyProtection="1">
      <alignment vertical="center" wrapText="1"/>
      <protection locked="0"/>
    </xf>
    <xf numFmtId="0" fontId="41" fillId="0" borderId="3" xfId="0" applyFont="1" applyBorder="1" applyAlignment="1" applyProtection="1">
      <alignment vertical="center" wrapText="1"/>
      <protection locked="0"/>
    </xf>
    <xf numFmtId="0" fontId="41" fillId="0" borderId="16" xfId="0" applyFont="1" applyBorder="1" applyAlignment="1" applyProtection="1">
      <alignment vertical="center" wrapText="1"/>
      <protection locked="0"/>
    </xf>
    <xf numFmtId="0" fontId="40" fillId="0" borderId="10" xfId="0" applyFont="1" applyBorder="1" applyAlignment="1" applyProtection="1">
      <alignment vertical="center"/>
      <protection locked="0"/>
    </xf>
    <xf numFmtId="0" fontId="41" fillId="0" borderId="4" xfId="0" applyFont="1" applyBorder="1" applyAlignment="1" applyProtection="1">
      <alignment vertical="center" wrapText="1"/>
      <protection locked="0"/>
    </xf>
    <xf numFmtId="0" fontId="41" fillId="0" borderId="5" xfId="0" applyFont="1" applyBorder="1" applyAlignment="1" applyProtection="1">
      <alignment vertical="center" wrapText="1"/>
      <protection locked="0"/>
    </xf>
    <xf numFmtId="0" fontId="41" fillId="0" borderId="0" xfId="0" applyFont="1" applyFill="1" applyBorder="1" applyAlignment="1" applyProtection="1">
      <alignment vertical="center"/>
      <protection locked="0"/>
    </xf>
    <xf numFmtId="0" fontId="44" fillId="0" borderId="4" xfId="0" applyFont="1" applyBorder="1" applyAlignment="1" applyProtection="1">
      <alignment vertical="center" wrapText="1"/>
      <protection locked="0"/>
    </xf>
    <xf numFmtId="0" fontId="44" fillId="0" borderId="0" xfId="0" applyFont="1" applyBorder="1" applyAlignment="1" applyProtection="1">
      <alignment vertical="center" wrapText="1"/>
      <protection locked="0"/>
    </xf>
    <xf numFmtId="0" fontId="44" fillId="0" borderId="5" xfId="0" applyFont="1" applyBorder="1" applyAlignment="1" applyProtection="1">
      <alignment vertical="center" wrapText="1"/>
      <protection locked="0"/>
    </xf>
    <xf numFmtId="0" fontId="44" fillId="0" borderId="6" xfId="0" applyFont="1" applyBorder="1" applyAlignment="1" applyProtection="1">
      <alignment vertical="center" wrapText="1"/>
      <protection locked="0"/>
    </xf>
    <xf numFmtId="0" fontId="44" fillId="0" borderId="11" xfId="0" applyFont="1" applyBorder="1" applyAlignment="1" applyProtection="1">
      <alignment vertical="center" wrapText="1"/>
      <protection locked="0"/>
    </xf>
    <xf numFmtId="0" fontId="44" fillId="0" borderId="3" xfId="0" applyFont="1" applyBorder="1" applyAlignment="1" applyProtection="1">
      <alignment vertical="center" wrapText="1"/>
      <protection locked="0"/>
    </xf>
    <xf numFmtId="0" fontId="44" fillId="0" borderId="16" xfId="0" applyFont="1" applyBorder="1" applyAlignment="1" applyProtection="1">
      <alignment vertical="center" wrapText="1"/>
      <protection locked="0"/>
    </xf>
    <xf numFmtId="0" fontId="44" fillId="0" borderId="8" xfId="0" applyFont="1" applyBorder="1" applyAlignment="1" applyProtection="1">
      <alignment vertical="center" wrapText="1"/>
      <protection locked="0"/>
    </xf>
    <xf numFmtId="0" fontId="56" fillId="0" borderId="0" xfId="0" applyFont="1" applyBorder="1" applyAlignment="1">
      <alignment vertical="center" wrapText="1"/>
    </xf>
    <xf numFmtId="0" fontId="48" fillId="0" borderId="10" xfId="27" applyFont="1" applyBorder="1" applyAlignment="1">
      <alignment vertical="center" wrapText="1"/>
    </xf>
    <xf numFmtId="0" fontId="41" fillId="0" borderId="22" xfId="0" applyFont="1" applyBorder="1" applyAlignment="1">
      <alignment vertical="center"/>
    </xf>
    <xf numFmtId="0" fontId="41" fillId="0" borderId="12" xfId="0" applyFont="1" applyBorder="1" applyAlignment="1">
      <alignment vertical="center"/>
    </xf>
    <xf numFmtId="0" fontId="40" fillId="14" borderId="8" xfId="0" applyFont="1" applyFill="1" applyBorder="1" applyProtection="1">
      <protection locked="0"/>
    </xf>
    <xf numFmtId="0" fontId="40" fillId="5" borderId="8" xfId="0" applyFont="1" applyFill="1" applyBorder="1" applyProtection="1">
      <protection locked="0"/>
    </xf>
    <xf numFmtId="0" fontId="40" fillId="14" borderId="8" xfId="0" applyFont="1" applyFill="1" applyBorder="1" applyAlignment="1" applyProtection="1">
      <alignment horizontal="center" vertical="top" wrapText="1"/>
      <protection locked="0"/>
    </xf>
    <xf numFmtId="0" fontId="40" fillId="0" borderId="8" xfId="0" applyFont="1" applyFill="1" applyBorder="1" applyAlignment="1" applyProtection="1">
      <alignment horizontal="center" vertical="top" wrapText="1"/>
      <protection locked="0"/>
    </xf>
    <xf numFmtId="10" fontId="43" fillId="14" borderId="8" xfId="24" applyNumberFormat="1" applyFont="1" applyFill="1" applyBorder="1" applyAlignment="1" applyProtection="1">
      <alignment horizontal="center" vertical="center"/>
      <protection locked="0"/>
    </xf>
    <xf numFmtId="0" fontId="40" fillId="0" borderId="8" xfId="0" applyFont="1" applyFill="1" applyBorder="1" applyAlignment="1" applyProtection="1">
      <alignment horizontal="center" vertical="center"/>
      <protection locked="0"/>
    </xf>
    <xf numFmtId="0" fontId="40" fillId="0" borderId="0" xfId="0" applyFont="1" applyFill="1" applyProtection="1">
      <protection locked="0"/>
    </xf>
    <xf numFmtId="2" fontId="43" fillId="14" borderId="8" xfId="0" applyNumberFormat="1" applyFont="1" applyFill="1" applyBorder="1" applyAlignment="1" applyProtection="1">
      <alignment horizontal="center" vertical="center"/>
      <protection locked="0"/>
    </xf>
    <xf numFmtId="0" fontId="41" fillId="0" borderId="0" xfId="0" applyFont="1" applyFill="1" applyBorder="1" applyAlignment="1" applyProtection="1">
      <protection locked="0"/>
    </xf>
    <xf numFmtId="0" fontId="40" fillId="0" borderId="0" xfId="0" applyFont="1" applyFill="1" applyBorder="1" applyProtection="1">
      <protection locked="0"/>
    </xf>
    <xf numFmtId="168" fontId="45" fillId="0" borderId="0" xfId="22" applyFont="1" applyBorder="1" applyAlignment="1" applyProtection="1">
      <alignment vertical="center"/>
      <protection locked="0"/>
    </xf>
    <xf numFmtId="0" fontId="40" fillId="0" borderId="5" xfId="0" applyFont="1" applyBorder="1" applyProtection="1">
      <protection locked="0"/>
    </xf>
    <xf numFmtId="168" fontId="45" fillId="0" borderId="0" xfId="22" applyFont="1" applyBorder="1" applyAlignment="1" applyProtection="1">
      <alignment horizontal="left" vertical="center"/>
      <protection locked="0"/>
    </xf>
    <xf numFmtId="37" fontId="45" fillId="16" borderId="0" xfId="22" applyNumberFormat="1" applyFont="1" applyFill="1" applyBorder="1" applyAlignment="1" applyProtection="1">
      <alignment horizontal="center" vertical="center"/>
      <protection locked="0"/>
    </xf>
    <xf numFmtId="39" fontId="43" fillId="0" borderId="0" xfId="22" applyNumberFormat="1" applyFont="1" applyBorder="1" applyAlignment="1" applyProtection="1">
      <alignment vertical="center"/>
      <protection locked="0"/>
    </xf>
    <xf numFmtId="168" fontId="45" fillId="0" borderId="0" xfId="22" applyFont="1" applyBorder="1" applyAlignment="1" applyProtection="1">
      <alignment horizontal="center" vertical="center"/>
      <protection locked="0"/>
    </xf>
    <xf numFmtId="39" fontId="43" fillId="0" borderId="0" xfId="22" applyNumberFormat="1" applyFont="1" applyBorder="1" applyAlignment="1" applyProtection="1">
      <alignment horizontal="right" vertical="center"/>
      <protection locked="0"/>
    </xf>
    <xf numFmtId="39" fontId="45" fillId="0" borderId="0" xfId="22" applyNumberFormat="1" applyFont="1" applyBorder="1" applyAlignment="1" applyProtection="1">
      <alignment vertical="center"/>
      <protection locked="0"/>
    </xf>
    <xf numFmtId="0" fontId="40" fillId="0" borderId="10" xfId="0" applyFont="1" applyBorder="1" applyProtection="1">
      <protection locked="0"/>
    </xf>
    <xf numFmtId="168" fontId="45" fillId="0" borderId="7" xfId="22" applyFont="1" applyBorder="1" applyAlignment="1" applyProtection="1">
      <alignment horizontal="fill" vertical="center"/>
      <protection locked="0"/>
    </xf>
    <xf numFmtId="37" fontId="45" fillId="16" borderId="0" xfId="22" applyNumberFormat="1" applyFont="1" applyFill="1" applyBorder="1" applyAlignment="1" applyProtection="1">
      <alignment horizontal="right" vertical="center"/>
      <protection locked="0"/>
    </xf>
    <xf numFmtId="37" fontId="45" fillId="0" borderId="0" xfId="22" applyNumberFormat="1" applyFont="1" applyBorder="1" applyAlignment="1" applyProtection="1">
      <alignment horizontal="right" vertical="center"/>
      <protection locked="0"/>
    </xf>
    <xf numFmtId="37" fontId="45" fillId="0" borderId="0" xfId="22" quotePrefix="1" applyNumberFormat="1" applyFont="1" applyBorder="1" applyAlignment="1" applyProtection="1">
      <alignment horizontal="right" vertical="center"/>
      <protection locked="0"/>
    </xf>
    <xf numFmtId="37" fontId="45" fillId="0" borderId="0" xfId="22" applyNumberFormat="1" applyFont="1" applyBorder="1" applyAlignment="1" applyProtection="1">
      <alignment horizontal="left" vertical="center"/>
      <protection locked="0"/>
    </xf>
    <xf numFmtId="9" fontId="45" fillId="16" borderId="0" xfId="24" applyNumberFormat="1" applyFont="1" applyFill="1" applyBorder="1" applyAlignment="1" applyProtection="1">
      <alignment vertical="center"/>
      <protection locked="0"/>
    </xf>
    <xf numFmtId="37" fontId="45" fillId="0" borderId="0" xfId="22" quotePrefix="1" applyNumberFormat="1" applyFont="1" applyBorder="1" applyAlignment="1" applyProtection="1">
      <alignment vertical="center"/>
      <protection locked="0"/>
    </xf>
    <xf numFmtId="168" fontId="48" fillId="0" borderId="0" xfId="22" applyFont="1" applyBorder="1" applyAlignment="1" applyProtection="1">
      <alignment horizontal="right" vertical="center"/>
      <protection locked="0"/>
    </xf>
    <xf numFmtId="0" fontId="56" fillId="0" borderId="0" xfId="0" applyFont="1" applyFill="1" applyBorder="1" applyAlignment="1" applyProtection="1">
      <alignment vertical="center" wrapText="1"/>
      <protection locked="0"/>
    </xf>
    <xf numFmtId="0" fontId="48" fillId="0" borderId="0" xfId="27" applyFont="1" applyFill="1" applyBorder="1" applyAlignment="1" applyProtection="1">
      <alignment vertical="center" wrapText="1"/>
      <protection locked="0"/>
    </xf>
    <xf numFmtId="0" fontId="41" fillId="0" borderId="0" xfId="0" applyFont="1" applyFill="1" applyBorder="1" applyAlignment="1" applyProtection="1">
      <alignment vertical="center" wrapText="1"/>
      <protection locked="0"/>
    </xf>
    <xf numFmtId="0" fontId="56" fillId="0" borderId="0" xfId="0" applyFont="1" applyBorder="1" applyAlignment="1" applyProtection="1">
      <alignment vertical="center" wrapText="1"/>
      <protection locked="0"/>
    </xf>
    <xf numFmtId="0" fontId="40" fillId="0" borderId="0" xfId="0" applyFont="1" applyAlignment="1" applyProtection="1">
      <alignment vertical="center" wrapText="1"/>
      <protection locked="0"/>
    </xf>
    <xf numFmtId="0" fontId="48" fillId="0" borderId="10" xfId="27" applyFont="1" applyBorder="1" applyAlignment="1" applyProtection="1">
      <alignment vertical="center" wrapText="1"/>
      <protection locked="0"/>
    </xf>
    <xf numFmtId="0" fontId="41" fillId="0" borderId="9" xfId="0" applyFont="1" applyBorder="1" applyAlignment="1" applyProtection="1">
      <alignment vertical="center"/>
      <protection locked="0"/>
    </xf>
    <xf numFmtId="0" fontId="41" fillId="0" borderId="22" xfId="0" applyFont="1" applyBorder="1" applyAlignment="1" applyProtection="1">
      <alignment vertical="center"/>
      <protection locked="0"/>
    </xf>
    <xf numFmtId="0" fontId="41" fillId="0" borderId="0" xfId="0" applyFont="1" applyBorder="1" applyAlignment="1" applyProtection="1">
      <alignment horizontal="right" vertical="center" wrapText="1"/>
      <protection locked="0"/>
    </xf>
    <xf numFmtId="0" fontId="40" fillId="6" borderId="0" xfId="0" applyFont="1" applyFill="1" applyBorder="1" applyAlignment="1" applyProtection="1">
      <alignment vertical="center" wrapText="1"/>
      <protection locked="0"/>
    </xf>
    <xf numFmtId="0" fontId="40" fillId="6" borderId="10" xfId="0" applyFont="1" applyFill="1" applyBorder="1" applyAlignment="1" applyProtection="1">
      <alignment vertical="center" wrapText="1"/>
      <protection locked="0"/>
    </xf>
    <xf numFmtId="0" fontId="40" fillId="6" borderId="7" xfId="0" applyFont="1" applyFill="1" applyBorder="1" applyAlignment="1" applyProtection="1">
      <alignment vertical="center" wrapText="1"/>
      <protection locked="0"/>
    </xf>
    <xf numFmtId="0" fontId="40" fillId="0" borderId="0" xfId="0" applyFont="1" applyAlignment="1" applyProtection="1">
      <protection locked="0"/>
    </xf>
    <xf numFmtId="41" fontId="51" fillId="0" borderId="8" xfId="0" applyNumberFormat="1" applyFont="1" applyBorder="1" applyAlignment="1" applyProtection="1">
      <alignment vertical="center"/>
      <protection hidden="1"/>
    </xf>
    <xf numFmtId="0" fontId="40" fillId="0" borderId="11" xfId="0" applyFont="1" applyBorder="1" applyProtection="1">
      <protection locked="0"/>
    </xf>
    <xf numFmtId="0" fontId="41" fillId="0" borderId="10" xfId="0" applyFont="1" applyBorder="1" applyAlignment="1" applyProtection="1">
      <alignment vertical="top" wrapText="1"/>
      <protection locked="0"/>
    </xf>
    <xf numFmtId="0" fontId="40" fillId="0" borderId="0" xfId="0" applyFont="1" applyAlignment="1" applyProtection="1">
      <alignment vertical="top" wrapText="1"/>
      <protection locked="0"/>
    </xf>
    <xf numFmtId="0" fontId="40" fillId="14" borderId="0" xfId="0" applyFont="1" applyFill="1" applyProtection="1">
      <protection locked="0"/>
    </xf>
    <xf numFmtId="2" fontId="42" fillId="0" borderId="0" xfId="0" applyNumberFormat="1" applyFont="1" applyBorder="1" applyAlignment="1" applyProtection="1">
      <alignment horizontal="center" wrapText="1"/>
      <protection locked="0"/>
    </xf>
    <xf numFmtId="0" fontId="41" fillId="0" borderId="0" xfId="0" applyFont="1" applyAlignment="1" applyProtection="1">
      <alignment vertical="center" wrapText="1"/>
      <protection locked="0"/>
    </xf>
    <xf numFmtId="0" fontId="41" fillId="15" borderId="56" xfId="0" applyFont="1" applyFill="1" applyBorder="1" applyAlignment="1" applyProtection="1">
      <alignment horizontal="center"/>
      <protection locked="0"/>
    </xf>
    <xf numFmtId="0" fontId="41" fillId="15" borderId="69" xfId="0" applyFont="1" applyFill="1" applyBorder="1" applyAlignment="1" applyProtection="1">
      <alignment horizontal="center"/>
      <protection locked="0"/>
    </xf>
    <xf numFmtId="168" fontId="45" fillId="0" borderId="0" xfId="22" applyFont="1" applyBorder="1" applyAlignment="1" applyProtection="1">
      <alignment horizontal="left" vertical="top" wrapText="1"/>
      <protection locked="0"/>
    </xf>
    <xf numFmtId="170" fontId="45" fillId="0" borderId="0" xfId="2" applyNumberFormat="1" applyFont="1" applyBorder="1" applyAlignment="1" applyProtection="1">
      <alignment vertical="center"/>
      <protection locked="0"/>
    </xf>
    <xf numFmtId="171" fontId="45" fillId="0" borderId="0" xfId="2" applyNumberFormat="1" applyFont="1" applyBorder="1" applyAlignment="1" applyProtection="1">
      <alignment vertical="center"/>
      <protection locked="0"/>
    </xf>
    <xf numFmtId="0" fontId="43" fillId="0" borderId="0" xfId="0" applyFont="1" applyFill="1" applyBorder="1" applyAlignment="1" applyProtection="1">
      <alignment vertical="center"/>
      <protection locked="0"/>
    </xf>
    <xf numFmtId="170" fontId="43" fillId="0" borderId="0" xfId="2" applyNumberFormat="1" applyFont="1" applyFill="1" applyBorder="1" applyAlignment="1" applyProtection="1">
      <alignment vertical="center"/>
      <protection locked="0"/>
    </xf>
    <xf numFmtId="171" fontId="43" fillId="0" borderId="0" xfId="2" applyNumberFormat="1" applyFont="1" applyFill="1" applyBorder="1" applyAlignment="1" applyProtection="1">
      <alignment vertical="center"/>
      <protection locked="0"/>
    </xf>
    <xf numFmtId="171" fontId="45" fillId="0" borderId="0" xfId="2" applyNumberFormat="1" applyFont="1" applyFill="1" applyBorder="1" applyAlignment="1" applyProtection="1">
      <alignment horizontal="right" vertical="center"/>
      <protection locked="0"/>
    </xf>
    <xf numFmtId="168" fontId="45" fillId="0" borderId="0" xfId="22" applyFont="1" applyFill="1" applyBorder="1" applyAlignment="1" applyProtection="1">
      <alignment vertical="center"/>
      <protection locked="0"/>
    </xf>
    <xf numFmtId="171" fontId="45" fillId="0" borderId="0" xfId="2" quotePrefix="1" applyNumberFormat="1" applyFont="1" applyFill="1" applyBorder="1" applyAlignment="1" applyProtection="1">
      <alignment horizontal="right" vertical="center"/>
      <protection locked="0"/>
    </xf>
    <xf numFmtId="171" fontId="48" fillId="0" borderId="0" xfId="2" applyNumberFormat="1" applyFont="1" applyFill="1" applyBorder="1" applyAlignment="1" applyProtection="1">
      <alignment horizontal="right" vertical="center"/>
      <protection locked="0"/>
    </xf>
    <xf numFmtId="167" fontId="46" fillId="0" borderId="0" xfId="0" applyNumberFormat="1" applyFont="1" applyBorder="1" applyAlignment="1" applyProtection="1">
      <protection locked="0"/>
    </xf>
    <xf numFmtId="10" fontId="46" fillId="0" borderId="0" xfId="0" applyNumberFormat="1" applyFont="1" applyBorder="1" applyAlignment="1" applyProtection="1">
      <protection locked="0"/>
    </xf>
    <xf numFmtId="2" fontId="46" fillId="0" borderId="0" xfId="0" applyNumberFormat="1" applyFont="1" applyBorder="1" applyAlignment="1" applyProtection="1">
      <protection locked="0"/>
    </xf>
    <xf numFmtId="10" fontId="46" fillId="0" borderId="0" xfId="24" applyNumberFormat="1" applyFont="1" applyBorder="1" applyAlignment="1" applyProtection="1">
      <protection locked="0"/>
    </xf>
    <xf numFmtId="166" fontId="40" fillId="0" borderId="8" xfId="2" applyNumberFormat="1" applyFont="1" applyBorder="1" applyAlignment="1" applyProtection="1">
      <protection locked="0"/>
    </xf>
    <xf numFmtId="0" fontId="40" fillId="0" borderId="0" xfId="0" applyFont="1" applyFill="1" applyBorder="1" applyAlignment="1" applyProtection="1">
      <alignment vertical="top" wrapText="1"/>
      <protection locked="0"/>
    </xf>
    <xf numFmtId="0" fontId="40" fillId="0" borderId="0" xfId="0" applyFont="1" applyFill="1" applyAlignment="1" applyProtection="1">
      <protection locked="0"/>
    </xf>
    <xf numFmtId="166" fontId="46" fillId="0" borderId="8" xfId="2" applyNumberFormat="1" applyFont="1" applyBorder="1" applyAlignment="1" applyProtection="1">
      <protection locked="0"/>
    </xf>
    <xf numFmtId="166" fontId="46" fillId="0" borderId="0" xfId="2" applyNumberFormat="1" applyFont="1" applyBorder="1" applyAlignment="1" applyProtection="1">
      <protection locked="0"/>
    </xf>
    <xf numFmtId="166" fontId="40" fillId="0" borderId="0" xfId="2" applyNumberFormat="1" applyFont="1" applyAlignment="1" applyProtection="1">
      <protection locked="0"/>
    </xf>
    <xf numFmtId="0" fontId="40" fillId="0" borderId="8" xfId="0" applyFont="1" applyBorder="1" applyAlignment="1" applyProtection="1">
      <alignment vertical="top" wrapText="1"/>
      <protection locked="0"/>
    </xf>
    <xf numFmtId="0" fontId="40" fillId="0" borderId="8" xfId="0" applyFont="1" applyBorder="1" applyAlignment="1" applyProtection="1">
      <protection locked="0"/>
    </xf>
    <xf numFmtId="0" fontId="40" fillId="0" borderId="0" xfId="0" applyFont="1" applyAlignment="1" applyProtection="1">
      <alignment wrapText="1"/>
      <protection locked="0"/>
    </xf>
    <xf numFmtId="0" fontId="40" fillId="0" borderId="0" xfId="0" applyFont="1" applyFill="1" applyBorder="1" applyAlignment="1" applyProtection="1">
      <alignment horizontal="left" vertical="top"/>
      <protection locked="0"/>
    </xf>
    <xf numFmtId="0" fontId="41" fillId="0" borderId="0" xfId="0" applyFont="1" applyFill="1" applyBorder="1" applyAlignment="1" applyProtection="1">
      <alignment vertical="top" wrapText="1"/>
      <protection locked="0"/>
    </xf>
    <xf numFmtId="0" fontId="42" fillId="0" borderId="0" xfId="0" applyFont="1" applyFill="1" applyBorder="1" applyAlignment="1" applyProtection="1">
      <alignment vertical="top" wrapText="1"/>
      <protection locked="0"/>
    </xf>
    <xf numFmtId="0" fontId="40" fillId="0" borderId="0" xfId="0" applyFont="1" applyFill="1" applyBorder="1" applyAlignment="1" applyProtection="1">
      <alignment horizontal="center"/>
      <protection locked="0"/>
    </xf>
    <xf numFmtId="0" fontId="41" fillId="0" borderId="4" xfId="0" applyFont="1" applyBorder="1" applyProtection="1">
      <protection locked="0"/>
    </xf>
    <xf numFmtId="0" fontId="40" fillId="0" borderId="0" xfId="0" quotePrefix="1" applyFont="1" applyBorder="1" applyAlignment="1" applyProtection="1">
      <alignment horizontal="left" vertical="top" wrapText="1"/>
      <protection locked="0"/>
    </xf>
    <xf numFmtId="0" fontId="40" fillId="0" borderId="0" xfId="0" quotePrefix="1" applyFont="1" applyBorder="1" applyAlignment="1" applyProtection="1">
      <alignment vertical="top" wrapText="1"/>
      <protection locked="0"/>
    </xf>
    <xf numFmtId="0" fontId="41" fillId="0" borderId="0" xfId="0" applyFont="1" applyBorder="1" applyAlignment="1" applyProtection="1">
      <alignment horizontal="center" vertical="top"/>
      <protection locked="0"/>
    </xf>
    <xf numFmtId="0" fontId="40" fillId="0" borderId="22" xfId="0" applyFont="1" applyBorder="1" applyAlignment="1" applyProtection="1">
      <alignment vertical="center"/>
      <protection locked="0"/>
    </xf>
    <xf numFmtId="0" fontId="40" fillId="0" borderId="0" xfId="0" applyFont="1" applyBorder="1" applyAlignment="1" applyProtection="1">
      <alignment vertical="top"/>
      <protection locked="0"/>
    </xf>
    <xf numFmtId="0" fontId="40" fillId="0" borderId="4" xfId="0" applyFont="1" applyBorder="1" applyAlignment="1" applyProtection="1">
      <alignment vertical="top"/>
      <protection locked="0"/>
    </xf>
    <xf numFmtId="0" fontId="42" fillId="0" borderId="7" xfId="0" applyFont="1" applyBorder="1" applyAlignment="1" applyProtection="1">
      <alignment horizontal="center"/>
      <protection locked="0"/>
    </xf>
    <xf numFmtId="0" fontId="42" fillId="0" borderId="0" xfId="0" applyFont="1" applyBorder="1" applyAlignment="1" applyProtection="1">
      <alignment horizontal="center"/>
      <protection locked="0"/>
    </xf>
    <xf numFmtId="0" fontId="41" fillId="0" borderId="5" xfId="0" applyFont="1" applyBorder="1" applyProtection="1">
      <protection locked="0"/>
    </xf>
    <xf numFmtId="0" fontId="40" fillId="0" borderId="10" xfId="0" applyFont="1" applyBorder="1" applyAlignment="1" applyProtection="1">
      <alignment horizontal="center"/>
      <protection locked="0"/>
    </xf>
    <xf numFmtId="0" fontId="40" fillId="0" borderId="7" xfId="0" applyFont="1" applyBorder="1" applyAlignment="1" applyProtection="1">
      <alignment horizontal="center"/>
      <protection locked="0"/>
    </xf>
    <xf numFmtId="0" fontId="40" fillId="0" borderId="7" xfId="0" applyFont="1" applyBorder="1" applyProtection="1">
      <protection locked="0"/>
    </xf>
    <xf numFmtId="0" fontId="40" fillId="0" borderId="7" xfId="0" quotePrefix="1" applyFont="1" applyBorder="1" applyAlignment="1" applyProtection="1">
      <alignment horizontal="left" vertical="top" wrapText="1"/>
      <protection locked="0"/>
    </xf>
    <xf numFmtId="0" fontId="40" fillId="0" borderId="5" xfId="0" applyFont="1" applyBorder="1" applyAlignment="1" applyProtection="1">
      <alignment horizontal="center"/>
      <protection locked="0"/>
    </xf>
    <xf numFmtId="0" fontId="40" fillId="0" borderId="10" xfId="0" applyFont="1" applyBorder="1" applyAlignment="1" applyProtection="1">
      <alignment horizontal="center" vertical="center"/>
      <protection locked="0"/>
    </xf>
    <xf numFmtId="2" fontId="42" fillId="0" borderId="10" xfId="0" applyNumberFormat="1" applyFont="1" applyBorder="1" applyAlignment="1" applyProtection="1">
      <alignment horizontal="center"/>
      <protection locked="0"/>
    </xf>
    <xf numFmtId="0" fontId="40" fillId="0" borderId="7" xfId="0" applyFont="1" applyBorder="1" applyAlignment="1" applyProtection="1">
      <protection locked="0"/>
    </xf>
    <xf numFmtId="0" fontId="40" fillId="0" borderId="16" xfId="0" applyFont="1" applyBorder="1" applyProtection="1">
      <protection locked="0"/>
    </xf>
    <xf numFmtId="0" fontId="6" fillId="0" borderId="0" xfId="0" applyFont="1" applyBorder="1" applyProtection="1">
      <protection locked="0"/>
    </xf>
    <xf numFmtId="0" fontId="6" fillId="0" borderId="0" xfId="0" applyFont="1" applyBorder="1" applyAlignment="1" applyProtection="1">
      <alignment horizontal="center"/>
      <protection locked="0"/>
    </xf>
    <xf numFmtId="169" fontId="48" fillId="15" borderId="70" xfId="22" applyNumberFormat="1" applyFont="1" applyFill="1" applyBorder="1" applyAlignment="1" applyProtection="1">
      <alignment horizontal="center" vertical="center"/>
      <protection hidden="1"/>
    </xf>
    <xf numFmtId="169" fontId="48" fillId="15" borderId="71" xfId="22" applyNumberFormat="1" applyFont="1" applyFill="1" applyBorder="1" applyAlignment="1" applyProtection="1">
      <alignment horizontal="center"/>
      <protection hidden="1"/>
    </xf>
    <xf numFmtId="169" fontId="48" fillId="15" borderId="71" xfId="22" applyNumberFormat="1" applyFont="1" applyFill="1" applyBorder="1" applyAlignment="1" applyProtection="1">
      <alignment horizontal="center" vertical="center"/>
      <protection hidden="1"/>
    </xf>
    <xf numFmtId="169" fontId="48" fillId="15" borderId="8" xfId="22" applyNumberFormat="1" applyFont="1" applyFill="1" applyBorder="1" applyAlignment="1" applyProtection="1">
      <alignment horizontal="center" vertical="center"/>
      <protection hidden="1"/>
    </xf>
    <xf numFmtId="169" fontId="48" fillId="15" borderId="56" xfId="22" applyNumberFormat="1" applyFont="1" applyFill="1" applyBorder="1" applyAlignment="1" applyProtection="1">
      <alignment horizontal="center"/>
      <protection hidden="1"/>
    </xf>
    <xf numFmtId="169" fontId="48" fillId="15" borderId="56" xfId="22" applyNumberFormat="1" applyFont="1" applyFill="1" applyBorder="1" applyAlignment="1" applyProtection="1">
      <alignment horizontal="center" vertical="center"/>
      <protection hidden="1"/>
    </xf>
    <xf numFmtId="164" fontId="45" fillId="0" borderId="8" xfId="2" applyFont="1" applyBorder="1" applyAlignment="1" applyProtection="1">
      <alignment vertical="center"/>
      <protection hidden="1"/>
    </xf>
    <xf numFmtId="164" fontId="45" fillId="0" borderId="12" xfId="2" applyFont="1" applyBorder="1" applyAlignment="1" applyProtection="1">
      <alignment horizontal="right" vertical="center"/>
      <protection hidden="1"/>
    </xf>
    <xf numFmtId="164" fontId="45" fillId="0" borderId="22" xfId="2" applyFont="1" applyBorder="1" applyAlignment="1" applyProtection="1">
      <alignment horizontal="right" vertical="center"/>
      <protection hidden="1"/>
    </xf>
    <xf numFmtId="9" fontId="40" fillId="0" borderId="8" xfId="24" applyFont="1" applyBorder="1" applyAlignment="1" applyProtection="1">
      <alignment horizontal="right" vertical="center" wrapText="1"/>
      <protection hidden="1"/>
    </xf>
    <xf numFmtId="170" fontId="45" fillId="0" borderId="12" xfId="2" applyNumberFormat="1" applyFont="1" applyBorder="1" applyAlignment="1" applyProtection="1">
      <alignment horizontal="right" vertical="center"/>
      <protection hidden="1"/>
    </xf>
    <xf numFmtId="170" fontId="45" fillId="0" borderId="8" xfId="2" applyNumberFormat="1" applyFont="1" applyBorder="1" applyAlignment="1" applyProtection="1">
      <alignment horizontal="right" vertical="center"/>
      <protection hidden="1"/>
    </xf>
    <xf numFmtId="170" fontId="45" fillId="0" borderId="9" xfId="2" applyNumberFormat="1" applyFont="1" applyBorder="1" applyAlignment="1" applyProtection="1">
      <alignment horizontal="right" vertical="center"/>
      <protection hidden="1"/>
    </xf>
    <xf numFmtId="170" fontId="45" fillId="0" borderId="8" xfId="2" applyNumberFormat="1" applyFont="1" applyBorder="1" applyAlignment="1" applyProtection="1">
      <alignment vertical="center"/>
      <protection hidden="1"/>
    </xf>
    <xf numFmtId="164" fontId="43" fillId="0" borderId="12" xfId="2" applyFont="1" applyBorder="1" applyProtection="1">
      <protection hidden="1"/>
    </xf>
    <xf numFmtId="164" fontId="43" fillId="0" borderId="22" xfId="2" applyFont="1" applyBorder="1" applyProtection="1">
      <protection hidden="1"/>
    </xf>
    <xf numFmtId="10" fontId="40" fillId="0" borderId="8" xfId="24" applyNumberFormat="1" applyFont="1" applyBorder="1" applyAlignment="1" applyProtection="1">
      <alignment horizontal="right" vertical="center" wrapText="1"/>
      <protection hidden="1"/>
    </xf>
    <xf numFmtId="164" fontId="43" fillId="0" borderId="8" xfId="2" applyFont="1" applyBorder="1" applyProtection="1">
      <protection hidden="1"/>
    </xf>
    <xf numFmtId="164" fontId="43" fillId="0" borderId="9" xfId="2" applyFont="1" applyBorder="1" applyProtection="1">
      <protection hidden="1"/>
    </xf>
    <xf numFmtId="164" fontId="45" fillId="0" borderId="8" xfId="2" applyFont="1" applyBorder="1" applyAlignment="1" applyProtection="1">
      <alignment horizontal="right" vertical="center"/>
      <protection hidden="1"/>
    </xf>
    <xf numFmtId="164" fontId="45" fillId="0" borderId="9" xfId="2" applyFont="1" applyBorder="1" applyAlignment="1" applyProtection="1">
      <alignment horizontal="right" vertical="center"/>
      <protection hidden="1"/>
    </xf>
    <xf numFmtId="41" fontId="46" fillId="0" borderId="12" xfId="2" applyNumberFormat="1" applyFont="1" applyFill="1" applyBorder="1" applyAlignment="1" applyProtection="1">
      <alignment horizontal="center" vertical="center"/>
      <protection hidden="1"/>
    </xf>
    <xf numFmtId="164" fontId="46" fillId="0" borderId="9" xfId="2" applyFont="1" applyFill="1" applyBorder="1" applyAlignment="1" applyProtection="1">
      <alignment horizontal="center" vertical="center"/>
      <protection hidden="1"/>
    </xf>
    <xf numFmtId="10" fontId="40" fillId="0" borderId="8" xfId="2" applyNumberFormat="1" applyFont="1" applyBorder="1" applyAlignment="1" applyProtection="1">
      <alignment horizontal="right" vertical="center" wrapText="1"/>
      <protection hidden="1"/>
    </xf>
    <xf numFmtId="170" fontId="45" fillId="0" borderId="11" xfId="2" applyNumberFormat="1" applyFont="1" applyBorder="1" applyAlignment="1" applyProtection="1">
      <alignment horizontal="right" vertical="center"/>
      <protection hidden="1"/>
    </xf>
    <xf numFmtId="170" fontId="45" fillId="0" borderId="6" xfId="2" applyNumberFormat="1" applyFont="1" applyBorder="1" applyAlignment="1" applyProtection="1">
      <alignment horizontal="right" vertical="center"/>
      <protection hidden="1"/>
    </xf>
    <xf numFmtId="10" fontId="40" fillId="0" borderId="6" xfId="0" applyNumberFormat="1" applyFont="1" applyBorder="1" applyAlignment="1" applyProtection="1">
      <alignment horizontal="right" vertical="center" wrapText="1"/>
      <protection hidden="1"/>
    </xf>
    <xf numFmtId="178" fontId="46" fillId="0" borderId="12" xfId="1" applyNumberFormat="1" applyFont="1" applyBorder="1" applyAlignment="1" applyProtection="1">
      <alignment horizontal="right" vertical="center"/>
      <protection hidden="1"/>
    </xf>
    <xf numFmtId="10" fontId="64" fillId="0" borderId="9" xfId="24" applyNumberFormat="1" applyFont="1" applyBorder="1" applyAlignment="1" applyProtection="1">
      <alignment horizontal="center" vertical="center" wrapText="1"/>
      <protection hidden="1"/>
    </xf>
    <xf numFmtId="178" fontId="46" fillId="0" borderId="9" xfId="1" applyNumberFormat="1" applyFont="1" applyBorder="1" applyAlignment="1" applyProtection="1">
      <alignment horizontal="right" vertical="center"/>
      <protection hidden="1"/>
    </xf>
    <xf numFmtId="164" fontId="46" fillId="0" borderId="12" xfId="2" applyFont="1" applyBorder="1" applyAlignment="1" applyProtection="1">
      <alignment horizontal="right" vertical="center"/>
      <protection hidden="1"/>
    </xf>
    <xf numFmtId="164" fontId="46" fillId="0" borderId="9" xfId="2" applyFont="1" applyBorder="1" applyAlignment="1" applyProtection="1">
      <alignment horizontal="right" vertical="center"/>
      <protection hidden="1"/>
    </xf>
    <xf numFmtId="170" fontId="46" fillId="0" borderId="9" xfId="2" applyNumberFormat="1" applyFont="1" applyBorder="1" applyAlignment="1" applyProtection="1">
      <alignment horizontal="right" vertical="center"/>
      <protection hidden="1"/>
    </xf>
    <xf numFmtId="10" fontId="64" fillId="0" borderId="9" xfId="24" applyNumberFormat="1" applyFont="1" applyBorder="1" applyAlignment="1" applyProtection="1">
      <alignment horizontal="right" vertical="center" wrapText="1"/>
      <protection hidden="1"/>
    </xf>
    <xf numFmtId="0" fontId="40" fillId="0" borderId="3" xfId="0" quotePrefix="1" applyFont="1" applyBorder="1" applyAlignment="1" applyProtection="1">
      <alignment vertical="top"/>
      <protection hidden="1"/>
    </xf>
    <xf numFmtId="0" fontId="40" fillId="0" borderId="7" xfId="0" applyFont="1" applyBorder="1" applyAlignment="1" applyProtection="1">
      <alignment vertical="top" wrapText="1"/>
      <protection hidden="1"/>
    </xf>
    <xf numFmtId="0" fontId="40" fillId="0" borderId="16" xfId="0" applyFont="1" applyBorder="1" applyAlignment="1" applyProtection="1">
      <alignment vertical="top" wrapText="1"/>
      <protection hidden="1"/>
    </xf>
    <xf numFmtId="0" fontId="40" fillId="0" borderId="4" xfId="0" quotePrefix="1" applyFont="1" applyBorder="1" applyAlignment="1" applyProtection="1">
      <alignment vertical="top"/>
      <protection hidden="1"/>
    </xf>
    <xf numFmtId="0" fontId="40" fillId="0" borderId="0" xfId="0" applyFont="1" applyBorder="1" applyAlignment="1" applyProtection="1">
      <alignment vertical="top" wrapText="1"/>
      <protection hidden="1"/>
    </xf>
    <xf numFmtId="0" fontId="40" fillId="0" borderId="5" xfId="0" applyFont="1" applyBorder="1" applyAlignment="1" applyProtection="1">
      <alignment vertical="top" wrapText="1"/>
      <protection hidden="1"/>
    </xf>
    <xf numFmtId="0" fontId="40" fillId="0" borderId="0" xfId="0" quotePrefix="1" applyFont="1" applyBorder="1" applyAlignment="1" applyProtection="1">
      <alignment vertical="top" wrapText="1"/>
      <protection hidden="1"/>
    </xf>
    <xf numFmtId="0" fontId="40" fillId="0" borderId="5" xfId="0" quotePrefix="1" applyFont="1" applyBorder="1" applyAlignment="1" applyProtection="1">
      <alignment vertical="top" wrapText="1"/>
      <protection hidden="1"/>
    </xf>
    <xf numFmtId="0" fontId="40" fillId="0" borderId="4" xfId="0" applyFont="1" applyBorder="1" applyProtection="1">
      <protection hidden="1"/>
    </xf>
    <xf numFmtId="0" fontId="40" fillId="0" borderId="6" xfId="0" applyFont="1" applyBorder="1" applyProtection="1">
      <protection hidden="1"/>
    </xf>
    <xf numFmtId="0" fontId="40" fillId="0" borderId="10" xfId="0" quotePrefix="1" applyFont="1" applyBorder="1" applyAlignment="1" applyProtection="1">
      <alignment vertical="top" wrapText="1"/>
      <protection hidden="1"/>
    </xf>
    <xf numFmtId="0" fontId="40" fillId="0" borderId="11" xfId="0" quotePrefix="1" applyFont="1" applyBorder="1" applyAlignment="1" applyProtection="1">
      <alignment vertical="top" wrapText="1"/>
      <protection hidden="1"/>
    </xf>
    <xf numFmtId="0" fontId="40" fillId="0" borderId="3" xfId="0" applyFont="1" applyBorder="1" applyProtection="1">
      <protection hidden="1"/>
    </xf>
    <xf numFmtId="0" fontId="40" fillId="0" borderId="7" xfId="0" applyFont="1" applyBorder="1" applyProtection="1">
      <protection hidden="1"/>
    </xf>
    <xf numFmtId="14" fontId="40" fillId="0" borderId="0" xfId="0" applyNumberFormat="1" applyFont="1" applyAlignment="1" applyProtection="1">
      <alignment horizontal="left" vertical="center" wrapText="1"/>
      <protection locked="0"/>
    </xf>
    <xf numFmtId="176" fontId="40" fillId="0" borderId="0" xfId="0" applyNumberFormat="1" applyFont="1" applyAlignment="1" applyProtection="1">
      <alignment vertical="center" wrapText="1"/>
      <protection locked="0"/>
    </xf>
    <xf numFmtId="0" fontId="41" fillId="0" borderId="0" xfId="0" quotePrefix="1" applyFont="1" applyBorder="1" applyAlignment="1" applyProtection="1">
      <alignment horizontal="center" vertical="center" wrapText="1"/>
      <protection locked="0"/>
    </xf>
    <xf numFmtId="0" fontId="41" fillId="0" borderId="5" xfId="0" quotePrefix="1" applyFont="1" applyBorder="1" applyAlignment="1" applyProtection="1">
      <alignment horizontal="center" vertical="center" wrapText="1"/>
      <protection locked="0"/>
    </xf>
    <xf numFmtId="0" fontId="41" fillId="0" borderId="4" xfId="0" quotePrefix="1" applyFont="1" applyBorder="1" applyAlignment="1" applyProtection="1">
      <alignment horizontal="center" vertical="center" wrapText="1"/>
      <protection locked="0"/>
    </xf>
    <xf numFmtId="0" fontId="40" fillId="0" borderId="0" xfId="0" applyFont="1" applyBorder="1" applyAlignment="1" applyProtection="1">
      <alignment horizontal="center" vertical="top" wrapText="1"/>
      <protection hidden="1"/>
    </xf>
    <xf numFmtId="0" fontId="40" fillId="0" borderId="0" xfId="19" applyFont="1" applyAlignment="1" applyProtection="1">
      <alignment horizontal="left" vertical="center" wrapText="1"/>
      <protection locked="0"/>
    </xf>
    <xf numFmtId="0" fontId="40" fillId="0" borderId="0" xfId="0" applyFont="1" applyFill="1" applyAlignment="1" applyProtection="1">
      <alignment horizontal="center"/>
      <protection locked="0"/>
    </xf>
    <xf numFmtId="0" fontId="40" fillId="0" borderId="7" xfId="0" applyFont="1" applyFill="1" applyBorder="1" applyAlignment="1" applyProtection="1">
      <alignment vertical="top" wrapText="1"/>
      <protection locked="0"/>
    </xf>
    <xf numFmtId="0" fontId="40" fillId="0" borderId="7" xfId="0" applyFont="1" applyFill="1" applyBorder="1" applyAlignment="1" applyProtection="1">
      <alignment horizontal="left" vertical="top" wrapText="1"/>
      <protection locked="0"/>
    </xf>
    <xf numFmtId="0" fontId="40" fillId="0" borderId="0" xfId="0" quotePrefix="1" applyFont="1" applyFill="1" applyBorder="1" applyAlignment="1" applyProtection="1">
      <alignment vertical="center"/>
      <protection locked="0"/>
    </xf>
    <xf numFmtId="0" fontId="40" fillId="0" borderId="50" xfId="0" applyFont="1" applyBorder="1" applyProtection="1">
      <protection locked="0"/>
    </xf>
    <xf numFmtId="0" fontId="40" fillId="0" borderId="66" xfId="0" applyFont="1" applyBorder="1" applyProtection="1">
      <protection locked="0"/>
    </xf>
    <xf numFmtId="0" fontId="40" fillId="0" borderId="67" xfId="0" applyFont="1" applyBorder="1" applyProtection="1">
      <protection locked="0"/>
    </xf>
    <xf numFmtId="0" fontId="41" fillId="0" borderId="0" xfId="0" applyFont="1" applyFill="1" applyBorder="1" applyAlignment="1" applyProtection="1">
      <alignment horizontal="center" vertical="center"/>
      <protection locked="0"/>
    </xf>
    <xf numFmtId="175" fontId="41" fillId="0" borderId="0" xfId="0" applyNumberFormat="1" applyFont="1" applyFill="1" applyBorder="1" applyAlignment="1" applyProtection="1">
      <alignment horizontal="center" vertical="center" wrapText="1"/>
      <protection locked="0"/>
    </xf>
    <xf numFmtId="0" fontId="40" fillId="0" borderId="0" xfId="0" applyFont="1" applyFill="1" applyBorder="1" applyAlignment="1" applyProtection="1">
      <protection locked="0"/>
    </xf>
    <xf numFmtId="0" fontId="40" fillId="0" borderId="0" xfId="0" applyFont="1" applyBorder="1" applyAlignment="1" applyProtection="1">
      <alignment wrapText="1"/>
      <protection locked="0"/>
    </xf>
    <xf numFmtId="0" fontId="43" fillId="0" borderId="0" xfId="18" applyFont="1" applyBorder="1" applyAlignment="1" applyProtection="1">
      <alignment vertical="top" wrapText="1"/>
      <protection locked="0"/>
    </xf>
    <xf numFmtId="0" fontId="40" fillId="17" borderId="9" xfId="0" applyFont="1" applyFill="1" applyBorder="1" applyAlignment="1" applyProtection="1">
      <alignment vertical="center" wrapText="1"/>
      <protection hidden="1"/>
    </xf>
    <xf numFmtId="0" fontId="40" fillId="17" borderId="22" xfId="0" applyFont="1" applyFill="1" applyBorder="1" applyAlignment="1" applyProtection="1">
      <alignment vertical="center" wrapText="1"/>
      <protection hidden="1"/>
    </xf>
    <xf numFmtId="0" fontId="40" fillId="17" borderId="12" xfId="0" applyFont="1" applyFill="1" applyBorder="1" applyAlignment="1" applyProtection="1">
      <alignment vertical="center" wrapText="1"/>
      <protection hidden="1"/>
    </xf>
    <xf numFmtId="0" fontId="41" fillId="0" borderId="0" xfId="0" applyFont="1" applyFill="1" applyBorder="1" applyAlignment="1" applyProtection="1">
      <alignment vertical="top" wrapText="1"/>
      <protection hidden="1"/>
    </xf>
    <xf numFmtId="0" fontId="41" fillId="0" borderId="9" xfId="0" applyFont="1" applyFill="1" applyBorder="1" applyAlignment="1" applyProtection="1">
      <alignment horizontal="center" vertical="top" wrapText="1"/>
      <protection hidden="1"/>
    </xf>
    <xf numFmtId="0" fontId="41" fillId="0" borderId="22" xfId="0" applyFont="1" applyFill="1" applyBorder="1" applyAlignment="1" applyProtection="1">
      <alignment horizontal="center" vertical="top" wrapText="1"/>
      <protection hidden="1"/>
    </xf>
    <xf numFmtId="0" fontId="41" fillId="0" borderId="12" xfId="0" applyFont="1" applyFill="1" applyBorder="1" applyAlignment="1" applyProtection="1">
      <alignment horizontal="center" vertical="top" wrapText="1"/>
      <protection hidden="1"/>
    </xf>
    <xf numFmtId="0" fontId="45" fillId="0" borderId="0" xfId="0" applyFont="1" applyBorder="1" applyAlignment="1" applyProtection="1">
      <alignment horizontal="center" vertical="top" wrapText="1"/>
      <protection hidden="1"/>
    </xf>
    <xf numFmtId="0" fontId="61" fillId="0" borderId="0" xfId="0" applyFont="1" applyBorder="1" applyAlignment="1" applyProtection="1">
      <alignment horizontal="center"/>
      <protection hidden="1"/>
    </xf>
    <xf numFmtId="0" fontId="61" fillId="0" borderId="0" xfId="0" applyFont="1" applyBorder="1" applyAlignment="1" applyProtection="1">
      <alignment horizontal="center" vertical="center" wrapText="1"/>
      <protection hidden="1"/>
    </xf>
    <xf numFmtId="0" fontId="72" fillId="0" borderId="0" xfId="0" applyFont="1" applyBorder="1" applyAlignment="1" applyProtection="1">
      <alignment horizontal="center"/>
      <protection hidden="1"/>
    </xf>
    <xf numFmtId="0" fontId="41" fillId="0" borderId="0" xfId="0" applyFont="1" applyBorder="1" applyProtection="1">
      <protection hidden="1"/>
    </xf>
    <xf numFmtId="0" fontId="40" fillId="0" borderId="0" xfId="0" applyFont="1" applyBorder="1" applyProtection="1">
      <protection hidden="1"/>
    </xf>
    <xf numFmtId="0" fontId="40" fillId="0" borderId="0" xfId="0" applyFont="1" applyFill="1" applyBorder="1" applyAlignment="1" applyProtection="1">
      <alignment horizontal="center" vertical="center"/>
      <protection hidden="1"/>
    </xf>
    <xf numFmtId="0" fontId="46" fillId="0" borderId="0" xfId="0" applyFont="1" applyFill="1" applyBorder="1" applyAlignment="1" applyProtection="1">
      <alignment horizontal="left" vertical="center" wrapText="1"/>
      <protection hidden="1"/>
    </xf>
    <xf numFmtId="0" fontId="46" fillId="0" borderId="0" xfId="0" quotePrefix="1" applyFont="1" applyBorder="1" applyAlignment="1" applyProtection="1">
      <alignment vertical="top" wrapText="1"/>
      <protection hidden="1"/>
    </xf>
    <xf numFmtId="0" fontId="42" fillId="0" borderId="0" xfId="0" applyFont="1" applyProtection="1">
      <protection hidden="1"/>
    </xf>
    <xf numFmtId="0" fontId="36" fillId="0" borderId="0" xfId="0" applyFont="1" applyProtection="1">
      <protection hidden="1"/>
    </xf>
    <xf numFmtId="0" fontId="41" fillId="0" borderId="0" xfId="0" applyFont="1" applyFill="1" applyBorder="1" applyAlignment="1" applyProtection="1">
      <alignment horizontal="center" vertical="center"/>
      <protection hidden="1"/>
    </xf>
    <xf numFmtId="175" fontId="61" fillId="0" borderId="45" xfId="0" applyNumberFormat="1" applyFont="1" applyFill="1" applyBorder="1" applyAlignment="1" applyProtection="1">
      <alignment horizontal="center" vertical="center" wrapText="1"/>
      <protection hidden="1"/>
    </xf>
    <xf numFmtId="0" fontId="8" fillId="0" borderId="0" xfId="0" applyFont="1" applyFill="1" applyBorder="1" applyAlignment="1" applyProtection="1">
      <alignment horizontal="center"/>
      <protection hidden="1"/>
    </xf>
    <xf numFmtId="0" fontId="8" fillId="0" borderId="47" xfId="0" applyFont="1" applyFill="1" applyBorder="1" applyAlignment="1" applyProtection="1">
      <alignment horizontal="center"/>
      <protection hidden="1"/>
    </xf>
    <xf numFmtId="175" fontId="41" fillId="0" borderId="0" xfId="0" applyNumberFormat="1" applyFont="1" applyFill="1" applyBorder="1" applyAlignment="1" applyProtection="1">
      <alignment horizontal="center" vertical="center" wrapText="1"/>
      <protection hidden="1"/>
    </xf>
    <xf numFmtId="0" fontId="16" fillId="0" borderId="0" xfId="0" applyFont="1" applyFill="1" applyBorder="1" applyAlignment="1" applyProtection="1">
      <alignment horizontal="center" vertical="center" wrapText="1"/>
      <protection hidden="1"/>
    </xf>
    <xf numFmtId="9" fontId="45" fillId="0" borderId="0" xfId="18" applyNumberFormat="1" applyFont="1" applyBorder="1" applyAlignment="1" applyProtection="1">
      <alignment horizontal="left" vertical="top" wrapText="1"/>
      <protection locked="0"/>
    </xf>
    <xf numFmtId="0" fontId="40" fillId="9" borderId="52" xfId="0" applyFont="1" applyFill="1" applyBorder="1" applyProtection="1">
      <protection locked="0"/>
    </xf>
    <xf numFmtId="0" fontId="40" fillId="9" borderId="0" xfId="0" applyFont="1" applyFill="1" applyBorder="1" applyProtection="1">
      <protection locked="0"/>
    </xf>
    <xf numFmtId="0" fontId="40" fillId="9" borderId="0" xfId="0" applyFont="1" applyFill="1" applyBorder="1" applyAlignment="1" applyProtection="1">
      <alignment vertical="top" wrapText="1"/>
      <protection locked="0"/>
    </xf>
    <xf numFmtId="0" fontId="40" fillId="9" borderId="0" xfId="0" applyFont="1" applyFill="1" applyBorder="1" applyAlignment="1" applyProtection="1">
      <protection locked="0"/>
    </xf>
    <xf numFmtId="0" fontId="40" fillId="9" borderId="73" xfId="0" applyFont="1" applyFill="1" applyBorder="1" applyProtection="1">
      <protection locked="0"/>
    </xf>
    <xf numFmtId="0" fontId="40" fillId="9" borderId="74" xfId="0" applyFont="1" applyFill="1" applyBorder="1" applyProtection="1">
      <protection locked="0"/>
    </xf>
    <xf numFmtId="0" fontId="41" fillId="9" borderId="4" xfId="0" applyFont="1" applyFill="1" applyBorder="1" applyProtection="1">
      <protection locked="0"/>
    </xf>
    <xf numFmtId="0" fontId="40" fillId="9" borderId="5" xfId="0" applyFont="1" applyFill="1" applyBorder="1" applyProtection="1">
      <protection locked="0"/>
    </xf>
    <xf numFmtId="0" fontId="40" fillId="9" borderId="4" xfId="0" applyFont="1" applyFill="1" applyBorder="1" applyProtection="1">
      <protection locked="0"/>
    </xf>
    <xf numFmtId="0" fontId="40" fillId="9" borderId="5" xfId="0" applyFont="1" applyFill="1" applyBorder="1" applyAlignment="1" applyProtection="1">
      <protection locked="0"/>
    </xf>
    <xf numFmtId="0" fontId="40" fillId="9" borderId="6" xfId="0" applyFont="1" applyFill="1" applyBorder="1" applyProtection="1">
      <protection locked="0"/>
    </xf>
    <xf numFmtId="0" fontId="40" fillId="9" borderId="10" xfId="0" applyFont="1" applyFill="1" applyBorder="1" applyAlignment="1" applyProtection="1">
      <alignment horizontal="left" vertical="top" wrapText="1"/>
      <protection locked="0"/>
    </xf>
    <xf numFmtId="0" fontId="40" fillId="9" borderId="10" xfId="0" applyFont="1" applyFill="1" applyBorder="1" applyAlignment="1" applyProtection="1">
      <protection locked="0"/>
    </xf>
    <xf numFmtId="0" fontId="40" fillId="9" borderId="11" xfId="0" applyFont="1" applyFill="1" applyBorder="1" applyAlignment="1" applyProtection="1">
      <protection locked="0"/>
    </xf>
    <xf numFmtId="178" fontId="72" fillId="0" borderId="8" xfId="1" applyNumberFormat="1" applyFont="1" applyBorder="1" applyAlignment="1" applyProtection="1">
      <alignment vertical="center" wrapText="1"/>
      <protection hidden="1"/>
    </xf>
    <xf numFmtId="178" fontId="72" fillId="5" borderId="8" xfId="1" applyNumberFormat="1" applyFont="1" applyFill="1" applyBorder="1" applyAlignment="1" applyProtection="1">
      <alignment horizontal="center" vertical="center" wrapText="1"/>
      <protection hidden="1"/>
    </xf>
    <xf numFmtId="9" fontId="73" fillId="16" borderId="6" xfId="24" applyFont="1" applyFill="1" applyBorder="1" applyAlignment="1" applyProtection="1">
      <alignment horizontal="center" vertical="center" wrapText="1"/>
      <protection hidden="1"/>
    </xf>
    <xf numFmtId="0" fontId="72" fillId="0" borderId="9" xfId="0" applyFont="1" applyBorder="1" applyAlignment="1" applyProtection="1">
      <alignment vertical="center" wrapText="1"/>
      <protection hidden="1"/>
    </xf>
    <xf numFmtId="0" fontId="73" fillId="0" borderId="8" xfId="0" applyFont="1" applyBorder="1" applyAlignment="1" applyProtection="1">
      <alignment vertical="center" wrapText="1"/>
      <protection hidden="1"/>
    </xf>
    <xf numFmtId="165" fontId="72" fillId="0" borderId="12" xfId="1" applyFont="1" applyFill="1" applyBorder="1" applyAlignment="1" applyProtection="1">
      <alignment horizontal="center" vertical="center"/>
      <protection hidden="1"/>
    </xf>
    <xf numFmtId="165" fontId="72" fillId="0" borderId="22" xfId="1" applyFont="1" applyFill="1" applyBorder="1" applyAlignment="1" applyProtection="1">
      <alignment horizontal="center" vertical="center"/>
      <protection hidden="1"/>
    </xf>
    <xf numFmtId="10" fontId="72" fillId="0" borderId="8" xfId="24" applyNumberFormat="1" applyFont="1" applyFill="1" applyBorder="1" applyAlignment="1" applyProtection="1">
      <alignment horizontal="center" vertical="center"/>
      <protection hidden="1"/>
    </xf>
    <xf numFmtId="165" fontId="73" fillId="13" borderId="12" xfId="1" applyNumberFormat="1" applyFont="1" applyFill="1" applyBorder="1" applyAlignment="1" applyProtection="1">
      <alignment horizontal="right" vertical="center"/>
      <protection hidden="1"/>
    </xf>
    <xf numFmtId="165" fontId="73" fillId="13" borderId="22" xfId="1" applyNumberFormat="1" applyFont="1" applyFill="1" applyBorder="1" applyAlignment="1" applyProtection="1">
      <alignment horizontal="right" vertical="center"/>
      <protection hidden="1"/>
    </xf>
    <xf numFmtId="10" fontId="72" fillId="13" borderId="8" xfId="24" applyNumberFormat="1" applyFont="1" applyFill="1" applyBorder="1" applyAlignment="1" applyProtection="1">
      <alignment horizontal="center" vertical="center"/>
      <protection hidden="1"/>
    </xf>
    <xf numFmtId="178" fontId="73" fillId="13" borderId="12" xfId="1" applyNumberFormat="1" applyFont="1" applyFill="1" applyBorder="1" applyAlignment="1" applyProtection="1">
      <alignment horizontal="right" vertical="center"/>
      <protection hidden="1"/>
    </xf>
    <xf numFmtId="178" fontId="73" fillId="13" borderId="8" xfId="1" applyNumberFormat="1" applyFont="1" applyFill="1" applyBorder="1" applyAlignment="1" applyProtection="1">
      <alignment horizontal="right" vertical="center"/>
      <protection hidden="1"/>
    </xf>
    <xf numFmtId="178" fontId="73" fillId="13" borderId="9" xfId="1" applyNumberFormat="1" applyFont="1" applyFill="1" applyBorder="1" applyAlignment="1" applyProtection="1">
      <alignment horizontal="right" vertical="center"/>
      <protection hidden="1"/>
    </xf>
    <xf numFmtId="164" fontId="72" fillId="0" borderId="12" xfId="2" applyFont="1" applyFill="1" applyBorder="1" applyAlignment="1" applyProtection="1">
      <alignment horizontal="center" vertical="center"/>
      <protection hidden="1"/>
    </xf>
    <xf numFmtId="164" fontId="72" fillId="0" borderId="22" xfId="2" applyFont="1" applyFill="1" applyBorder="1" applyAlignment="1" applyProtection="1">
      <alignment horizontal="center" vertical="center"/>
      <protection hidden="1"/>
    </xf>
    <xf numFmtId="164" fontId="73" fillId="13" borderId="12" xfId="2" applyFont="1" applyFill="1" applyBorder="1" applyAlignment="1" applyProtection="1">
      <alignment horizontal="right" vertical="center"/>
      <protection hidden="1"/>
    </xf>
    <xf numFmtId="164" fontId="73" fillId="13" borderId="22" xfId="2" applyFont="1" applyFill="1" applyBorder="1" applyAlignment="1" applyProtection="1">
      <alignment horizontal="right" vertical="center"/>
      <protection hidden="1"/>
    </xf>
    <xf numFmtId="170" fontId="72" fillId="0" borderId="8" xfId="0" applyNumberFormat="1" applyFont="1" applyBorder="1" applyAlignment="1" applyProtection="1">
      <protection hidden="1"/>
    </xf>
    <xf numFmtId="9" fontId="72" fillId="13" borderId="8" xfId="24" applyFont="1" applyFill="1" applyBorder="1" applyAlignment="1" applyProtection="1">
      <alignment horizontal="center" vertical="center"/>
      <protection hidden="1"/>
    </xf>
    <xf numFmtId="164" fontId="73" fillId="13" borderId="12" xfId="2" applyFont="1" applyFill="1" applyBorder="1" applyProtection="1">
      <protection hidden="1"/>
    </xf>
    <xf numFmtId="164" fontId="73" fillId="13" borderId="22" xfId="2" applyFont="1" applyFill="1" applyBorder="1" applyProtection="1">
      <protection hidden="1"/>
    </xf>
    <xf numFmtId="0" fontId="73" fillId="2" borderId="8" xfId="0" applyNumberFormat="1" applyFont="1" applyFill="1" applyBorder="1" applyAlignment="1" applyProtection="1">
      <alignment horizontal="center" vertical="center"/>
      <protection hidden="1"/>
    </xf>
    <xf numFmtId="164" fontId="74" fillId="4" borderId="12" xfId="2" applyFont="1" applyFill="1" applyBorder="1" applyAlignment="1" applyProtection="1">
      <alignment vertical="center"/>
      <protection hidden="1"/>
    </xf>
    <xf numFmtId="164" fontId="74" fillId="4" borderId="22" xfId="2" applyFont="1" applyFill="1" applyBorder="1" applyAlignment="1" applyProtection="1">
      <alignment vertical="center"/>
      <protection hidden="1"/>
    </xf>
    <xf numFmtId="10" fontId="75" fillId="19" borderId="8" xfId="24" applyNumberFormat="1" applyFont="1" applyFill="1" applyBorder="1" applyAlignment="1" applyProtection="1">
      <alignment horizontal="center" vertical="center"/>
      <protection hidden="1"/>
    </xf>
    <xf numFmtId="164" fontId="74" fillId="4" borderId="75" xfId="2" applyFont="1" applyFill="1" applyBorder="1" applyAlignment="1" applyProtection="1">
      <alignment horizontal="right" vertical="center"/>
      <protection hidden="1"/>
    </xf>
    <xf numFmtId="164" fontId="74" fillId="4" borderId="76" xfId="2" applyFont="1" applyFill="1" applyBorder="1" applyAlignment="1" applyProtection="1">
      <alignment horizontal="right" vertical="center"/>
      <protection hidden="1"/>
    </xf>
    <xf numFmtId="10" fontId="75" fillId="19" borderId="77" xfId="24" applyNumberFormat="1" applyFont="1" applyFill="1" applyBorder="1" applyAlignment="1" applyProtection="1">
      <alignment horizontal="center" vertical="center"/>
      <protection hidden="1"/>
    </xf>
    <xf numFmtId="164" fontId="74" fillId="4" borderId="12" xfId="2" applyFont="1" applyFill="1" applyBorder="1" applyAlignment="1" applyProtection="1">
      <alignment horizontal="right" vertical="center"/>
      <protection hidden="1"/>
    </xf>
    <xf numFmtId="164" fontId="74" fillId="4" borderId="22" xfId="2" applyFont="1" applyFill="1" applyBorder="1" applyAlignment="1" applyProtection="1">
      <alignment horizontal="right" vertical="center"/>
      <protection hidden="1"/>
    </xf>
    <xf numFmtId="178" fontId="72" fillId="0" borderId="12" xfId="1" applyNumberFormat="1" applyFont="1" applyBorder="1" applyAlignment="1" applyProtection="1">
      <alignment horizontal="right" vertical="center"/>
      <protection hidden="1"/>
    </xf>
    <xf numFmtId="10" fontId="72" fillId="0" borderId="9" xfId="24" applyNumberFormat="1" applyFont="1" applyBorder="1" applyAlignment="1" applyProtection="1">
      <alignment horizontal="center" vertical="center" wrapText="1"/>
      <protection hidden="1"/>
    </xf>
    <xf numFmtId="10" fontId="72" fillId="13" borderId="9" xfId="24" applyNumberFormat="1" applyFont="1" applyFill="1" applyBorder="1" applyAlignment="1" applyProtection="1">
      <alignment horizontal="center" vertical="center" wrapText="1"/>
      <protection hidden="1"/>
    </xf>
    <xf numFmtId="178" fontId="73" fillId="13" borderId="12" xfId="1" applyNumberFormat="1" applyFont="1" applyFill="1" applyBorder="1" applyProtection="1">
      <protection hidden="1"/>
    </xf>
    <xf numFmtId="178" fontId="73" fillId="13" borderId="8" xfId="1" applyNumberFormat="1" applyFont="1" applyFill="1" applyBorder="1" applyProtection="1">
      <protection hidden="1"/>
    </xf>
    <xf numFmtId="165" fontId="72" fillId="0" borderId="12" xfId="1" applyFont="1" applyBorder="1" applyAlignment="1" applyProtection="1">
      <alignment horizontal="right" vertical="center"/>
      <protection hidden="1"/>
    </xf>
    <xf numFmtId="164" fontId="74" fillId="4" borderId="75" xfId="2" applyFont="1" applyFill="1" applyBorder="1" applyProtection="1">
      <protection hidden="1"/>
    </xf>
    <xf numFmtId="164" fontId="74" fillId="4" borderId="77" xfId="2" applyFont="1" applyFill="1" applyBorder="1" applyProtection="1">
      <protection hidden="1"/>
    </xf>
    <xf numFmtId="10" fontId="75" fillId="19" borderId="77" xfId="24" applyNumberFormat="1" applyFont="1" applyFill="1" applyBorder="1" applyAlignment="1" applyProtection="1">
      <alignment horizontal="center" vertical="center" wrapText="1"/>
      <protection hidden="1"/>
    </xf>
    <xf numFmtId="10" fontId="72" fillId="0" borderId="8" xfId="24" applyNumberFormat="1" applyFont="1" applyFill="1" applyBorder="1" applyAlignment="1" applyProtection="1">
      <alignment vertical="center"/>
      <protection hidden="1"/>
    </xf>
    <xf numFmtId="2" fontId="72" fillId="0" borderId="8" xfId="24" applyNumberFormat="1" applyFont="1" applyFill="1" applyBorder="1" applyAlignment="1" applyProtection="1">
      <alignment vertical="center"/>
      <protection hidden="1"/>
    </xf>
    <xf numFmtId="178" fontId="72" fillId="0" borderId="8" xfId="1" applyNumberFormat="1" applyFont="1" applyBorder="1" applyAlignment="1" applyProtection="1">
      <alignment horizontal="center" vertical="center" wrapText="1"/>
      <protection hidden="1"/>
    </xf>
    <xf numFmtId="165" fontId="72" fillId="0" borderId="8" xfId="1" applyFont="1" applyBorder="1" applyAlignment="1" applyProtection="1">
      <alignment horizontal="center" vertical="center" wrapText="1"/>
      <protection hidden="1"/>
    </xf>
    <xf numFmtId="178" fontId="72" fillId="0" borderId="8" xfId="0" applyNumberFormat="1" applyFont="1" applyBorder="1" applyAlignment="1" applyProtection="1">
      <alignment vertical="top" wrapText="1"/>
      <protection hidden="1"/>
    </xf>
    <xf numFmtId="178" fontId="72" fillId="0" borderId="8" xfId="1" applyNumberFormat="1" applyFont="1" applyBorder="1" applyAlignment="1" applyProtection="1">
      <alignment vertical="top" wrapText="1"/>
      <protection hidden="1"/>
    </xf>
    <xf numFmtId="9" fontId="72" fillId="0" borderId="8" xfId="24" applyFont="1" applyBorder="1" applyAlignment="1" applyProtection="1">
      <alignment horizontal="center" vertical="center" wrapText="1"/>
      <protection hidden="1"/>
    </xf>
    <xf numFmtId="178" fontId="72" fillId="5" borderId="8" xfId="1" applyNumberFormat="1" applyFont="1" applyFill="1" applyBorder="1" applyAlignment="1" applyProtection="1">
      <alignment vertical="center" wrapText="1"/>
      <protection hidden="1"/>
    </xf>
    <xf numFmtId="9" fontId="72" fillId="5" borderId="8" xfId="24" applyFont="1" applyFill="1" applyBorder="1" applyAlignment="1" applyProtection="1">
      <alignment horizontal="center" vertical="center" wrapText="1"/>
      <protection hidden="1"/>
    </xf>
    <xf numFmtId="0" fontId="72" fillId="5" borderId="8" xfId="0" applyFont="1" applyFill="1" applyBorder="1" applyAlignment="1" applyProtection="1">
      <alignment horizontal="center" vertical="center" wrapText="1"/>
      <protection hidden="1"/>
    </xf>
    <xf numFmtId="178" fontId="73" fillId="16" borderId="8" xfId="1" applyNumberFormat="1" applyFont="1" applyFill="1" applyBorder="1" applyAlignment="1" applyProtection="1">
      <alignment vertical="center" wrapText="1"/>
      <protection hidden="1"/>
    </xf>
    <xf numFmtId="0" fontId="73" fillId="2" borderId="13" xfId="0" applyFont="1" applyFill="1" applyBorder="1" applyAlignment="1" applyProtection="1">
      <alignment horizontal="center" vertical="center"/>
      <protection hidden="1"/>
    </xf>
    <xf numFmtId="0" fontId="72" fillId="2" borderId="0" xfId="0" applyFont="1" applyFill="1" applyBorder="1" applyProtection="1">
      <protection hidden="1"/>
    </xf>
    <xf numFmtId="10" fontId="72" fillId="0" borderId="8" xfId="0" applyNumberFormat="1" applyFont="1" applyBorder="1" applyAlignment="1" applyProtection="1">
      <alignment horizontal="center" vertical="center"/>
      <protection hidden="1"/>
    </xf>
    <xf numFmtId="10" fontId="72" fillId="0" borderId="8" xfId="0" applyNumberFormat="1" applyFont="1" applyFill="1" applyBorder="1" applyAlignment="1" applyProtection="1">
      <alignment horizontal="center" vertical="center" wrapText="1"/>
      <protection hidden="1"/>
    </xf>
    <xf numFmtId="2" fontId="72" fillId="0" borderId="8" xfId="24" applyNumberFormat="1" applyFont="1" applyBorder="1" applyAlignment="1" applyProtection="1">
      <alignment horizontal="center" vertical="center"/>
      <protection hidden="1"/>
    </xf>
    <xf numFmtId="178" fontId="72" fillId="0" borderId="8" xfId="1" applyNumberFormat="1" applyFont="1" applyBorder="1" applyAlignment="1" applyProtection="1">
      <alignment horizontal="right" vertical="center"/>
      <protection hidden="1"/>
    </xf>
    <xf numFmtId="10" fontId="73" fillId="0" borderId="22" xfId="24" applyNumberFormat="1" applyFont="1" applyFill="1" applyBorder="1" applyAlignment="1" applyProtection="1">
      <alignment horizontal="right" vertical="center" wrapText="1"/>
      <protection hidden="1"/>
    </xf>
    <xf numFmtId="10" fontId="73" fillId="13" borderId="22" xfId="24" applyNumberFormat="1" applyFont="1" applyFill="1" applyBorder="1" applyAlignment="1" applyProtection="1">
      <alignment horizontal="right" vertical="center" wrapText="1"/>
      <protection hidden="1"/>
    </xf>
    <xf numFmtId="178" fontId="72" fillId="0" borderId="8" xfId="1" applyNumberFormat="1" applyFont="1" applyBorder="1" applyAlignment="1" applyProtection="1">
      <alignment vertical="center"/>
      <protection hidden="1"/>
    </xf>
    <xf numFmtId="178" fontId="73" fillId="13" borderId="12" xfId="1" applyNumberFormat="1" applyFont="1" applyFill="1" applyBorder="1" applyAlignment="1" applyProtection="1">
      <alignment vertical="center"/>
      <protection hidden="1"/>
    </xf>
    <xf numFmtId="178" fontId="72" fillId="0" borderId="12" xfId="1" applyNumberFormat="1" applyFont="1" applyBorder="1" applyAlignment="1" applyProtection="1">
      <alignment vertical="center"/>
      <protection hidden="1"/>
    </xf>
    <xf numFmtId="178" fontId="72" fillId="13" borderId="12" xfId="1" applyNumberFormat="1" applyFont="1" applyFill="1" applyBorder="1" applyAlignment="1" applyProtection="1">
      <alignment horizontal="right" vertical="center"/>
      <protection hidden="1"/>
    </xf>
    <xf numFmtId="178" fontId="74" fillId="4" borderId="59" xfId="2" applyNumberFormat="1" applyFont="1" applyFill="1" applyBorder="1" applyAlignment="1" applyProtection="1">
      <alignment vertical="center"/>
      <protection hidden="1"/>
    </xf>
    <xf numFmtId="178" fontId="74" fillId="4" borderId="77" xfId="2" applyNumberFormat="1" applyFont="1" applyFill="1" applyBorder="1" applyAlignment="1" applyProtection="1">
      <alignment vertical="center"/>
      <protection hidden="1"/>
    </xf>
    <xf numFmtId="10" fontId="74" fillId="4" borderId="78" xfId="24" applyNumberFormat="1" applyFont="1" applyFill="1" applyBorder="1" applyAlignment="1" applyProtection="1">
      <alignment horizontal="right" vertical="center" wrapText="1"/>
      <protection hidden="1"/>
    </xf>
    <xf numFmtId="178" fontId="72" fillId="0" borderId="8" xfId="1" applyNumberFormat="1" applyFont="1" applyFill="1" applyBorder="1" applyAlignment="1" applyProtection="1">
      <alignment horizontal="center" vertical="center"/>
      <protection hidden="1"/>
    </xf>
    <xf numFmtId="178" fontId="72" fillId="13" borderId="8" xfId="1" applyNumberFormat="1" applyFont="1" applyFill="1" applyBorder="1" applyAlignment="1" applyProtection="1">
      <alignment horizontal="right" vertical="center"/>
      <protection hidden="1"/>
    </xf>
    <xf numFmtId="165" fontId="72" fillId="0" borderId="8" xfId="2" applyNumberFormat="1" applyFont="1" applyBorder="1" applyAlignment="1" applyProtection="1">
      <alignment horizontal="right" vertical="center"/>
      <protection hidden="1"/>
    </xf>
    <xf numFmtId="165" fontId="72" fillId="0" borderId="8" xfId="0" applyNumberFormat="1" applyFont="1" applyBorder="1" applyAlignment="1" applyProtection="1">
      <alignment horizontal="right" vertical="center" wrapText="1"/>
      <protection hidden="1"/>
    </xf>
    <xf numFmtId="170" fontId="72" fillId="0" borderId="8" xfId="2" applyNumberFormat="1" applyFont="1" applyBorder="1" applyAlignment="1" applyProtection="1">
      <alignment horizontal="right" vertical="center"/>
      <protection hidden="1"/>
    </xf>
    <xf numFmtId="10" fontId="72" fillId="0" borderId="8" xfId="0" applyNumberFormat="1" applyFont="1" applyBorder="1" applyAlignment="1" applyProtection="1">
      <alignment horizontal="right" vertical="center" wrapText="1"/>
      <protection hidden="1"/>
    </xf>
    <xf numFmtId="178" fontId="73" fillId="13" borderId="8" xfId="1" applyNumberFormat="1" applyFont="1" applyFill="1" applyBorder="1" applyAlignment="1" applyProtection="1">
      <alignment vertical="center"/>
      <protection hidden="1"/>
    </xf>
    <xf numFmtId="178" fontId="74" fillId="4" borderId="8" xfId="1" applyNumberFormat="1" applyFont="1" applyFill="1" applyBorder="1" applyAlignment="1" applyProtection="1">
      <alignment horizontal="right" vertical="center"/>
      <protection hidden="1"/>
    </xf>
    <xf numFmtId="178" fontId="74" fillId="4" borderId="8" xfId="1" applyNumberFormat="1" applyFont="1" applyFill="1" applyBorder="1" applyAlignment="1" applyProtection="1">
      <alignment vertical="center"/>
      <protection hidden="1"/>
    </xf>
    <xf numFmtId="10" fontId="72" fillId="5" borderId="12" xfId="0" applyNumberFormat="1" applyFont="1" applyFill="1" applyBorder="1" applyAlignment="1" applyProtection="1">
      <alignment horizontal="center" vertical="center"/>
      <protection hidden="1"/>
    </xf>
    <xf numFmtId="10" fontId="72" fillId="5" borderId="22" xfId="0" applyNumberFormat="1" applyFont="1" applyFill="1" applyBorder="1" applyAlignment="1" applyProtection="1">
      <alignment horizontal="center" vertical="center"/>
      <protection hidden="1"/>
    </xf>
    <xf numFmtId="10" fontId="72" fillId="0" borderId="19" xfId="0" applyNumberFormat="1" applyFont="1" applyBorder="1" applyAlignment="1" applyProtection="1">
      <alignment horizontal="center" vertical="center"/>
      <protection hidden="1"/>
    </xf>
    <xf numFmtId="10" fontId="72" fillId="5" borderId="8" xfId="0" applyNumberFormat="1" applyFont="1" applyFill="1" applyBorder="1" applyAlignment="1" applyProtection="1">
      <alignment horizontal="center" vertical="center"/>
      <protection hidden="1"/>
    </xf>
    <xf numFmtId="10" fontId="72" fillId="5" borderId="9" xfId="0" applyNumberFormat="1" applyFont="1" applyFill="1" applyBorder="1" applyAlignment="1" applyProtection="1">
      <alignment horizontal="center" vertical="center"/>
      <protection hidden="1"/>
    </xf>
    <xf numFmtId="10" fontId="72" fillId="5" borderId="60" xfId="0" applyNumberFormat="1" applyFont="1" applyFill="1" applyBorder="1" applyAlignment="1" applyProtection="1">
      <alignment horizontal="center" vertical="center"/>
      <protection hidden="1"/>
    </xf>
    <xf numFmtId="10" fontId="72" fillId="5" borderId="48" xfId="0" applyNumberFormat="1" applyFont="1" applyFill="1" applyBorder="1" applyAlignment="1" applyProtection="1">
      <alignment horizontal="center" vertical="center"/>
      <protection hidden="1"/>
    </xf>
    <xf numFmtId="10" fontId="72" fillId="0" borderId="20" xfId="0" applyNumberFormat="1" applyFont="1" applyBorder="1" applyAlignment="1" applyProtection="1">
      <alignment horizontal="center" vertical="center"/>
      <protection hidden="1"/>
    </xf>
    <xf numFmtId="10" fontId="72" fillId="0" borderId="0" xfId="0" applyNumberFormat="1" applyFont="1" applyFill="1" applyBorder="1" applyAlignment="1" applyProtection="1">
      <alignment horizontal="center" vertical="center"/>
      <protection hidden="1"/>
    </xf>
    <xf numFmtId="10" fontId="72" fillId="0" borderId="0" xfId="0" applyNumberFormat="1" applyFont="1" applyBorder="1" applyAlignment="1" applyProtection="1">
      <alignment horizontal="center" vertical="center"/>
      <protection hidden="1"/>
    </xf>
    <xf numFmtId="10" fontId="72" fillId="5" borderId="79" xfId="0" applyNumberFormat="1" applyFont="1" applyFill="1" applyBorder="1" applyAlignment="1" applyProtection="1">
      <alignment horizontal="center" vertical="center"/>
      <protection hidden="1"/>
    </xf>
    <xf numFmtId="10" fontId="72" fillId="5" borderId="71" xfId="0" applyNumberFormat="1" applyFont="1" applyFill="1" applyBorder="1" applyAlignment="1" applyProtection="1">
      <alignment horizontal="center" vertical="center"/>
      <protection hidden="1"/>
    </xf>
    <xf numFmtId="10" fontId="72" fillId="5" borderId="80" xfId="0" applyNumberFormat="1" applyFont="1" applyFill="1" applyBorder="1" applyAlignment="1" applyProtection="1">
      <alignment horizontal="center" vertical="center"/>
      <protection hidden="1"/>
    </xf>
    <xf numFmtId="10" fontId="72" fillId="0" borderId="17" xfId="0" applyNumberFormat="1" applyFont="1" applyBorder="1" applyAlignment="1" applyProtection="1">
      <alignment horizontal="center" vertical="center"/>
      <protection hidden="1"/>
    </xf>
    <xf numFmtId="10" fontId="72" fillId="5" borderId="58" xfId="0" applyNumberFormat="1" applyFont="1" applyFill="1" applyBorder="1" applyAlignment="1" applyProtection="1">
      <alignment horizontal="center" vertical="center"/>
      <protection hidden="1"/>
    </xf>
    <xf numFmtId="10" fontId="72" fillId="5" borderId="55" xfId="0" applyNumberFormat="1" applyFont="1" applyFill="1" applyBorder="1" applyAlignment="1" applyProtection="1">
      <alignment horizontal="center" vertical="center"/>
      <protection hidden="1"/>
    </xf>
    <xf numFmtId="0" fontId="78" fillId="0" borderId="0" xfId="21" applyFont="1" applyAlignment="1"/>
    <xf numFmtId="180" fontId="80" fillId="0" borderId="0" xfId="8" applyNumberFormat="1" applyFont="1" applyAlignment="1"/>
    <xf numFmtId="0" fontId="81" fillId="0" borderId="0" xfId="21" applyFont="1" applyAlignment="1"/>
    <xf numFmtId="0" fontId="80" fillId="0" borderId="0" xfId="21" applyFont="1" applyAlignment="1"/>
    <xf numFmtId="41" fontId="80" fillId="0" borderId="0" xfId="5" applyFont="1" applyAlignment="1"/>
    <xf numFmtId="0" fontId="78" fillId="0" borderId="0" xfId="21" applyFont="1" applyBorder="1" applyAlignment="1"/>
    <xf numFmtId="0" fontId="78" fillId="0" borderId="0" xfId="21" applyFont="1" applyAlignment="1">
      <alignment vertical="center"/>
    </xf>
    <xf numFmtId="3" fontId="78" fillId="21" borderId="14" xfId="21" applyNumberFormat="1" applyFont="1" applyFill="1" applyBorder="1" applyAlignment="1" applyProtection="1">
      <protection locked="0"/>
    </xf>
    <xf numFmtId="10" fontId="78" fillId="10" borderId="12" xfId="24" applyNumberFormat="1" applyFont="1" applyFill="1" applyBorder="1" applyAlignment="1" applyProtection="1">
      <protection locked="0"/>
    </xf>
    <xf numFmtId="3" fontId="78" fillId="10" borderId="8" xfId="21" applyNumberFormat="1" applyFont="1" applyFill="1" applyBorder="1" applyAlignment="1" applyProtection="1">
      <protection locked="0"/>
    </xf>
    <xf numFmtId="10" fontId="78" fillId="10" borderId="8" xfId="24" applyNumberFormat="1" applyFont="1" applyFill="1" applyBorder="1" applyAlignment="1" applyProtection="1">
      <protection locked="0"/>
    </xf>
    <xf numFmtId="0" fontId="78" fillId="10" borderId="8" xfId="21" applyFont="1" applyFill="1" applyBorder="1" applyAlignment="1" applyProtection="1">
      <protection locked="0"/>
    </xf>
    <xf numFmtId="3" fontId="78" fillId="21" borderId="15" xfId="21" applyNumberFormat="1" applyFont="1" applyFill="1" applyBorder="1" applyAlignment="1" applyProtection="1">
      <protection locked="0"/>
    </xf>
    <xf numFmtId="0" fontId="79" fillId="0" borderId="0" xfId="21" applyFont="1" applyAlignment="1"/>
    <xf numFmtId="0" fontId="80" fillId="0" borderId="0" xfId="21" applyFont="1" applyBorder="1" applyAlignment="1" applyProtection="1"/>
    <xf numFmtId="0" fontId="85" fillId="0" borderId="0" xfId="21" applyFont="1" applyBorder="1" applyAlignment="1" applyProtection="1"/>
    <xf numFmtId="0" fontId="85" fillId="20" borderId="8" xfId="21" applyFont="1" applyFill="1" applyBorder="1" applyAlignment="1" applyProtection="1">
      <alignment horizontal="right"/>
      <protection locked="0"/>
    </xf>
    <xf numFmtId="0" fontId="85" fillId="20" borderId="11" xfId="21" applyFont="1" applyFill="1" applyBorder="1" applyAlignment="1" applyProtection="1">
      <alignment horizontal="right"/>
      <protection locked="0"/>
    </xf>
    <xf numFmtId="0" fontId="85" fillId="20" borderId="15" xfId="21" applyFont="1" applyFill="1" applyBorder="1" applyAlignment="1" applyProtection="1">
      <alignment horizontal="right"/>
      <protection locked="0"/>
    </xf>
    <xf numFmtId="0" fontId="80" fillId="0" borderId="0" xfId="21" applyFont="1" applyBorder="1" applyAlignment="1" applyProtection="1">
      <alignment horizontal="center"/>
    </xf>
    <xf numFmtId="0" fontId="85" fillId="0" borderId="0" xfId="21" applyFont="1" applyFill="1" applyBorder="1" applyAlignment="1" applyProtection="1"/>
    <xf numFmtId="0" fontId="80" fillId="0" borderId="14" xfId="21" applyFont="1" applyBorder="1" applyAlignment="1" applyProtection="1"/>
    <xf numFmtId="41" fontId="79" fillId="20" borderId="96" xfId="5" applyFont="1" applyFill="1" applyBorder="1" applyProtection="1">
      <protection locked="0"/>
    </xf>
    <xf numFmtId="41" fontId="80" fillId="20" borderId="96" xfId="5" applyFont="1" applyFill="1" applyBorder="1" applyProtection="1">
      <protection locked="0"/>
    </xf>
    <xf numFmtId="41" fontId="79" fillId="20" borderId="96" xfId="5" applyFont="1" applyFill="1" applyBorder="1" applyAlignment="1" applyProtection="1">
      <alignment vertical="top"/>
      <protection locked="0"/>
    </xf>
    <xf numFmtId="41" fontId="80" fillId="20" borderId="96" xfId="5" applyFont="1" applyFill="1" applyBorder="1" applyAlignment="1" applyProtection="1">
      <alignment vertical="top"/>
      <protection locked="0"/>
    </xf>
    <xf numFmtId="41" fontId="80" fillId="20" borderId="96" xfId="24" applyNumberFormat="1" applyFont="1" applyFill="1" applyBorder="1" applyProtection="1">
      <protection locked="0"/>
    </xf>
    <xf numFmtId="41" fontId="80" fillId="20" borderId="96" xfId="5" applyFont="1" applyFill="1" applyBorder="1" applyAlignment="1" applyProtection="1">
      <alignment horizontal="left" vertical="top"/>
      <protection locked="0"/>
    </xf>
    <xf numFmtId="41" fontId="79" fillId="20" borderId="96" xfId="5" applyFont="1" applyFill="1" applyBorder="1" applyAlignment="1" applyProtection="1">
      <alignment vertical="center"/>
      <protection locked="0"/>
    </xf>
    <xf numFmtId="41" fontId="80" fillId="20" borderId="96" xfId="5" applyFont="1" applyFill="1" applyBorder="1" applyAlignment="1" applyProtection="1">
      <alignment horizontal="left"/>
      <protection locked="0"/>
    </xf>
    <xf numFmtId="0" fontId="80" fillId="0" borderId="14" xfId="21" applyFont="1" applyBorder="1" applyAlignment="1" applyProtection="1">
      <alignment horizontal="center"/>
    </xf>
    <xf numFmtId="0" fontId="78" fillId="0" borderId="0" xfId="21" applyFont="1" applyFill="1" applyBorder="1" applyAlignment="1" applyProtection="1"/>
    <xf numFmtId="0" fontId="80" fillId="0" borderId="14" xfId="21" applyFont="1" applyFill="1" applyBorder="1" applyAlignment="1" applyProtection="1"/>
    <xf numFmtId="41" fontId="81" fillId="20" borderId="96" xfId="5" applyFont="1" applyFill="1" applyBorder="1" applyProtection="1">
      <protection locked="0"/>
    </xf>
    <xf numFmtId="41" fontId="79" fillId="20" borderId="96" xfId="5" applyNumberFormat="1" applyFont="1" applyFill="1" applyBorder="1" applyProtection="1">
      <protection locked="0"/>
    </xf>
    <xf numFmtId="0" fontId="78" fillId="5" borderId="0" xfId="21" applyFont="1" applyFill="1" applyAlignment="1"/>
    <xf numFmtId="0" fontId="85" fillId="0" borderId="0" xfId="21" applyFont="1" applyFill="1" applyBorder="1" applyAlignment="1" applyProtection="1">
      <alignment horizontal="center"/>
    </xf>
    <xf numFmtId="0" fontId="80" fillId="0" borderId="0" xfId="21" applyFont="1" applyFill="1" applyBorder="1" applyAlignment="1" applyProtection="1"/>
    <xf numFmtId="10" fontId="85" fillId="10" borderId="96" xfId="24" applyNumberFormat="1" applyFont="1" applyFill="1" applyBorder="1" applyAlignment="1" applyProtection="1">
      <alignment vertical="top"/>
      <protection locked="0"/>
    </xf>
    <xf numFmtId="10" fontId="80" fillId="3" borderId="96" xfId="24" applyNumberFormat="1" applyFont="1" applyFill="1" applyBorder="1" applyAlignment="1" applyProtection="1">
      <alignment vertical="center"/>
      <protection locked="0"/>
    </xf>
    <xf numFmtId="41" fontId="80" fillId="20" borderId="96" xfId="5" applyFont="1" applyFill="1" applyBorder="1" applyAlignment="1" applyProtection="1">
      <alignment vertical="center"/>
      <protection locked="0"/>
    </xf>
    <xf numFmtId="10" fontId="80" fillId="3" borderId="96" xfId="24" applyNumberFormat="1" applyFont="1" applyFill="1" applyBorder="1" applyAlignment="1" applyProtection="1">
      <alignment vertical="top"/>
      <protection locked="0"/>
    </xf>
    <xf numFmtId="41" fontId="80" fillId="20" borderId="14" xfId="5" applyFont="1" applyFill="1" applyBorder="1" applyAlignment="1" applyProtection="1">
      <alignment vertical="center"/>
      <protection locked="0"/>
    </xf>
    <xf numFmtId="41" fontId="79" fillId="0" borderId="96" xfId="5" applyFont="1" applyFill="1" applyBorder="1" applyProtection="1">
      <protection locked="0"/>
    </xf>
    <xf numFmtId="41" fontId="80" fillId="0" borderId="96" xfId="5" applyFont="1" applyFill="1" applyBorder="1" applyProtection="1">
      <protection locked="0"/>
    </xf>
    <xf numFmtId="41" fontId="78" fillId="0" borderId="0" xfId="21" applyNumberFormat="1" applyFont="1" applyAlignment="1"/>
    <xf numFmtId="41" fontId="78" fillId="0" borderId="0" xfId="5" applyFont="1" applyAlignment="1"/>
    <xf numFmtId="3" fontId="78" fillId="0" borderId="0" xfId="21" applyNumberFormat="1" applyFont="1" applyAlignment="1"/>
    <xf numFmtId="0" fontId="3" fillId="0" borderId="0" xfId="21" applyFont="1" applyAlignment="1"/>
    <xf numFmtId="0" fontId="3" fillId="0" borderId="84" xfId="21" applyFont="1" applyBorder="1" applyAlignment="1"/>
    <xf numFmtId="188" fontId="95" fillId="0" borderId="103" xfId="21" applyNumberFormat="1" applyFont="1" applyFill="1" applyBorder="1" applyAlignment="1" applyProtection="1">
      <alignment horizontal="center"/>
    </xf>
    <xf numFmtId="191" fontId="3" fillId="0" borderId="103" xfId="21" applyNumberFormat="1" applyFont="1" applyFill="1" applyBorder="1" applyAlignment="1">
      <alignment horizontal="center"/>
    </xf>
    <xf numFmtId="188" fontId="95" fillId="0" borderId="104" xfId="21" applyNumberFormat="1" applyFont="1" applyFill="1" applyBorder="1" applyAlignment="1" applyProtection="1">
      <alignment horizontal="center"/>
    </xf>
    <xf numFmtId="0" fontId="3" fillId="0" borderId="85" xfId="21" applyFont="1" applyBorder="1" applyAlignment="1"/>
    <xf numFmtId="0" fontId="3" fillId="0" borderId="15" xfId="21" applyFont="1" applyBorder="1" applyAlignment="1"/>
    <xf numFmtId="0" fontId="3" fillId="3" borderId="8" xfId="21" applyFont="1" applyFill="1" applyBorder="1" applyAlignment="1"/>
    <xf numFmtId="10" fontId="139" fillId="9" borderId="8" xfId="24" applyNumberFormat="1" applyFont="1" applyFill="1" applyBorder="1"/>
    <xf numFmtId="0" fontId="3" fillId="0" borderId="8" xfId="21" applyFont="1" applyBorder="1" applyAlignment="1"/>
    <xf numFmtId="41" fontId="3" fillId="0" borderId="8" xfId="21" applyNumberFormat="1" applyFont="1" applyBorder="1" applyAlignment="1"/>
    <xf numFmtId="41" fontId="3" fillId="0" borderId="98" xfId="21" applyNumberFormat="1" applyFont="1" applyBorder="1" applyAlignment="1"/>
    <xf numFmtId="0" fontId="3" fillId="0" borderId="98" xfId="21" applyFont="1" applyBorder="1" applyAlignment="1"/>
    <xf numFmtId="41" fontId="3" fillId="0" borderId="0" xfId="21" applyNumberFormat="1" applyFont="1" applyAlignment="1"/>
    <xf numFmtId="41" fontId="139" fillId="0" borderId="0" xfId="4" applyFont="1" applyAlignment="1"/>
    <xf numFmtId="9" fontId="139" fillId="0" borderId="0" xfId="24" applyFont="1" applyAlignment="1"/>
    <xf numFmtId="0" fontId="15" fillId="3" borderId="8" xfId="21" applyFont="1" applyFill="1" applyBorder="1" applyAlignment="1"/>
    <xf numFmtId="10" fontId="15" fillId="3" borderId="8" xfId="24" applyNumberFormat="1" applyFont="1" applyFill="1" applyBorder="1"/>
    <xf numFmtId="10" fontId="15" fillId="9" borderId="8" xfId="24" applyNumberFormat="1" applyFont="1" applyFill="1" applyBorder="1"/>
    <xf numFmtId="10" fontId="15" fillId="9" borderId="12" xfId="24" applyNumberFormat="1" applyFont="1" applyFill="1" applyBorder="1"/>
    <xf numFmtId="0" fontId="15" fillId="0" borderId="0" xfId="21" applyFont="1" applyAlignment="1"/>
    <xf numFmtId="0" fontId="3" fillId="0" borderId="58" xfId="21" applyFont="1" applyBorder="1" applyAlignment="1"/>
    <xf numFmtId="0" fontId="3" fillId="0" borderId="12" xfId="21" applyFont="1" applyBorder="1" applyAlignment="1"/>
    <xf numFmtId="0" fontId="15" fillId="3" borderId="58" xfId="21" applyFont="1" applyFill="1" applyBorder="1" applyAlignment="1"/>
    <xf numFmtId="9" fontId="139" fillId="3" borderId="8" xfId="24" applyFont="1" applyFill="1" applyBorder="1" applyAlignment="1"/>
    <xf numFmtId="0" fontId="3" fillId="3" borderId="98" xfId="21" applyFont="1" applyFill="1" applyBorder="1" applyAlignment="1"/>
    <xf numFmtId="10" fontId="15" fillId="3" borderId="12" xfId="24" applyNumberFormat="1" applyFont="1" applyFill="1" applyBorder="1"/>
    <xf numFmtId="43" fontId="3" fillId="0" borderId="8" xfId="21" applyNumberFormat="1" applyFont="1" applyBorder="1" applyAlignment="1"/>
    <xf numFmtId="43" fontId="3" fillId="0" borderId="98" xfId="21" applyNumberFormat="1" applyFont="1" applyBorder="1" applyAlignment="1"/>
    <xf numFmtId="0" fontId="15" fillId="3" borderId="55" xfId="21" applyFont="1" applyFill="1" applyBorder="1" applyAlignment="1"/>
    <xf numFmtId="0" fontId="15" fillId="3" borderId="56" xfId="21" applyFont="1" applyFill="1" applyBorder="1" applyAlignment="1"/>
    <xf numFmtId="2" fontId="139" fillId="3" borderId="56" xfId="24" applyNumberFormat="1" applyFont="1" applyFill="1" applyBorder="1"/>
    <xf numFmtId="10" fontId="15" fillId="3" borderId="56" xfId="24" applyNumberFormat="1" applyFont="1" applyFill="1" applyBorder="1"/>
    <xf numFmtId="2" fontId="3" fillId="3" borderId="56" xfId="21" applyNumberFormat="1" applyFont="1" applyFill="1" applyBorder="1" applyAlignment="1"/>
    <xf numFmtId="2" fontId="3" fillId="3" borderId="69" xfId="21" applyNumberFormat="1" applyFont="1" applyFill="1" applyBorder="1" applyAlignment="1"/>
    <xf numFmtId="0" fontId="3" fillId="3" borderId="8" xfId="21" applyFont="1" applyFill="1" applyBorder="1" applyAlignment="1">
      <alignment horizontal="left" indent="3"/>
    </xf>
    <xf numFmtId="41" fontId="3" fillId="0" borderId="15" xfId="21" applyNumberFormat="1" applyFont="1" applyBorder="1" applyAlignment="1"/>
    <xf numFmtId="10" fontId="15" fillId="9" borderId="15" xfId="24" applyNumberFormat="1" applyFont="1" applyFill="1" applyBorder="1"/>
    <xf numFmtId="0" fontId="3" fillId="0" borderId="93" xfId="21" applyFont="1" applyBorder="1" applyAlignment="1"/>
    <xf numFmtId="0" fontId="3" fillId="0" borderId="94" xfId="21" applyFont="1" applyBorder="1" applyAlignment="1"/>
    <xf numFmtId="0" fontId="3" fillId="0" borderId="95" xfId="21" applyFont="1" applyBorder="1" applyAlignment="1"/>
    <xf numFmtId="0" fontId="3" fillId="0" borderId="0" xfId="21" applyFont="1" applyBorder="1" applyAlignment="1"/>
    <xf numFmtId="0" fontId="15" fillId="0" borderId="102" xfId="21" applyFont="1" applyBorder="1" applyAlignment="1">
      <alignment horizontal="center"/>
    </xf>
    <xf numFmtId="0" fontId="15" fillId="12" borderId="57" xfId="21" applyFont="1" applyFill="1" applyBorder="1" applyAlignment="1"/>
    <xf numFmtId="41" fontId="3" fillId="12" borderId="15" xfId="21" applyNumberFormat="1" applyFont="1" applyFill="1" applyBorder="1" applyAlignment="1"/>
    <xf numFmtId="41" fontId="3" fillId="12" borderId="105" xfId="21" applyNumberFormat="1" applyFont="1" applyFill="1" applyBorder="1" applyAlignment="1"/>
    <xf numFmtId="10" fontId="3" fillId="0" borderId="0" xfId="21" applyNumberFormat="1" applyFont="1" applyAlignment="1"/>
    <xf numFmtId="0" fontId="15" fillId="12" borderId="58" xfId="21" applyFont="1" applyFill="1" applyBorder="1" applyAlignment="1"/>
    <xf numFmtId="41" fontId="3" fillId="12" borderId="8" xfId="21" applyNumberFormat="1" applyFont="1" applyFill="1" applyBorder="1" applyAlignment="1"/>
    <xf numFmtId="41" fontId="3" fillId="12" borderId="98" xfId="21" applyNumberFormat="1" applyFont="1" applyFill="1" applyBorder="1" applyAlignment="1"/>
    <xf numFmtId="10" fontId="139" fillId="0" borderId="0" xfId="24" applyNumberFormat="1" applyFont="1"/>
    <xf numFmtId="0" fontId="3" fillId="0" borderId="106" xfId="21" applyFont="1" applyBorder="1" applyAlignment="1"/>
    <xf numFmtId="41" fontId="3" fillId="0" borderId="13" xfId="21" applyNumberFormat="1" applyFont="1" applyBorder="1" applyAlignment="1"/>
    <xf numFmtId="41" fontId="3" fillId="0" borderId="107" xfId="21" applyNumberFormat="1" applyFont="1" applyBorder="1" applyAlignment="1"/>
    <xf numFmtId="0" fontId="3" fillId="0" borderId="62" xfId="21" applyFont="1" applyBorder="1" applyAlignment="1">
      <alignment horizontal="center"/>
    </xf>
    <xf numFmtId="0" fontId="3" fillId="0" borderId="45" xfId="21" applyFont="1" applyBorder="1" applyAlignment="1">
      <alignment horizontal="center"/>
    </xf>
    <xf numFmtId="0" fontId="3" fillId="0" borderId="63" xfId="21" applyFont="1" applyBorder="1" applyAlignment="1">
      <alignment horizontal="center"/>
    </xf>
    <xf numFmtId="191" fontId="15" fillId="12" borderId="58" xfId="21" applyNumberFormat="1" applyFont="1" applyFill="1" applyBorder="1" applyAlignment="1">
      <alignment horizontal="center"/>
    </xf>
    <xf numFmtId="0" fontId="3" fillId="12" borderId="58" xfId="21" applyFont="1" applyFill="1" applyBorder="1" applyAlignment="1">
      <alignment horizontal="center"/>
    </xf>
    <xf numFmtId="191" fontId="15" fillId="12" borderId="19" xfId="21" applyNumberFormat="1" applyFont="1" applyFill="1" applyBorder="1" applyAlignment="1">
      <alignment horizontal="center"/>
    </xf>
    <xf numFmtId="0" fontId="3" fillId="0" borderId="55" xfId="21" applyFont="1" applyBorder="1" applyAlignment="1"/>
    <xf numFmtId="41" fontId="3" fillId="0" borderId="56" xfId="21" applyNumberFormat="1" applyFont="1" applyBorder="1" applyAlignment="1"/>
    <xf numFmtId="10" fontId="139" fillId="9" borderId="56" xfId="24" applyNumberFormat="1" applyFont="1" applyFill="1" applyBorder="1"/>
    <xf numFmtId="41" fontId="3" fillId="0" borderId="69" xfId="21" applyNumberFormat="1" applyFont="1" applyBorder="1" applyAlignment="1"/>
    <xf numFmtId="0" fontId="96" fillId="0" borderId="0" xfId="21" applyFont="1" applyAlignment="1"/>
    <xf numFmtId="0" fontId="97" fillId="0" borderId="0" xfId="21" applyFont="1" applyFill="1" applyBorder="1" applyAlignment="1"/>
    <xf numFmtId="191" fontId="98" fillId="5" borderId="0" xfId="21" applyNumberFormat="1" applyFont="1" applyFill="1" applyBorder="1" applyAlignment="1">
      <alignment horizontal="center"/>
    </xf>
    <xf numFmtId="0" fontId="96" fillId="0" borderId="0" xfId="21" applyFont="1" applyFill="1" applyBorder="1" applyAlignment="1">
      <alignment horizontal="center"/>
    </xf>
    <xf numFmtId="191" fontId="97" fillId="0" borderId="0" xfId="21" applyNumberFormat="1" applyFont="1" applyFill="1" applyBorder="1" applyAlignment="1">
      <alignment horizontal="center"/>
    </xf>
    <xf numFmtId="0" fontId="96" fillId="0" borderId="0" xfId="21" applyFont="1" applyBorder="1" applyAlignment="1"/>
    <xf numFmtId="10" fontId="96" fillId="0" borderId="0" xfId="24" applyNumberFormat="1" applyFont="1" applyBorder="1"/>
    <xf numFmtId="41" fontId="96" fillId="0" borderId="0" xfId="21" applyNumberFormat="1" applyFont="1" applyBorder="1" applyAlignment="1"/>
    <xf numFmtId="10" fontId="96" fillId="0" borderId="0" xfId="21" applyNumberFormat="1" applyFont="1" applyBorder="1" applyAlignment="1"/>
    <xf numFmtId="0" fontId="99" fillId="0" borderId="0" xfId="21" applyFont="1" applyBorder="1" applyAlignment="1"/>
    <xf numFmtId="41" fontId="96" fillId="0" borderId="0" xfId="21" applyNumberFormat="1" applyFont="1" applyAlignment="1"/>
    <xf numFmtId="43" fontId="96" fillId="0" borderId="0" xfId="7" applyFont="1"/>
    <xf numFmtId="41" fontId="40" fillId="0" borderId="0" xfId="0" applyNumberFormat="1" applyFont="1" applyAlignment="1" applyProtection="1">
      <alignment vertical="center" wrapText="1"/>
    </xf>
    <xf numFmtId="0" fontId="80" fillId="0" borderId="0" xfId="21" applyFont="1" applyAlignment="1" applyProtection="1"/>
    <xf numFmtId="0" fontId="85" fillId="0" borderId="0" xfId="21" applyFont="1" applyAlignment="1" applyProtection="1"/>
    <xf numFmtId="0" fontId="80" fillId="0" borderId="0" xfId="21" applyFont="1" applyAlignment="1" applyProtection="1">
      <alignment horizontal="right"/>
    </xf>
    <xf numFmtId="188" fontId="85" fillId="10" borderId="58" xfId="21" applyNumberFormat="1" applyFont="1" applyFill="1" applyBorder="1" applyAlignment="1" applyProtection="1">
      <alignment horizontal="center"/>
    </xf>
    <xf numFmtId="188" fontId="85" fillId="10" borderId="8" xfId="21" applyNumberFormat="1" applyFont="1" applyFill="1" applyBorder="1" applyAlignment="1" applyProtection="1">
      <alignment horizontal="center"/>
    </xf>
    <xf numFmtId="188" fontId="85" fillId="10" borderId="98" xfId="21" applyNumberFormat="1" applyFont="1" applyFill="1" applyBorder="1" applyAlignment="1" applyProtection="1">
      <alignment horizontal="center"/>
    </xf>
    <xf numFmtId="0" fontId="80" fillId="0" borderId="66" xfId="21" applyFont="1" applyFill="1" applyBorder="1" applyAlignment="1" applyProtection="1"/>
    <xf numFmtId="0" fontId="85" fillId="0" borderId="106" xfId="21" applyFont="1" applyFill="1" applyBorder="1" applyAlignment="1" applyProtection="1">
      <alignment horizontal="center"/>
    </xf>
    <xf numFmtId="0" fontId="85" fillId="0" borderId="13" xfId="21" applyFont="1" applyFill="1" applyBorder="1" applyAlignment="1" applyProtection="1">
      <alignment horizontal="center"/>
    </xf>
    <xf numFmtId="0" fontId="85" fillId="0" borderId="47" xfId="21" applyFont="1" applyFill="1" applyBorder="1" applyAlignment="1" applyProtection="1">
      <alignment horizontal="center"/>
    </xf>
    <xf numFmtId="0" fontId="85" fillId="0" borderId="66" xfId="21" applyFont="1" applyBorder="1" applyAlignment="1" applyProtection="1"/>
    <xf numFmtId="41" fontId="80" fillId="0" borderId="54" xfId="21" applyNumberFormat="1" applyFont="1" applyBorder="1" applyAlignment="1" applyProtection="1"/>
    <xf numFmtId="41" fontId="80" fillId="0" borderId="14" xfId="21" applyNumberFormat="1" applyFont="1" applyBorder="1" applyAlignment="1" applyProtection="1"/>
    <xf numFmtId="41" fontId="80" fillId="0" borderId="108" xfId="21" applyNumberFormat="1" applyFont="1" applyBorder="1" applyAlignment="1" applyProtection="1"/>
    <xf numFmtId="0" fontId="80" fillId="0" borderId="66" xfId="21" applyFont="1" applyBorder="1" applyAlignment="1" applyProtection="1"/>
    <xf numFmtId="0" fontId="80" fillId="0" borderId="54" xfId="21" applyFont="1" applyBorder="1" applyAlignment="1" applyProtection="1"/>
    <xf numFmtId="0" fontId="80" fillId="0" borderId="108" xfId="21" applyFont="1" applyBorder="1" applyAlignment="1" applyProtection="1"/>
    <xf numFmtId="0" fontId="80" fillId="2" borderId="21" xfId="21" applyFont="1" applyFill="1" applyBorder="1" applyAlignment="1" applyProtection="1"/>
    <xf numFmtId="0" fontId="80" fillId="2" borderId="22" xfId="21" applyFont="1" applyFill="1" applyBorder="1" applyAlignment="1" applyProtection="1">
      <alignment horizontal="center"/>
    </xf>
    <xf numFmtId="0" fontId="80" fillId="2" borderId="22" xfId="21" applyFont="1" applyFill="1" applyBorder="1" applyAlignment="1" applyProtection="1"/>
    <xf numFmtId="41" fontId="80" fillId="2" borderId="58" xfId="21" applyNumberFormat="1" applyFont="1" applyFill="1" applyBorder="1" applyAlignment="1" applyProtection="1"/>
    <xf numFmtId="41" fontId="80" fillId="2" borderId="8" xfId="21" applyNumberFormat="1" applyFont="1" applyFill="1" applyBorder="1" applyAlignment="1" applyProtection="1"/>
    <xf numFmtId="41" fontId="80" fillId="2" borderId="98" xfId="21" applyNumberFormat="1" applyFont="1" applyFill="1" applyBorder="1" applyAlignment="1" applyProtection="1"/>
    <xf numFmtId="0" fontId="80" fillId="0" borderId="0" xfId="21" applyFont="1" applyFill="1" applyBorder="1" applyAlignment="1" applyProtection="1">
      <alignment horizontal="center"/>
    </xf>
    <xf numFmtId="0" fontId="80" fillId="0" borderId="7" xfId="21" applyFont="1" applyFill="1" applyBorder="1" applyAlignment="1" applyProtection="1">
      <alignment horizontal="center"/>
    </xf>
    <xf numFmtId="41" fontId="80" fillId="0" borderId="54" xfId="21" applyNumberFormat="1" applyFont="1" applyFill="1" applyBorder="1" applyAlignment="1" applyProtection="1"/>
    <xf numFmtId="41" fontId="80" fillId="0" borderId="14" xfId="21" applyNumberFormat="1" applyFont="1" applyFill="1" applyBorder="1" applyAlignment="1" applyProtection="1"/>
    <xf numFmtId="41" fontId="80" fillId="0" borderId="108" xfId="21" applyNumberFormat="1" applyFont="1" applyFill="1" applyBorder="1" applyAlignment="1" applyProtection="1"/>
    <xf numFmtId="0" fontId="80" fillId="0" borderId="10" xfId="21" applyFont="1" applyFill="1" applyBorder="1" applyAlignment="1" applyProtection="1">
      <alignment horizontal="center"/>
    </xf>
    <xf numFmtId="41" fontId="80" fillId="0" borderId="54" xfId="4" applyFont="1" applyFill="1" applyBorder="1" applyProtection="1">
      <protection locked="0"/>
    </xf>
    <xf numFmtId="41" fontId="80" fillId="0" borderId="14" xfId="4" applyFont="1" applyFill="1" applyBorder="1" applyProtection="1">
      <protection locked="0"/>
    </xf>
    <xf numFmtId="41" fontId="80" fillId="0" borderId="108" xfId="4" applyFont="1" applyFill="1" applyBorder="1" applyProtection="1">
      <protection locked="0"/>
    </xf>
    <xf numFmtId="0" fontId="80" fillId="0" borderId="47" xfId="21" applyFont="1" applyBorder="1" applyAlignment="1" applyProtection="1"/>
    <xf numFmtId="0" fontId="80" fillId="0" borderId="0" xfId="21" applyFont="1" applyBorder="1" applyAlignment="1" applyProtection="1">
      <alignment horizontal="center" vertical="center"/>
    </xf>
    <xf numFmtId="0" fontId="80" fillId="0" borderId="0" xfId="21" applyFont="1" applyFill="1" applyBorder="1" applyAlignment="1" applyProtection="1">
      <alignment wrapText="1"/>
    </xf>
    <xf numFmtId="0" fontId="80" fillId="0" borderId="0" xfId="21" applyFont="1" applyBorder="1" applyAlignment="1" applyProtection="1">
      <alignment wrapText="1"/>
    </xf>
    <xf numFmtId="41" fontId="80" fillId="0" borderId="54" xfId="4" applyFont="1" applyBorder="1" applyProtection="1"/>
    <xf numFmtId="41" fontId="80" fillId="0" borderId="14" xfId="4" applyFont="1" applyBorder="1" applyProtection="1"/>
    <xf numFmtId="41" fontId="80" fillId="0" borderId="108" xfId="4" applyFont="1" applyBorder="1" applyProtection="1"/>
    <xf numFmtId="0" fontId="80" fillId="5" borderId="109" xfId="21" applyFont="1" applyFill="1" applyBorder="1" applyAlignment="1" applyProtection="1"/>
    <xf numFmtId="0" fontId="80" fillId="5" borderId="7" xfId="21" applyFont="1" applyFill="1" applyBorder="1" applyAlignment="1" applyProtection="1">
      <alignment horizontal="center"/>
    </xf>
    <xf numFmtId="0" fontId="80" fillId="5" borderId="7" xfId="21" applyFont="1" applyFill="1" applyBorder="1" applyAlignment="1" applyProtection="1">
      <alignment wrapText="1"/>
    </xf>
    <xf numFmtId="0" fontId="80" fillId="5" borderId="106" xfId="21" applyFont="1" applyFill="1" applyBorder="1" applyAlignment="1" applyProtection="1"/>
    <xf numFmtId="0" fontId="80" fillId="5" borderId="13" xfId="21" applyFont="1" applyFill="1" applyBorder="1" applyAlignment="1" applyProtection="1"/>
    <xf numFmtId="0" fontId="80" fillId="5" borderId="110" xfId="21" applyFont="1" applyFill="1" applyBorder="1" applyAlignment="1" applyProtection="1"/>
    <xf numFmtId="0" fontId="80" fillId="5" borderId="42" xfId="21" applyFont="1" applyFill="1" applyBorder="1" applyAlignment="1" applyProtection="1"/>
    <xf numFmtId="0" fontId="80" fillId="5" borderId="10" xfId="21" applyFont="1" applyFill="1" applyBorder="1" applyAlignment="1" applyProtection="1">
      <alignment horizontal="center"/>
    </xf>
    <xf numFmtId="0" fontId="80" fillId="5" borderId="10" xfId="21" applyFont="1" applyFill="1" applyBorder="1" applyAlignment="1" applyProtection="1"/>
    <xf numFmtId="41" fontId="80" fillId="5" borderId="57" xfId="4" applyFont="1" applyFill="1" applyBorder="1" applyProtection="1"/>
    <xf numFmtId="41" fontId="80" fillId="5" borderId="15" xfId="4" applyFont="1" applyFill="1" applyBorder="1" applyProtection="1"/>
    <xf numFmtId="41" fontId="80" fillId="5" borderId="105" xfId="4" applyFont="1" applyFill="1" applyBorder="1" applyProtection="1"/>
    <xf numFmtId="41" fontId="80" fillId="0" borderId="66" xfId="4" applyFont="1" applyFill="1" applyBorder="1" applyProtection="1"/>
    <xf numFmtId="41" fontId="80" fillId="0" borderId="0" xfId="4" applyFont="1" applyFill="1" applyBorder="1" applyProtection="1"/>
    <xf numFmtId="41" fontId="80" fillId="0" borderId="47" xfId="4" applyFont="1" applyFill="1" applyBorder="1" applyProtection="1"/>
    <xf numFmtId="0" fontId="80" fillId="2" borderId="12" xfId="21" applyFont="1" applyFill="1" applyBorder="1" applyAlignment="1" applyProtection="1">
      <alignment horizontal="center"/>
    </xf>
    <xf numFmtId="0" fontId="85" fillId="2" borderId="22" xfId="21" applyFont="1" applyFill="1" applyBorder="1" applyAlignment="1" applyProtection="1"/>
    <xf numFmtId="41" fontId="85" fillId="2" borderId="58" xfId="21" applyNumberFormat="1" applyFont="1" applyFill="1" applyBorder="1" applyAlignment="1" applyProtection="1"/>
    <xf numFmtId="41" fontId="85" fillId="2" borderId="8" xfId="21" applyNumberFormat="1" applyFont="1" applyFill="1" applyBorder="1" applyAlignment="1" applyProtection="1"/>
    <xf numFmtId="41" fontId="85" fillId="2" borderId="44" xfId="21" applyNumberFormat="1" applyFont="1" applyFill="1" applyBorder="1" applyAlignment="1" applyProtection="1"/>
    <xf numFmtId="0" fontId="80" fillId="0" borderId="42" xfId="21" applyFont="1" applyBorder="1" applyAlignment="1" applyProtection="1"/>
    <xf numFmtId="0" fontId="80" fillId="0" borderId="10" xfId="21" applyFont="1" applyBorder="1" applyAlignment="1" applyProtection="1"/>
    <xf numFmtId="10" fontId="80" fillId="0" borderId="42" xfId="24" applyNumberFormat="1" applyFont="1" applyBorder="1" applyProtection="1"/>
    <xf numFmtId="0" fontId="80" fillId="0" borderId="43" xfId="21" applyFont="1" applyBorder="1" applyAlignment="1" applyProtection="1"/>
    <xf numFmtId="10" fontId="80" fillId="0" borderId="66" xfId="24" applyNumberFormat="1" applyFont="1" applyBorder="1" applyProtection="1"/>
    <xf numFmtId="0" fontId="85" fillId="10" borderId="21" xfId="21" applyFont="1" applyFill="1" applyBorder="1" applyAlignment="1" applyProtection="1"/>
    <xf numFmtId="0" fontId="85" fillId="10" borderId="22" xfId="21" applyFont="1" applyFill="1" applyBorder="1" applyAlignment="1" applyProtection="1"/>
    <xf numFmtId="0" fontId="101" fillId="10" borderId="22" xfId="21" applyFont="1" applyFill="1" applyBorder="1" applyAlignment="1" applyProtection="1"/>
    <xf numFmtId="10" fontId="102" fillId="10" borderId="58" xfId="24" applyNumberFormat="1" applyFont="1" applyFill="1" applyBorder="1" applyProtection="1"/>
    <xf numFmtId="10" fontId="102" fillId="10" borderId="8" xfId="24" applyNumberFormat="1" applyFont="1" applyFill="1" applyBorder="1" applyProtection="1"/>
    <xf numFmtId="10" fontId="102" fillId="10" borderId="44" xfId="24" applyNumberFormat="1" applyFont="1" applyFill="1" applyBorder="1" applyProtection="1"/>
    <xf numFmtId="41" fontId="80" fillId="0" borderId="47" xfId="21" applyNumberFormat="1" applyFont="1" applyBorder="1" applyAlignment="1" applyProtection="1"/>
    <xf numFmtId="41" fontId="80" fillId="0" borderId="47" xfId="4" applyFont="1" applyBorder="1" applyProtection="1"/>
    <xf numFmtId="0" fontId="80" fillId="0" borderId="67" xfId="21" applyFont="1" applyBorder="1" applyAlignment="1" applyProtection="1"/>
    <xf numFmtId="0" fontId="80" fillId="0" borderId="64" xfId="21" applyFont="1" applyBorder="1" applyAlignment="1" applyProtection="1"/>
    <xf numFmtId="41" fontId="80" fillId="0" borderId="111" xfId="21" applyNumberFormat="1" applyFont="1" applyBorder="1" applyAlignment="1" applyProtection="1"/>
    <xf numFmtId="41" fontId="80" fillId="0" borderId="112" xfId="21" applyNumberFormat="1" applyFont="1" applyBorder="1" applyAlignment="1" applyProtection="1"/>
    <xf numFmtId="41" fontId="80" fillId="0" borderId="68" xfId="21" applyNumberFormat="1" applyFont="1" applyBorder="1" applyAlignment="1" applyProtection="1"/>
    <xf numFmtId="0" fontId="85" fillId="0" borderId="62" xfId="21" applyFont="1" applyBorder="1" applyAlignment="1" applyProtection="1"/>
    <xf numFmtId="0" fontId="85" fillId="0" borderId="45" xfId="21" applyFont="1" applyBorder="1" applyAlignment="1" applyProtection="1"/>
    <xf numFmtId="0" fontId="85" fillId="0" borderId="72" xfId="21" applyFont="1" applyBorder="1" applyAlignment="1" applyProtection="1">
      <alignment horizontal="center"/>
    </xf>
    <xf numFmtId="0" fontId="85" fillId="0" borderId="62" xfId="21" applyFont="1" applyBorder="1" applyAlignment="1" applyProtection="1">
      <alignment horizontal="left"/>
    </xf>
    <xf numFmtId="0" fontId="85" fillId="0" borderId="63" xfId="21" applyFont="1" applyBorder="1" applyAlignment="1" applyProtection="1">
      <alignment horizontal="left"/>
    </xf>
    <xf numFmtId="0" fontId="80" fillId="10" borderId="15" xfId="21" applyFont="1" applyFill="1" applyBorder="1" applyAlignment="1" applyProtection="1"/>
    <xf numFmtId="188" fontId="85" fillId="10" borderId="15" xfId="21" applyNumberFormat="1" applyFont="1" applyFill="1" applyBorder="1" applyAlignment="1" applyProtection="1">
      <alignment horizontal="center"/>
    </xf>
    <xf numFmtId="0" fontId="80" fillId="2" borderId="8" xfId="21" applyFont="1" applyFill="1" applyBorder="1" applyAlignment="1" applyProtection="1">
      <alignment horizontal="center"/>
    </xf>
    <xf numFmtId="0" fontId="103" fillId="2" borderId="9" xfId="21" applyFont="1" applyFill="1" applyBorder="1" applyAlignment="1" applyProtection="1"/>
    <xf numFmtId="0" fontId="80" fillId="2" borderId="8" xfId="21" applyFont="1" applyFill="1" applyBorder="1" applyAlignment="1" applyProtection="1"/>
    <xf numFmtId="0" fontId="80" fillId="0" borderId="14" xfId="21" applyFont="1" applyFill="1" applyBorder="1" applyAlignment="1" applyProtection="1">
      <alignment horizontal="center"/>
    </xf>
    <xf numFmtId="0" fontId="80" fillId="2" borderId="14" xfId="21" applyFont="1" applyFill="1" applyBorder="1" applyAlignment="1" applyProtection="1">
      <alignment horizontal="center"/>
    </xf>
    <xf numFmtId="0" fontId="85" fillId="2" borderId="9" xfId="21" applyFont="1" applyFill="1" applyBorder="1" applyAlignment="1" applyProtection="1"/>
    <xf numFmtId="0" fontId="85" fillId="0" borderId="14" xfId="21" applyFont="1" applyFill="1" applyBorder="1" applyAlignment="1" applyProtection="1">
      <alignment horizontal="center"/>
    </xf>
    <xf numFmtId="0" fontId="80" fillId="0" borderId="3" xfId="21" applyFont="1" applyBorder="1" applyAlignment="1" applyProtection="1"/>
    <xf numFmtId="0" fontId="85" fillId="0" borderId="7" xfId="21" applyFont="1" applyFill="1" applyBorder="1" applyAlignment="1" applyProtection="1"/>
    <xf numFmtId="41" fontId="85" fillId="0" borderId="13" xfId="21" applyNumberFormat="1" applyFont="1" applyFill="1" applyBorder="1" applyAlignment="1" applyProtection="1"/>
    <xf numFmtId="0" fontId="103" fillId="0" borderId="0" xfId="21" applyFont="1" applyBorder="1" applyAlignment="1" applyProtection="1"/>
    <xf numFmtId="41" fontId="85" fillId="0" borderId="14" xfId="21" applyNumberFormat="1" applyFont="1" applyFill="1" applyBorder="1" applyAlignment="1" applyProtection="1"/>
    <xf numFmtId="41" fontId="80" fillId="0" borderId="14" xfId="4" applyFont="1" applyFill="1" applyBorder="1" applyProtection="1"/>
    <xf numFmtId="0" fontId="80" fillId="0" borderId="9" xfId="21" applyFont="1" applyBorder="1" applyAlignment="1" applyProtection="1"/>
    <xf numFmtId="0" fontId="85" fillId="0" borderId="22" xfId="21" applyFont="1" applyFill="1" applyBorder="1" applyAlignment="1" applyProtection="1"/>
    <xf numFmtId="0" fontId="80" fillId="0" borderId="8" xfId="21" applyFont="1" applyFill="1" applyBorder="1" applyAlignment="1" applyProtection="1"/>
    <xf numFmtId="41" fontId="85" fillId="0" borderId="8" xfId="21" applyNumberFormat="1" applyFont="1" applyFill="1" applyBorder="1" applyAlignment="1" applyProtection="1"/>
    <xf numFmtId="0" fontId="101" fillId="0" borderId="14" xfId="21" applyFont="1" applyBorder="1" applyAlignment="1" applyProtection="1">
      <alignment horizontal="center"/>
    </xf>
    <xf numFmtId="0" fontId="101" fillId="2" borderId="9" xfId="21" applyFont="1" applyFill="1" applyBorder="1" applyAlignment="1" applyProtection="1"/>
    <xf numFmtId="0" fontId="101" fillId="2" borderId="22" xfId="21" applyFont="1" applyFill="1" applyBorder="1" applyAlignment="1" applyProtection="1"/>
    <xf numFmtId="41" fontId="101" fillId="2" borderId="8" xfId="21" applyNumberFormat="1" applyFont="1" applyFill="1" applyBorder="1" applyAlignment="1" applyProtection="1"/>
    <xf numFmtId="41" fontId="80" fillId="0" borderId="0" xfId="21" applyNumberFormat="1" applyFont="1" applyAlignment="1" applyProtection="1"/>
    <xf numFmtId="0" fontId="101" fillId="0" borderId="14" xfId="21" applyFont="1" applyFill="1" applyBorder="1" applyAlignment="1" applyProtection="1">
      <alignment horizontal="center"/>
    </xf>
    <xf numFmtId="0" fontId="101" fillId="0" borderId="9" xfId="21" applyFont="1" applyFill="1" applyBorder="1" applyAlignment="1" applyProtection="1"/>
    <xf numFmtId="0" fontId="101" fillId="0" borderId="22" xfId="21" applyFont="1" applyFill="1" applyBorder="1" applyAlignment="1" applyProtection="1"/>
    <xf numFmtId="10" fontId="101" fillId="0" borderId="15" xfId="24" applyNumberFormat="1" applyFont="1" applyFill="1" applyBorder="1" applyProtection="1"/>
    <xf numFmtId="0" fontId="101" fillId="0" borderId="14" xfId="21" applyFont="1" applyFill="1" applyBorder="1" applyAlignment="1" applyProtection="1"/>
    <xf numFmtId="0" fontId="101" fillId="0" borderId="14" xfId="21" applyFont="1" applyBorder="1" applyAlignment="1" applyProtection="1"/>
    <xf numFmtId="0" fontId="101" fillId="0" borderId="9" xfId="21" applyFont="1" applyBorder="1" applyAlignment="1" applyProtection="1"/>
    <xf numFmtId="0" fontId="101" fillId="0" borderId="22" xfId="21" applyFont="1" applyBorder="1" applyAlignment="1" applyProtection="1"/>
    <xf numFmtId="172" fontId="101" fillId="0" borderId="15" xfId="24" applyNumberFormat="1" applyFont="1" applyBorder="1" applyProtection="1"/>
    <xf numFmtId="0" fontId="102" fillId="0" borderId="15" xfId="21" applyFont="1" applyBorder="1" applyAlignment="1" applyProtection="1"/>
    <xf numFmtId="0" fontId="102" fillId="0" borderId="9" xfId="21" applyFont="1" applyBorder="1" applyAlignment="1" applyProtection="1"/>
    <xf numFmtId="0" fontId="102" fillId="0" borderId="22" xfId="21" applyFont="1" applyBorder="1" applyAlignment="1" applyProtection="1"/>
    <xf numFmtId="41" fontId="102" fillId="0" borderId="15" xfId="4" applyFont="1" applyBorder="1" applyProtection="1"/>
    <xf numFmtId="0" fontId="80" fillId="0" borderId="0" xfId="21" applyFont="1" applyFill="1" applyAlignment="1" applyProtection="1"/>
    <xf numFmtId="0" fontId="102" fillId="0" borderId="0" xfId="21" applyFont="1" applyFill="1" applyBorder="1" applyAlignment="1" applyProtection="1"/>
    <xf numFmtId="41" fontId="102" fillId="0" borderId="0" xfId="4" applyFont="1" applyFill="1" applyBorder="1" applyProtection="1"/>
    <xf numFmtId="0" fontId="85" fillId="0" borderId="62" xfId="21" applyFont="1" applyFill="1" applyBorder="1" applyAlignment="1" applyProtection="1">
      <alignment vertical="center"/>
    </xf>
    <xf numFmtId="0" fontId="85" fillId="0" borderId="45" xfId="21" applyFont="1" applyFill="1" applyBorder="1" applyAlignment="1" applyProtection="1">
      <alignment vertical="center"/>
    </xf>
    <xf numFmtId="0" fontId="85" fillId="0" borderId="63" xfId="21" applyFont="1" applyFill="1" applyBorder="1" applyAlignment="1" applyProtection="1">
      <alignment vertical="center"/>
    </xf>
    <xf numFmtId="0" fontId="85" fillId="0" borderId="72" xfId="21" applyFont="1" applyBorder="1" applyAlignment="1" applyProtection="1">
      <alignment horizontal="center" vertical="center"/>
    </xf>
    <xf numFmtId="0" fontId="80" fillId="10" borderId="13" xfId="21" applyFont="1" applyFill="1" applyBorder="1" applyAlignment="1" applyProtection="1">
      <alignment vertical="center"/>
    </xf>
    <xf numFmtId="0" fontId="80" fillId="10" borderId="15" xfId="21" applyFont="1" applyFill="1" applyBorder="1" applyAlignment="1" applyProtection="1">
      <alignment horizontal="center" vertical="center"/>
    </xf>
    <xf numFmtId="0" fontId="80" fillId="0" borderId="14" xfId="21" applyFont="1" applyFill="1" applyBorder="1" applyAlignment="1" applyProtection="1">
      <alignment horizontal="center" vertical="center"/>
    </xf>
    <xf numFmtId="0" fontId="80" fillId="0" borderId="3" xfId="21" applyFont="1" applyFill="1" applyBorder="1" applyAlignment="1" applyProtection="1">
      <alignment horizontal="center" vertical="center"/>
    </xf>
    <xf numFmtId="0" fontId="85" fillId="0" borderId="7" xfId="21" applyFont="1" applyFill="1" applyBorder="1" applyAlignment="1" applyProtection="1">
      <alignment horizontal="center" vertical="center"/>
    </xf>
    <xf numFmtId="0" fontId="85" fillId="0" borderId="13" xfId="21" applyFont="1" applyFill="1" applyBorder="1" applyAlignment="1" applyProtection="1">
      <alignment horizontal="center" vertical="center"/>
    </xf>
    <xf numFmtId="0" fontId="80" fillId="0" borderId="96" xfId="21" quotePrefix="1" applyFont="1" applyBorder="1" applyAlignment="1" applyProtection="1">
      <alignment horizontal="center"/>
    </xf>
    <xf numFmtId="0" fontId="80" fillId="0" borderId="97" xfId="21" quotePrefix="1" applyFont="1" applyBorder="1" applyAlignment="1" applyProtection="1">
      <alignment horizontal="center" vertical="justify"/>
    </xf>
    <xf numFmtId="0" fontId="80" fillId="0" borderId="24" xfId="21" applyFont="1" applyBorder="1" applyAlignment="1" applyProtection="1">
      <alignment vertical="justify"/>
    </xf>
    <xf numFmtId="0" fontId="80" fillId="0" borderId="96" xfId="21" applyFont="1" applyBorder="1" applyAlignment="1" applyProtection="1">
      <alignment horizontal="center" vertical="justify"/>
    </xf>
    <xf numFmtId="180" fontId="80" fillId="0" borderId="96" xfId="7" applyNumberFormat="1" applyFont="1" applyFill="1" applyBorder="1" applyAlignment="1" applyProtection="1"/>
    <xf numFmtId="0" fontId="80" fillId="0" borderId="113" xfId="21" quotePrefix="1" applyFont="1" applyBorder="1" applyAlignment="1" applyProtection="1">
      <alignment horizontal="center" vertical="justify"/>
    </xf>
    <xf numFmtId="0" fontId="88" fillId="0" borderId="99" xfId="21" applyFont="1" applyBorder="1" applyAlignment="1" applyProtection="1">
      <alignment horizontal="center" vertical="top" wrapText="1"/>
    </xf>
    <xf numFmtId="180" fontId="80" fillId="0" borderId="99" xfId="7" applyNumberFormat="1" applyFont="1" applyFill="1" applyBorder="1" applyAlignment="1" applyProtection="1"/>
    <xf numFmtId="0" fontId="80" fillId="0" borderId="4" xfId="21" applyFont="1" applyBorder="1" applyAlignment="1" applyProtection="1">
      <alignment horizontal="center" vertical="justify"/>
    </xf>
    <xf numFmtId="180" fontId="80" fillId="0" borderId="14" xfId="7" applyNumberFormat="1" applyFont="1" applyFill="1" applyBorder="1" applyAlignment="1" applyProtection="1"/>
    <xf numFmtId="0" fontId="80" fillId="0" borderId="0" xfId="21" applyFont="1" applyBorder="1" applyAlignment="1" applyProtection="1">
      <alignment horizontal="justify" vertical="justify" wrapText="1"/>
    </xf>
    <xf numFmtId="0" fontId="80" fillId="0" borderId="0" xfId="21" applyFont="1" applyBorder="1" applyAlignment="1" applyProtection="1">
      <alignment horizontal="justify" vertical="justify"/>
    </xf>
    <xf numFmtId="0" fontId="80" fillId="0" borderId="14" xfId="21" quotePrefix="1" applyFont="1" applyBorder="1" applyAlignment="1" applyProtection="1">
      <alignment horizontal="center"/>
    </xf>
    <xf numFmtId="0" fontId="80" fillId="0" borderId="114" xfId="21" applyFont="1" applyBorder="1" applyAlignment="1" applyProtection="1">
      <alignment horizontal="center" vertical="justify"/>
    </xf>
    <xf numFmtId="180" fontId="80" fillId="0" borderId="115" xfId="7" applyNumberFormat="1" applyFont="1" applyFill="1" applyBorder="1" applyAlignment="1" applyProtection="1"/>
    <xf numFmtId="0" fontId="80" fillId="0" borderId="37" xfId="21" applyFont="1" applyBorder="1" applyAlignment="1" applyProtection="1">
      <alignment horizontal="justify" vertical="justify" wrapText="1"/>
    </xf>
    <xf numFmtId="0" fontId="80" fillId="0" borderId="99" xfId="21" applyFont="1" applyBorder="1" applyAlignment="1" applyProtection="1">
      <alignment horizontal="center"/>
    </xf>
    <xf numFmtId="0" fontId="80" fillId="0" borderId="4" xfId="21" applyFont="1" applyFill="1" applyBorder="1" applyAlignment="1" applyProtection="1">
      <alignment horizontal="center" vertical="justify"/>
    </xf>
    <xf numFmtId="0" fontId="80" fillId="0" borderId="0" xfId="21" applyFont="1" applyFill="1" applyBorder="1" applyAlignment="1" applyProtection="1">
      <alignment horizontal="justify" vertical="justify" wrapText="1"/>
    </xf>
    <xf numFmtId="0" fontId="78" fillId="0" borderId="115" xfId="21" applyFont="1" applyFill="1" applyBorder="1" applyAlignment="1" applyProtection="1"/>
    <xf numFmtId="0" fontId="85" fillId="0" borderId="0" xfId="21" applyFont="1" applyAlignment="1" applyProtection="1">
      <alignment vertical="top"/>
    </xf>
    <xf numFmtId="0" fontId="80" fillId="0" borderId="14" xfId="21" applyFont="1" applyFill="1" applyBorder="1" applyAlignment="1" applyProtection="1">
      <alignment horizontal="justify" vertical="justify"/>
    </xf>
    <xf numFmtId="0" fontId="80" fillId="0" borderId="4" xfId="21" applyFont="1" applyBorder="1" applyAlignment="1" applyProtection="1">
      <alignment horizontal="center" vertical="justify" wrapText="1"/>
    </xf>
    <xf numFmtId="0" fontId="80" fillId="0" borderId="0" xfId="21" applyFont="1" applyBorder="1" applyAlignment="1" applyProtection="1">
      <alignment vertical="justify" wrapText="1"/>
    </xf>
    <xf numFmtId="0" fontId="80" fillId="0" borderId="113" xfId="21" applyFont="1" applyBorder="1" applyAlignment="1" applyProtection="1">
      <alignment horizontal="left"/>
    </xf>
    <xf numFmtId="0" fontId="80" fillId="0" borderId="116" xfId="21" applyFont="1" applyBorder="1" applyAlignment="1" applyProtection="1"/>
    <xf numFmtId="0" fontId="80" fillId="0" borderId="4" xfId="21" applyFont="1" applyFill="1" applyBorder="1" applyAlignment="1" applyProtection="1">
      <alignment horizontal="center"/>
    </xf>
    <xf numFmtId="0" fontId="80" fillId="0" borderId="13" xfId="21" applyFont="1" applyBorder="1" applyAlignment="1" applyProtection="1">
      <alignment horizontal="center"/>
    </xf>
    <xf numFmtId="0" fontId="80" fillId="0" borderId="3" xfId="21" applyFont="1" applyBorder="1" applyAlignment="1" applyProtection="1">
      <alignment horizontal="left"/>
    </xf>
    <xf numFmtId="0" fontId="80" fillId="0" borderId="16" xfId="21" applyFont="1" applyBorder="1" applyAlignment="1" applyProtection="1"/>
    <xf numFmtId="180" fontId="80" fillId="0" borderId="8" xfId="7" applyNumberFormat="1" applyFont="1" applyFill="1" applyBorder="1" applyAlignment="1" applyProtection="1"/>
    <xf numFmtId="0" fontId="80" fillId="0" borderId="0" xfId="21" applyFont="1" applyAlignment="1" applyProtection="1">
      <alignment vertical="top"/>
    </xf>
    <xf numFmtId="0" fontId="85" fillId="0" borderId="15" xfId="21" applyFont="1" applyBorder="1" applyAlignment="1" applyProtection="1">
      <alignment horizontal="center"/>
    </xf>
    <xf numFmtId="0" fontId="85" fillId="0" borderId="6" xfId="21" applyFont="1" applyBorder="1" applyAlignment="1" applyProtection="1">
      <alignment horizontal="center"/>
    </xf>
    <xf numFmtId="0" fontId="80" fillId="0" borderId="11" xfId="21" applyFont="1" applyBorder="1" applyAlignment="1" applyProtection="1"/>
    <xf numFmtId="0" fontId="85" fillId="2" borderId="8" xfId="21" applyFont="1" applyFill="1" applyBorder="1" applyAlignment="1" applyProtection="1">
      <alignment horizontal="center"/>
    </xf>
    <xf numFmtId="0" fontId="85" fillId="2" borderId="8" xfId="21" applyFont="1" applyFill="1" applyBorder="1" applyAlignment="1" applyProtection="1">
      <alignment vertical="center"/>
    </xf>
    <xf numFmtId="41" fontId="85" fillId="2" borderId="8" xfId="4" applyFont="1" applyFill="1" applyBorder="1" applyProtection="1"/>
    <xf numFmtId="41" fontId="85" fillId="2" borderId="8" xfId="4" applyNumberFormat="1" applyFont="1" applyFill="1" applyBorder="1" applyProtection="1"/>
    <xf numFmtId="0" fontId="80" fillId="0" borderId="0" xfId="21" applyFont="1" applyFill="1" applyBorder="1" applyAlignment="1" applyProtection="1">
      <alignment horizontal="left"/>
    </xf>
    <xf numFmtId="0" fontId="80" fillId="0" borderId="0" xfId="21" applyFont="1" applyFill="1" applyBorder="1" applyAlignment="1" applyProtection="1">
      <alignment vertical="center"/>
    </xf>
    <xf numFmtId="41" fontId="80" fillId="0" borderId="0" xfId="4" applyNumberFormat="1" applyFont="1" applyFill="1" applyBorder="1" applyProtection="1"/>
    <xf numFmtId="0" fontId="80" fillId="0" borderId="0" xfId="21" applyFont="1" applyFill="1" applyBorder="1" applyAlignment="1" applyProtection="1">
      <alignment vertical="top"/>
    </xf>
    <xf numFmtId="0" fontId="102" fillId="0" borderId="0" xfId="21" applyFont="1" applyFill="1" applyBorder="1" applyAlignment="1" applyProtection="1">
      <alignment vertical="top"/>
    </xf>
    <xf numFmtId="0" fontId="102" fillId="0" borderId="0" xfId="21" applyFont="1" applyFill="1" applyAlignment="1" applyProtection="1"/>
    <xf numFmtId="10" fontId="102" fillId="0" borderId="0" xfId="24" applyNumberFormat="1" applyFont="1" applyFill="1" applyBorder="1" applyProtection="1"/>
    <xf numFmtId="0" fontId="85" fillId="0" borderId="0" xfId="21" applyFont="1" applyFill="1" applyBorder="1" applyAlignment="1" applyProtection="1">
      <alignment vertical="center"/>
    </xf>
    <xf numFmtId="0" fontId="85" fillId="0" borderId="0" xfId="21" applyFont="1" applyFill="1" applyBorder="1" applyAlignment="1" applyProtection="1">
      <alignment horizontal="center" vertical="center"/>
    </xf>
    <xf numFmtId="0" fontId="80" fillId="0" borderId="0" xfId="21" applyFont="1" applyFill="1" applyBorder="1" applyAlignment="1" applyProtection="1">
      <alignment horizontal="center" vertical="center"/>
    </xf>
    <xf numFmtId="188" fontId="85" fillId="0" borderId="0" xfId="21" applyNumberFormat="1" applyFont="1" applyFill="1" applyBorder="1" applyAlignment="1" applyProtection="1">
      <alignment horizontal="center" vertical="center"/>
    </xf>
    <xf numFmtId="0" fontId="80" fillId="0" borderId="0" xfId="21" applyFont="1" applyFill="1" applyBorder="1" applyAlignment="1" applyProtection="1">
      <alignment horizontal="center" vertical="justify"/>
    </xf>
    <xf numFmtId="0" fontId="80" fillId="0" borderId="0" xfId="21" applyFont="1" applyFill="1" applyBorder="1" applyAlignment="1" applyProtection="1">
      <alignment vertical="justify"/>
    </xf>
    <xf numFmtId="180" fontId="80" fillId="0" borderId="0" xfId="7" applyNumberFormat="1" applyFont="1" applyFill="1" applyBorder="1" applyAlignment="1" applyProtection="1"/>
    <xf numFmtId="0" fontId="88" fillId="0" borderId="0" xfId="21" applyFont="1" applyFill="1" applyBorder="1" applyAlignment="1" applyProtection="1">
      <alignment vertical="top" wrapText="1"/>
    </xf>
    <xf numFmtId="0" fontId="80" fillId="0" borderId="0" xfId="21" applyFont="1" applyFill="1" applyBorder="1" applyAlignment="1" applyProtection="1">
      <alignment horizontal="justify" vertical="justify"/>
    </xf>
    <xf numFmtId="0" fontId="80" fillId="0" borderId="0" xfId="21" applyFont="1" applyFill="1" applyBorder="1" applyAlignment="1" applyProtection="1">
      <alignment horizontal="center" vertical="justify" wrapText="1"/>
    </xf>
    <xf numFmtId="0" fontId="80" fillId="0" borderId="0" xfId="21" applyFont="1" applyFill="1" applyBorder="1" applyAlignment="1" applyProtection="1">
      <alignment vertical="justify" wrapText="1"/>
    </xf>
    <xf numFmtId="41" fontId="80" fillId="0" borderId="0" xfId="21" applyNumberFormat="1" applyFont="1" applyFill="1" applyBorder="1" applyAlignment="1" applyProtection="1"/>
    <xf numFmtId="180" fontId="80" fillId="0" borderId="0" xfId="21" applyNumberFormat="1" applyFont="1" applyFill="1" applyBorder="1" applyAlignment="1" applyProtection="1"/>
    <xf numFmtId="180" fontId="80" fillId="0" borderId="0" xfId="21" applyNumberFormat="1" applyFont="1" applyFill="1" applyAlignment="1" applyProtection="1"/>
    <xf numFmtId="0" fontId="23" fillId="0" borderId="81" xfId="21" applyFont="1" applyBorder="1" applyAlignment="1"/>
    <xf numFmtId="0" fontId="23" fillId="0" borderId="82" xfId="21" applyFont="1" applyBorder="1" applyAlignment="1"/>
    <xf numFmtId="0" fontId="23" fillId="0" borderId="83" xfId="21" applyFont="1" applyBorder="1" applyAlignment="1"/>
    <xf numFmtId="0" fontId="23" fillId="0" borderId="0" xfId="21" applyFont="1" applyBorder="1" applyAlignment="1"/>
    <xf numFmtId="0" fontId="104" fillId="0" borderId="0" xfId="21" applyFont="1" applyAlignment="1"/>
    <xf numFmtId="0" fontId="105" fillId="0" borderId="0" xfId="21" applyFont="1" applyAlignment="1"/>
    <xf numFmtId="0" fontId="23" fillId="0" borderId="84" xfId="21" applyFont="1" applyBorder="1" applyAlignment="1"/>
    <xf numFmtId="0" fontId="23" fillId="0" borderId="85" xfId="21" applyFont="1" applyBorder="1" applyAlignment="1"/>
    <xf numFmtId="0" fontId="22" fillId="3" borderId="17" xfId="21" applyFont="1" applyFill="1" applyBorder="1" applyAlignment="1">
      <alignment horizontal="center" vertical="top"/>
    </xf>
    <xf numFmtId="0" fontId="22" fillId="3" borderId="117" xfId="21" applyFont="1" applyFill="1" applyBorder="1" applyAlignment="1">
      <alignment horizontal="center" wrapText="1"/>
    </xf>
    <xf numFmtId="0" fontId="22" fillId="0" borderId="0" xfId="21" applyFont="1" applyBorder="1" applyAlignment="1">
      <alignment horizontal="center"/>
    </xf>
    <xf numFmtId="0" fontId="22" fillId="0" borderId="19" xfId="21" applyFont="1" applyBorder="1" applyAlignment="1"/>
    <xf numFmtId="191" fontId="22" fillId="0" borderId="44" xfId="21" applyNumberFormat="1" applyFont="1" applyBorder="1" applyAlignment="1">
      <alignment horizontal="center"/>
    </xf>
    <xf numFmtId="191" fontId="22" fillId="0" borderId="0" xfId="21" applyNumberFormat="1" applyFont="1" applyBorder="1" applyAlignment="1">
      <alignment horizontal="center"/>
    </xf>
    <xf numFmtId="0" fontId="22" fillId="0" borderId="20" xfId="21" applyFont="1" applyBorder="1" applyAlignment="1"/>
    <xf numFmtId="0" fontId="23" fillId="0" borderId="118" xfId="21" applyFont="1" applyBorder="1" applyAlignment="1"/>
    <xf numFmtId="0" fontId="22" fillId="0" borderId="0" xfId="21" applyFont="1" applyBorder="1" applyAlignment="1"/>
    <xf numFmtId="0" fontId="23" fillId="0" borderId="0" xfId="21" applyFont="1" applyBorder="1" applyAlignment="1">
      <alignment horizontal="right"/>
    </xf>
    <xf numFmtId="0" fontId="22" fillId="3" borderId="50" xfId="21" applyFont="1" applyFill="1" applyBorder="1" applyAlignment="1"/>
    <xf numFmtId="0" fontId="22" fillId="3" borderId="52" xfId="21" applyFont="1" applyFill="1" applyBorder="1" applyAlignment="1">
      <alignment horizontal="center" wrapText="1"/>
    </xf>
    <xf numFmtId="0" fontId="22" fillId="3" borderId="66" xfId="21" applyFont="1" applyFill="1" applyBorder="1" applyAlignment="1"/>
    <xf numFmtId="0" fontId="22" fillId="3" borderId="0" xfId="21" applyFont="1" applyFill="1" applyBorder="1" applyAlignment="1">
      <alignment horizontal="center"/>
    </xf>
    <xf numFmtId="0" fontId="22" fillId="3" borderId="51" xfId="21" applyFont="1" applyFill="1" applyBorder="1" applyAlignment="1">
      <alignment horizontal="center"/>
    </xf>
    <xf numFmtId="0" fontId="106" fillId="0" borderId="0" xfId="21" applyFont="1" applyAlignment="1">
      <alignment horizontal="center"/>
    </xf>
    <xf numFmtId="0" fontId="22" fillId="3" borderId="50" xfId="21" applyFont="1" applyFill="1" applyBorder="1" applyAlignment="1">
      <alignment horizontal="center"/>
    </xf>
    <xf numFmtId="0" fontId="22" fillId="3" borderId="52" xfId="21" applyFont="1" applyFill="1" applyBorder="1" applyAlignment="1"/>
    <xf numFmtId="0" fontId="107" fillId="3" borderId="45" xfId="21" applyFont="1" applyFill="1" applyBorder="1" applyAlignment="1"/>
    <xf numFmtId="2" fontId="107" fillId="3" borderId="45" xfId="21" applyNumberFormat="1" applyFont="1" applyFill="1" applyBorder="1" applyAlignment="1"/>
    <xf numFmtId="0" fontId="23" fillId="3" borderId="45" xfId="21" applyFont="1" applyFill="1" applyBorder="1" applyAlignment="1"/>
    <xf numFmtId="0" fontId="23" fillId="3" borderId="63" xfId="21" applyFont="1" applyFill="1" applyBorder="1" applyAlignment="1"/>
    <xf numFmtId="0" fontId="108" fillId="0" borderId="0" xfId="21" applyFont="1" applyAlignment="1"/>
    <xf numFmtId="0" fontId="109" fillId="0" borderId="0" xfId="21" applyFont="1" applyAlignment="1"/>
    <xf numFmtId="0" fontId="110" fillId="0" borderId="50" xfId="21" applyFont="1" applyBorder="1" applyAlignment="1">
      <alignment horizontal="center"/>
    </xf>
    <xf numFmtId="0" fontId="23" fillId="0" borderId="65" xfId="21" applyFont="1" applyBorder="1" applyAlignment="1"/>
    <xf numFmtId="0" fontId="23" fillId="0" borderId="0" xfId="21" applyFont="1" applyBorder="1" applyAlignment="1" applyProtection="1">
      <alignment horizontal="center"/>
    </xf>
    <xf numFmtId="0" fontId="23" fillId="0" borderId="51" xfId="21" applyFont="1" applyBorder="1" applyAlignment="1" applyProtection="1">
      <alignment horizontal="center"/>
    </xf>
    <xf numFmtId="0" fontId="23" fillId="0" borderId="119" xfId="21" applyFont="1" applyBorder="1" applyAlignment="1" applyProtection="1">
      <alignment horizontal="center"/>
      <protection hidden="1"/>
    </xf>
    <xf numFmtId="0" fontId="111" fillId="0" borderId="0" xfId="21" applyFont="1" applyAlignment="1" applyProtection="1">
      <protection hidden="1"/>
    </xf>
    <xf numFmtId="0" fontId="112" fillId="0" borderId="0" xfId="21" applyFont="1" applyAlignment="1" applyProtection="1">
      <protection hidden="1"/>
    </xf>
    <xf numFmtId="0" fontId="112" fillId="0" borderId="0" xfId="21" applyFont="1" applyAlignment="1"/>
    <xf numFmtId="0" fontId="110" fillId="0" borderId="66" xfId="21" applyFont="1" applyBorder="1" applyAlignment="1">
      <alignment horizontal="center"/>
    </xf>
    <xf numFmtId="0" fontId="23" fillId="0" borderId="47" xfId="21" applyFont="1" applyBorder="1" applyAlignment="1"/>
    <xf numFmtId="0" fontId="23" fillId="0" borderId="66" xfId="21" applyFont="1" applyBorder="1" applyAlignment="1" applyProtection="1">
      <alignment horizontal="center"/>
      <protection locked="0"/>
    </xf>
    <xf numFmtId="0" fontId="23" fillId="0" borderId="119" xfId="21" applyFont="1" applyBorder="1" applyAlignment="1" applyProtection="1">
      <alignment horizontal="center"/>
      <protection locked="0"/>
    </xf>
    <xf numFmtId="0" fontId="110" fillId="0" borderId="67" xfId="21" applyFont="1" applyBorder="1" applyAlignment="1">
      <alignment horizontal="center"/>
    </xf>
    <xf numFmtId="0" fontId="23" fillId="0" borderId="68" xfId="21" applyFont="1" applyBorder="1" applyAlignment="1"/>
    <xf numFmtId="0" fontId="23" fillId="0" borderId="120" xfId="21" applyFont="1" applyBorder="1" applyAlignment="1" applyProtection="1">
      <alignment horizontal="center"/>
      <protection locked="0"/>
    </xf>
    <xf numFmtId="0" fontId="22" fillId="3" borderId="67" xfId="21" applyFont="1" applyFill="1" applyBorder="1" applyAlignment="1">
      <alignment horizontal="center"/>
    </xf>
    <xf numFmtId="0" fontId="22" fillId="3" borderId="64" xfId="21" applyFont="1" applyFill="1" applyBorder="1" applyAlignment="1"/>
    <xf numFmtId="9" fontId="107" fillId="3" borderId="45" xfId="24" applyNumberFormat="1" applyFont="1" applyFill="1" applyBorder="1" applyAlignment="1"/>
    <xf numFmtId="0" fontId="23" fillId="3" borderId="63" xfId="21" applyFont="1" applyFill="1" applyBorder="1" applyAlignment="1">
      <alignment horizontal="center"/>
    </xf>
    <xf numFmtId="0" fontId="23" fillId="0" borderId="51" xfId="21" applyFont="1" applyBorder="1" applyAlignment="1" applyProtection="1">
      <alignment horizontal="center"/>
      <protection locked="0"/>
    </xf>
    <xf numFmtId="0" fontId="23" fillId="0" borderId="0" xfId="21" applyFont="1" applyFill="1" applyBorder="1" applyAlignment="1"/>
    <xf numFmtId="0" fontId="113" fillId="0" borderId="0" xfId="21" applyFont="1" applyFill="1" applyBorder="1" applyAlignment="1"/>
    <xf numFmtId="0" fontId="23" fillId="14" borderId="120" xfId="21" applyFont="1" applyFill="1" applyBorder="1" applyAlignment="1">
      <alignment horizontal="center"/>
    </xf>
    <xf numFmtId="0" fontId="22" fillId="3" borderId="62" xfId="21" applyFont="1" applyFill="1" applyBorder="1" applyAlignment="1">
      <alignment horizontal="center"/>
    </xf>
    <xf numFmtId="0" fontId="22" fillId="3" borderId="45" xfId="21" applyFont="1" applyFill="1" applyBorder="1" applyAlignment="1"/>
    <xf numFmtId="0" fontId="23" fillId="0" borderId="52" xfId="21" applyFont="1" applyBorder="1" applyAlignment="1"/>
    <xf numFmtId="0" fontId="23" fillId="0" borderId="52" xfId="21" applyFont="1" applyBorder="1" applyAlignment="1" applyProtection="1">
      <alignment horizontal="center"/>
      <protection locked="0"/>
    </xf>
    <xf numFmtId="0" fontId="23" fillId="0" borderId="0" xfId="21" applyFont="1" applyBorder="1" applyAlignment="1" applyProtection="1">
      <alignment horizontal="center"/>
      <protection locked="0"/>
    </xf>
    <xf numFmtId="0" fontId="23" fillId="0" borderId="64" xfId="21" applyFont="1" applyBorder="1" applyAlignment="1"/>
    <xf numFmtId="0" fontId="23" fillId="0" borderId="64" xfId="21" applyFont="1" applyBorder="1" applyAlignment="1" applyProtection="1">
      <alignment horizontal="center"/>
      <protection locked="0"/>
    </xf>
    <xf numFmtId="0" fontId="114" fillId="0" borderId="0" xfId="21" applyFont="1" applyAlignment="1" applyProtection="1">
      <protection hidden="1"/>
    </xf>
    <xf numFmtId="2" fontId="117" fillId="3" borderId="45" xfId="21" applyNumberFormat="1" applyFont="1" applyFill="1" applyBorder="1" applyAlignment="1">
      <alignment horizontal="center" wrapText="1"/>
    </xf>
    <xf numFmtId="191" fontId="22" fillId="3" borderId="72" xfId="21" applyNumberFormat="1" applyFont="1" applyFill="1" applyBorder="1" applyAlignment="1">
      <alignment horizontal="center" wrapText="1"/>
    </xf>
    <xf numFmtId="0" fontId="22" fillId="0" borderId="50" xfId="21" applyFont="1" applyBorder="1" applyAlignment="1">
      <alignment horizontal="center"/>
    </xf>
    <xf numFmtId="9" fontId="23" fillId="0" borderId="65" xfId="24" applyFont="1" applyBorder="1"/>
    <xf numFmtId="10" fontId="23" fillId="0" borderId="51" xfId="21" applyNumberFormat="1" applyFont="1" applyBorder="1" applyAlignment="1"/>
    <xf numFmtId="0" fontId="23" fillId="0" borderId="0" xfId="21" applyFont="1" applyBorder="1" applyAlignment="1">
      <alignment horizontal="center"/>
    </xf>
    <xf numFmtId="0" fontId="23" fillId="0" borderId="51" xfId="21" applyFont="1" applyBorder="1" applyAlignment="1">
      <alignment horizontal="center"/>
    </xf>
    <xf numFmtId="0" fontId="23" fillId="0" borderId="47" xfId="21" applyFont="1" applyBorder="1" applyAlignment="1" applyProtection="1">
      <alignment horizontal="center"/>
      <protection hidden="1"/>
    </xf>
    <xf numFmtId="0" fontId="112" fillId="0" borderId="0" xfId="21" applyFont="1" applyBorder="1" applyAlignment="1" applyProtection="1">
      <alignment horizontal="center"/>
      <protection hidden="1"/>
    </xf>
    <xf numFmtId="0" fontId="22" fillId="0" borderId="66" xfId="21" applyFont="1" applyFill="1" applyBorder="1" applyAlignment="1">
      <alignment horizontal="center"/>
    </xf>
    <xf numFmtId="0" fontId="23" fillId="0" borderId="47" xfId="21" applyFont="1" applyFill="1" applyBorder="1" applyAlignment="1"/>
    <xf numFmtId="9" fontId="113" fillId="0" borderId="47" xfId="24" applyFont="1" applyFill="1" applyBorder="1"/>
    <xf numFmtId="10" fontId="23" fillId="0" borderId="119" xfId="21" applyNumberFormat="1" applyFont="1" applyFill="1" applyBorder="1" applyAlignment="1"/>
    <xf numFmtId="0" fontId="23" fillId="0" borderId="0" xfId="21" applyFont="1" applyFill="1" applyBorder="1" applyAlignment="1">
      <alignment horizontal="center"/>
    </xf>
    <xf numFmtId="0" fontId="23" fillId="0" borderId="119" xfId="21" applyFont="1" applyFill="1" applyBorder="1" applyAlignment="1">
      <alignment horizontal="center"/>
    </xf>
    <xf numFmtId="0" fontId="23" fillId="16" borderId="0" xfId="21" applyFont="1" applyFill="1" applyBorder="1" applyAlignment="1"/>
    <xf numFmtId="0" fontId="112" fillId="0" borderId="0" xfId="21" applyFont="1" applyFill="1" applyBorder="1" applyAlignment="1" applyProtection="1">
      <alignment horizontal="center"/>
      <protection hidden="1"/>
    </xf>
    <xf numFmtId="2" fontId="23" fillId="0" borderId="119" xfId="21" applyNumberFormat="1" applyFont="1" applyFill="1" applyBorder="1" applyAlignment="1"/>
    <xf numFmtId="0" fontId="23" fillId="3" borderId="62" xfId="21" applyFont="1" applyFill="1" applyBorder="1" applyAlignment="1"/>
    <xf numFmtId="0" fontId="115" fillId="3" borderId="63" xfId="21" applyFont="1" applyFill="1" applyBorder="1" applyAlignment="1">
      <alignment vertical="center"/>
    </xf>
    <xf numFmtId="0" fontId="116" fillId="3" borderId="45" xfId="21" applyFont="1" applyFill="1" applyBorder="1" applyAlignment="1">
      <alignment horizontal="center" vertical="center" wrapText="1"/>
    </xf>
    <xf numFmtId="0" fontId="112" fillId="0" borderId="0" xfId="21" applyFont="1" applyBorder="1" applyAlignment="1" applyProtection="1">
      <protection hidden="1"/>
    </xf>
    <xf numFmtId="0" fontId="23" fillId="0" borderId="0" xfId="21" applyFont="1" applyAlignment="1"/>
    <xf numFmtId="0" fontId="23" fillId="3" borderId="9" xfId="21" applyFont="1" applyFill="1" applyBorder="1" applyAlignment="1"/>
    <xf numFmtId="0" fontId="22" fillId="3" borderId="12" xfId="21" applyFont="1" applyFill="1" applyBorder="1" applyAlignment="1">
      <alignment horizontal="center"/>
    </xf>
    <xf numFmtId="0" fontId="22" fillId="3" borderId="16" xfId="21" applyFont="1" applyFill="1" applyBorder="1" applyAlignment="1">
      <alignment horizontal="center"/>
    </xf>
    <xf numFmtId="0" fontId="115" fillId="3" borderId="121" xfId="21" applyFont="1" applyFill="1" applyBorder="1" applyAlignment="1"/>
    <xf numFmtId="0" fontId="23" fillId="3" borderId="122" xfId="21" applyFont="1" applyFill="1" applyBorder="1" applyAlignment="1"/>
    <xf numFmtId="0" fontId="23" fillId="3" borderId="123" xfId="21" applyFont="1" applyFill="1" applyBorder="1" applyAlignment="1"/>
    <xf numFmtId="0" fontId="23" fillId="0" borderId="4" xfId="21" applyFont="1" applyBorder="1" applyAlignment="1"/>
    <xf numFmtId="0" fontId="23" fillId="0" borderId="13" xfId="21" applyFont="1" applyBorder="1" applyAlignment="1">
      <alignment horizontal="center"/>
    </xf>
    <xf numFmtId="0" fontId="23" fillId="0" borderId="14" xfId="21" applyFont="1" applyBorder="1" applyAlignment="1">
      <alignment horizontal="center"/>
    </xf>
    <xf numFmtId="0" fontId="23" fillId="0" borderId="6" xfId="21" applyFont="1" applyBorder="1" applyAlignment="1"/>
    <xf numFmtId="0" fontId="22" fillId="0" borderId="10" xfId="21" applyFont="1" applyBorder="1" applyAlignment="1"/>
    <xf numFmtId="0" fontId="23" fillId="0" borderId="15" xfId="21" applyFont="1" applyBorder="1" applyAlignment="1">
      <alignment horizontal="center"/>
    </xf>
    <xf numFmtId="0" fontId="22" fillId="3" borderId="8" xfId="21" applyFont="1" applyFill="1" applyBorder="1" applyAlignment="1">
      <alignment horizontal="center"/>
    </xf>
    <xf numFmtId="0" fontId="115" fillId="0" borderId="124" xfId="21" applyFont="1" applyBorder="1" applyAlignment="1" applyProtection="1">
      <protection locked="0"/>
    </xf>
    <xf numFmtId="0" fontId="23" fillId="0" borderId="22" xfId="21" applyFont="1" applyBorder="1" applyAlignment="1" applyProtection="1">
      <protection locked="0"/>
    </xf>
    <xf numFmtId="0" fontId="23" fillId="0" borderId="125" xfId="21" applyFont="1" applyBorder="1" applyAlignment="1" applyProtection="1">
      <alignment horizontal="left"/>
      <protection locked="0"/>
    </xf>
    <xf numFmtId="0" fontId="23" fillId="0" borderId="3" xfId="21" applyFont="1" applyBorder="1" applyAlignment="1"/>
    <xf numFmtId="0" fontId="22" fillId="0" borderId="16" xfId="21" applyFont="1" applyBorder="1" applyAlignment="1"/>
    <xf numFmtId="0" fontId="115" fillId="0" borderId="93" xfId="21" applyFont="1" applyBorder="1" applyAlignment="1" applyProtection="1">
      <protection locked="0"/>
    </xf>
    <xf numFmtId="0" fontId="23" fillId="0" borderId="94" xfId="21" applyFont="1" applyBorder="1" applyAlignment="1" applyProtection="1">
      <protection locked="0"/>
    </xf>
    <xf numFmtId="0" fontId="23" fillId="0" borderId="95" xfId="21" applyFont="1" applyBorder="1" applyAlignment="1" applyProtection="1">
      <protection locked="0"/>
    </xf>
    <xf numFmtId="0" fontId="121" fillId="14" borderId="5" xfId="21" applyFont="1" applyFill="1" applyBorder="1" applyAlignment="1"/>
    <xf numFmtId="0" fontId="123" fillId="14" borderId="14" xfId="21" applyFont="1" applyFill="1" applyBorder="1" applyAlignment="1">
      <alignment horizontal="center"/>
    </xf>
    <xf numFmtId="0" fontId="22" fillId="0" borderId="5" xfId="21" applyFont="1" applyBorder="1" applyAlignment="1"/>
    <xf numFmtId="0" fontId="23" fillId="0" borderId="5" xfId="21" applyFont="1" applyBorder="1" applyAlignment="1"/>
    <xf numFmtId="0" fontId="23" fillId="0" borderId="11" xfId="21" applyFont="1" applyBorder="1" applyAlignment="1"/>
    <xf numFmtId="0" fontId="125" fillId="14" borderId="15" xfId="21" applyFont="1" applyFill="1" applyBorder="1" applyAlignment="1">
      <alignment horizontal="center"/>
    </xf>
    <xf numFmtId="0" fontId="126" fillId="0" borderId="0" xfId="21" applyFont="1" applyAlignment="1"/>
    <xf numFmtId="0" fontId="22" fillId="0" borderId="16" xfId="21" applyFont="1" applyBorder="1" applyAlignment="1">
      <alignment horizontal="left"/>
    </xf>
    <xf numFmtId="9" fontId="23" fillId="0" borderId="0" xfId="24" applyFont="1" applyBorder="1" applyAlignment="1">
      <alignment horizontal="center"/>
    </xf>
    <xf numFmtId="0" fontId="22" fillId="0" borderId="5" xfId="21" applyFont="1" applyBorder="1" applyAlignment="1">
      <alignment horizontal="left"/>
    </xf>
    <xf numFmtId="0" fontId="23" fillId="0" borderId="125" xfId="21" applyFont="1" applyBorder="1" applyAlignment="1" applyProtection="1">
      <protection locked="0"/>
    </xf>
    <xf numFmtId="0" fontId="22" fillId="0" borderId="11" xfId="21" applyFont="1" applyBorder="1" applyAlignment="1">
      <alignment horizontal="left"/>
    </xf>
    <xf numFmtId="9" fontId="23" fillId="0" borderId="10" xfId="24" applyFont="1" applyBorder="1" applyAlignment="1">
      <alignment horizontal="center"/>
    </xf>
    <xf numFmtId="0" fontId="123" fillId="0" borderId="0" xfId="21" applyFont="1" applyBorder="1" applyAlignment="1"/>
    <xf numFmtId="9" fontId="123" fillId="0" borderId="0" xfId="24" applyFont="1" applyBorder="1" applyAlignment="1">
      <alignment horizontal="center"/>
    </xf>
    <xf numFmtId="9" fontId="125" fillId="0" borderId="0" xfId="24" applyFont="1" applyBorder="1" applyAlignment="1">
      <alignment horizontal="center"/>
    </xf>
    <xf numFmtId="0" fontId="23" fillId="16" borderId="53" xfId="21" applyFont="1" applyFill="1" applyBorder="1" applyAlignment="1"/>
    <xf numFmtId="0" fontId="22" fillId="16" borderId="126" xfId="21" applyFont="1" applyFill="1" applyBorder="1" applyAlignment="1">
      <alignment horizontal="center"/>
    </xf>
    <xf numFmtId="191" fontId="22" fillId="16" borderId="80" xfId="24" applyNumberFormat="1" applyFont="1" applyFill="1" applyBorder="1" applyAlignment="1">
      <alignment horizontal="center"/>
    </xf>
    <xf numFmtId="191" fontId="22" fillId="16" borderId="41" xfId="24" applyNumberFormat="1" applyFont="1" applyFill="1" applyBorder="1" applyAlignment="1"/>
    <xf numFmtId="0" fontId="23" fillId="16" borderId="117" xfId="21" applyFont="1" applyFill="1" applyBorder="1" applyAlignment="1"/>
    <xf numFmtId="0" fontId="23" fillId="0" borderId="109" xfId="21" applyFont="1" applyBorder="1" applyAlignment="1"/>
    <xf numFmtId="180" fontId="23" fillId="0" borderId="3" xfId="7" applyNumberFormat="1" applyFont="1" applyBorder="1" applyAlignment="1">
      <alignment horizontal="justify" vertical="center"/>
    </xf>
    <xf numFmtId="0" fontId="23" fillId="0" borderId="66" xfId="21" applyFont="1" applyBorder="1" applyAlignment="1"/>
    <xf numFmtId="41" fontId="23" fillId="0" borderId="4" xfId="21" applyNumberFormat="1" applyFont="1" applyBorder="1" applyAlignment="1">
      <alignment horizontal="justify" vertical="center" wrapText="1"/>
    </xf>
    <xf numFmtId="180" fontId="23" fillId="0" borderId="4" xfId="21" applyNumberFormat="1" applyFont="1" applyBorder="1" applyAlignment="1">
      <alignment horizontal="justify" vertical="center"/>
    </xf>
    <xf numFmtId="0" fontId="23" fillId="0" borderId="67" xfId="21" applyFont="1" applyBorder="1" applyAlignment="1"/>
    <xf numFmtId="0" fontId="22" fillId="0" borderId="127" xfId="21" applyFont="1" applyBorder="1" applyAlignment="1">
      <alignment vertical="center"/>
    </xf>
    <xf numFmtId="41" fontId="22" fillId="0" borderId="128" xfId="21" applyNumberFormat="1" applyFont="1" applyBorder="1" applyAlignment="1">
      <alignment horizontal="right" vertical="center"/>
    </xf>
    <xf numFmtId="191" fontId="22" fillId="0" borderId="0" xfId="21" applyNumberFormat="1" applyFont="1" applyBorder="1" applyAlignment="1"/>
    <xf numFmtId="41" fontId="22" fillId="0" borderId="0" xfId="21" applyNumberFormat="1" applyFont="1" applyBorder="1" applyAlignment="1"/>
    <xf numFmtId="180" fontId="105" fillId="0" borderId="0" xfId="21" applyNumberFormat="1" applyFont="1" applyAlignment="1"/>
    <xf numFmtId="41" fontId="105" fillId="0" borderId="0" xfId="4" applyFont="1" applyAlignment="1"/>
    <xf numFmtId="9" fontId="105" fillId="0" borderId="0" xfId="24" applyFont="1" applyAlignment="1"/>
    <xf numFmtId="0" fontId="100" fillId="0" borderId="8" xfId="0" applyFont="1" applyBorder="1" applyAlignment="1">
      <alignment horizontal="center"/>
    </xf>
    <xf numFmtId="167" fontId="100" fillId="0" borderId="8" xfId="0" applyNumberFormat="1" applyFont="1" applyBorder="1" applyAlignment="1">
      <alignment horizontal="center"/>
    </xf>
    <xf numFmtId="0" fontId="127" fillId="0" borderId="0" xfId="21" applyFont="1" applyAlignment="1"/>
    <xf numFmtId="178" fontId="126" fillId="0" borderId="0" xfId="1" applyNumberFormat="1" applyFont="1" applyAlignment="1"/>
    <xf numFmtId="192" fontId="39" fillId="9" borderId="0" xfId="0" applyNumberFormat="1" applyFont="1" applyFill="1" applyAlignment="1" applyProtection="1">
      <alignment horizontal="left" vertical="center"/>
      <protection locked="0"/>
    </xf>
    <xf numFmtId="0" fontId="132" fillId="0" borderId="50" xfId="0" applyFont="1" applyBorder="1"/>
    <xf numFmtId="0" fontId="132" fillId="0" borderId="52" xfId="0" applyFont="1" applyBorder="1"/>
    <xf numFmtId="0" fontId="132" fillId="0" borderId="52" xfId="0" applyFont="1" applyBorder="1" applyAlignment="1">
      <alignment horizontal="left"/>
    </xf>
    <xf numFmtId="0" fontId="132" fillId="0" borderId="65" xfId="0" applyFont="1" applyBorder="1"/>
    <xf numFmtId="0" fontId="132" fillId="0" borderId="0" xfId="0" applyFont="1"/>
    <xf numFmtId="0" fontId="132" fillId="0" borderId="66" xfId="0" applyFont="1" applyBorder="1"/>
    <xf numFmtId="0" fontId="132" fillId="0" borderId="0" xfId="0" applyFont="1" applyBorder="1"/>
    <xf numFmtId="0" fontId="132" fillId="0" borderId="0" xfId="0" applyFont="1" applyBorder="1" applyAlignment="1">
      <alignment horizontal="left"/>
    </xf>
    <xf numFmtId="0" fontId="132" fillId="0" borderId="0" xfId="0" applyFont="1" applyBorder="1" applyAlignment="1"/>
    <xf numFmtId="0" fontId="132" fillId="0" borderId="47" xfId="0" applyFont="1" applyBorder="1"/>
    <xf numFmtId="0" fontId="132" fillId="0" borderId="8" xfId="0" applyFont="1" applyBorder="1" applyAlignment="1">
      <alignment horizontal="center"/>
    </xf>
    <xf numFmtId="0" fontId="133" fillId="0" borderId="8" xfId="0" applyFont="1" applyBorder="1" applyAlignment="1">
      <alignment horizontal="center"/>
    </xf>
    <xf numFmtId="0" fontId="132" fillId="0" borderId="8" xfId="0" applyFont="1" applyBorder="1" applyAlignment="1">
      <alignment horizontal="left"/>
    </xf>
    <xf numFmtId="0" fontId="132" fillId="0" borderId="8" xfId="0" applyFont="1" applyBorder="1"/>
    <xf numFmtId="178" fontId="134" fillId="0" borderId="8" xfId="1" applyNumberFormat="1" applyFont="1" applyBorder="1"/>
    <xf numFmtId="0" fontId="6" fillId="0" borderId="8" xfId="0" applyFont="1" applyBorder="1" applyAlignment="1">
      <alignment horizontal="left"/>
    </xf>
    <xf numFmtId="178" fontId="6" fillId="16" borderId="8" xfId="1" applyNumberFormat="1" applyFont="1" applyFill="1" applyBorder="1" applyAlignment="1">
      <alignment horizontal="center"/>
    </xf>
    <xf numFmtId="178" fontId="134" fillId="5" borderId="8" xfId="1" applyNumberFormat="1" applyFont="1" applyFill="1" applyBorder="1" applyAlignment="1">
      <alignment horizontal="center"/>
    </xf>
    <xf numFmtId="0" fontId="132" fillId="0" borderId="0" xfId="0" applyFont="1" applyAlignment="1">
      <alignment horizontal="left" wrapText="1"/>
    </xf>
    <xf numFmtId="0" fontId="134" fillId="0" borderId="8" xfId="0" applyFont="1" applyBorder="1" applyAlignment="1">
      <alignment horizontal="center"/>
    </xf>
    <xf numFmtId="0" fontId="133" fillId="0" borderId="52" xfId="0" applyFont="1" applyBorder="1" applyAlignment="1">
      <alignment horizontal="left"/>
    </xf>
    <xf numFmtId="0" fontId="132" fillId="0" borderId="67" xfId="0" applyFont="1" applyBorder="1"/>
    <xf numFmtId="0" fontId="132" fillId="0" borderId="66" xfId="0" applyFont="1" applyBorder="1" applyAlignment="1">
      <alignment horizontal="center" vertical="center"/>
    </xf>
    <xf numFmtId="0" fontId="133" fillId="0" borderId="8" xfId="0" applyFont="1" applyBorder="1" applyAlignment="1">
      <alignment horizontal="center" vertical="center"/>
    </xf>
    <xf numFmtId="0" fontId="133" fillId="0" borderId="8" xfId="0" applyFont="1" applyBorder="1" applyAlignment="1">
      <alignment horizontal="center" vertical="center" wrapText="1"/>
    </xf>
    <xf numFmtId="0" fontId="132" fillId="0" borderId="47" xfId="0" applyFont="1" applyBorder="1" applyAlignment="1">
      <alignment horizontal="center" vertical="center"/>
    </xf>
    <xf numFmtId="0" fontId="132" fillId="0" borderId="0" xfId="0" applyFont="1" applyAlignment="1">
      <alignment horizontal="center" vertical="center"/>
    </xf>
    <xf numFmtId="9" fontId="132" fillId="0" borderId="8" xfId="0" applyNumberFormat="1" applyFont="1" applyBorder="1" applyAlignment="1">
      <alignment horizontal="center"/>
    </xf>
    <xf numFmtId="9" fontId="132" fillId="0" borderId="0" xfId="0" applyNumberFormat="1" applyFont="1" applyBorder="1"/>
    <xf numFmtId="178" fontId="134" fillId="0" borderId="0" xfId="1" applyNumberFormat="1" applyFont="1" applyBorder="1"/>
    <xf numFmtId="9" fontId="134" fillId="0" borderId="0" xfId="0" applyNumberFormat="1" applyFont="1" applyBorder="1" applyAlignment="1">
      <alignment horizontal="right"/>
    </xf>
    <xf numFmtId="0" fontId="132" fillId="0" borderId="66" xfId="0" applyFont="1" applyBorder="1" applyAlignment="1">
      <alignment vertical="center"/>
    </xf>
    <xf numFmtId="0" fontId="132" fillId="0" borderId="0" xfId="0" applyFont="1" applyBorder="1" applyAlignment="1">
      <alignment vertical="center"/>
    </xf>
    <xf numFmtId="0" fontId="133" fillId="0" borderId="62" xfId="0" applyFont="1" applyBorder="1" applyAlignment="1">
      <alignment horizontal="left" vertical="center"/>
    </xf>
    <xf numFmtId="178" fontId="136" fillId="0" borderId="63" xfId="1" applyNumberFormat="1" applyFont="1" applyBorder="1" applyAlignment="1">
      <alignment vertical="center"/>
    </xf>
    <xf numFmtId="0" fontId="132" fillId="0" borderId="47" xfId="0" applyFont="1" applyBorder="1" applyAlignment="1">
      <alignment vertical="center"/>
    </xf>
    <xf numFmtId="0" fontId="132" fillId="0" borderId="0" xfId="0" applyFont="1" applyAlignment="1">
      <alignment vertical="center"/>
    </xf>
    <xf numFmtId="0" fontId="132" fillId="0" borderId="64" xfId="0" applyFont="1" applyBorder="1"/>
    <xf numFmtId="0" fontId="132" fillId="0" borderId="64" xfId="0" applyFont="1" applyBorder="1" applyAlignment="1">
      <alignment horizontal="left"/>
    </xf>
    <xf numFmtId="0" fontId="132" fillId="0" borderId="68" xfId="0" applyFont="1" applyBorder="1"/>
    <xf numFmtId="0" fontId="132" fillId="0" borderId="0" xfId="0" applyFont="1" applyAlignment="1">
      <alignment horizontal="left"/>
    </xf>
    <xf numFmtId="0" fontId="132" fillId="0" borderId="0" xfId="0" applyFont="1" applyBorder="1" applyAlignment="1">
      <alignment horizontal="center"/>
    </xf>
    <xf numFmtId="0" fontId="134" fillId="0" borderId="0" xfId="0" applyFont="1" applyBorder="1" applyAlignment="1">
      <alignment horizontal="center"/>
    </xf>
    <xf numFmtId="0" fontId="135" fillId="0" borderId="8" xfId="0" applyFont="1" applyBorder="1" applyAlignment="1">
      <alignment horizontal="center" vertical="center"/>
    </xf>
    <xf numFmtId="9" fontId="135" fillId="0" borderId="8" xfId="0" applyNumberFormat="1" applyFont="1" applyBorder="1" applyAlignment="1">
      <alignment horizontal="center" vertical="center" wrapText="1"/>
    </xf>
    <xf numFmtId="0" fontId="137" fillId="0" borderId="8" xfId="0" applyFont="1" applyBorder="1"/>
    <xf numFmtId="0" fontId="137" fillId="0" borderId="8" xfId="0" applyFont="1" applyBorder="1" applyAlignment="1">
      <alignment horizontal="left"/>
    </xf>
    <xf numFmtId="9" fontId="137" fillId="0" borderId="8" xfId="0" applyNumberFormat="1" applyFont="1" applyBorder="1" applyAlignment="1">
      <alignment horizontal="center" vertical="center"/>
    </xf>
    <xf numFmtId="0" fontId="40" fillId="0" borderId="7" xfId="0" applyFont="1" applyBorder="1" applyAlignment="1" applyProtection="1">
      <alignment horizontal="left" vertical="center" wrapText="1"/>
      <protection locked="0"/>
    </xf>
    <xf numFmtId="0" fontId="41" fillId="0" borderId="0" xfId="0" applyFont="1" applyBorder="1" applyAlignment="1" applyProtection="1">
      <alignment horizontal="left" vertical="top" wrapText="1"/>
      <protection locked="0"/>
    </xf>
    <xf numFmtId="178" fontId="72" fillId="0" borderId="12" xfId="1" applyNumberFormat="1" applyFont="1" applyFill="1" applyBorder="1" applyAlignment="1" applyProtection="1">
      <alignment vertical="center"/>
      <protection hidden="1"/>
    </xf>
    <xf numFmtId="178" fontId="72" fillId="0" borderId="12" xfId="0" applyNumberFormat="1" applyFont="1" applyFill="1" applyBorder="1" applyAlignment="1" applyProtection="1">
      <alignment vertical="center"/>
      <protection hidden="1"/>
    </xf>
    <xf numFmtId="178" fontId="72" fillId="0" borderId="8" xfId="0" applyNumberFormat="1" applyFont="1" applyFill="1" applyBorder="1" applyAlignment="1" applyProtection="1">
      <alignment vertical="center"/>
      <protection hidden="1"/>
    </xf>
    <xf numFmtId="178" fontId="72" fillId="0" borderId="8" xfId="2" applyNumberFormat="1" applyFont="1" applyFill="1" applyBorder="1" applyAlignment="1" applyProtection="1">
      <alignment horizontal="right" vertical="center"/>
      <protection hidden="1"/>
    </xf>
    <xf numFmtId="178" fontId="72" fillId="0" borderId="0" xfId="2" applyNumberFormat="1" applyFont="1" applyFill="1" applyBorder="1" applyAlignment="1" applyProtection="1">
      <alignment horizontal="right" vertical="center"/>
      <protection hidden="1"/>
    </xf>
    <xf numFmtId="0" fontId="15" fillId="0" borderId="0" xfId="0" applyFont="1" applyAlignment="1">
      <alignment vertical="center" wrapText="1"/>
    </xf>
    <xf numFmtId="9" fontId="55" fillId="16" borderId="6" xfId="25" applyFont="1" applyFill="1" applyBorder="1" applyAlignment="1" applyProtection="1">
      <alignment horizontal="center" vertical="center" wrapText="1"/>
      <protection hidden="1"/>
    </xf>
    <xf numFmtId="178" fontId="72" fillId="5" borderId="8" xfId="9" applyNumberFormat="1" applyFont="1" applyFill="1" applyBorder="1" applyAlignment="1" applyProtection="1">
      <alignment horizontal="center" vertical="center" wrapText="1"/>
      <protection hidden="1"/>
    </xf>
    <xf numFmtId="165" fontId="41" fillId="6" borderId="8" xfId="9" applyFont="1" applyFill="1" applyBorder="1" applyAlignment="1" applyProtection="1">
      <alignment horizontal="center" vertical="center" wrapText="1"/>
      <protection hidden="1"/>
    </xf>
    <xf numFmtId="178" fontId="72" fillId="0" borderId="8" xfId="9" applyNumberFormat="1" applyFont="1" applyBorder="1" applyAlignment="1" applyProtection="1">
      <alignment vertical="center" wrapText="1"/>
      <protection hidden="1"/>
    </xf>
    <xf numFmtId="0" fontId="148" fillId="0" borderId="0" xfId="0" applyFont="1" applyFill="1" applyBorder="1" applyAlignment="1">
      <alignment horizontal="justify" vertical="justify"/>
    </xf>
    <xf numFmtId="0" fontId="148" fillId="0" borderId="0" xfId="0" applyFont="1" applyFill="1" applyBorder="1" applyAlignment="1">
      <alignment horizontal="center" vertical="justify"/>
    </xf>
    <xf numFmtId="9" fontId="48" fillId="0" borderId="9" xfId="25" applyFont="1" applyBorder="1" applyAlignment="1" applyProtection="1">
      <alignment horizontal="center" vertical="center" wrapText="1"/>
      <protection hidden="1"/>
    </xf>
    <xf numFmtId="9" fontId="60" fillId="0" borderId="9" xfId="25" applyFont="1" applyBorder="1" applyAlignment="1" applyProtection="1">
      <alignment horizontal="center" vertical="center" wrapText="1"/>
      <protection hidden="1"/>
    </xf>
    <xf numFmtId="178" fontId="72" fillId="0" borderId="8" xfId="9" applyNumberFormat="1" applyFont="1" applyBorder="1" applyAlignment="1" applyProtection="1">
      <alignment horizontal="left" vertical="center" wrapText="1"/>
      <protection hidden="1"/>
    </xf>
    <xf numFmtId="43" fontId="72" fillId="0" borderId="8" xfId="9" applyNumberFormat="1" applyFont="1" applyBorder="1" applyAlignment="1" applyProtection="1">
      <alignment horizontal="left" vertical="center" wrapText="1"/>
      <protection hidden="1"/>
    </xf>
    <xf numFmtId="165" fontId="43" fillId="0" borderId="7" xfId="9" applyFont="1" applyBorder="1" applyAlignment="1" applyProtection="1">
      <alignment vertical="center" wrapText="1"/>
      <protection hidden="1"/>
    </xf>
    <xf numFmtId="165" fontId="43" fillId="0" borderId="16" xfId="9" applyFont="1" applyBorder="1" applyAlignment="1" applyProtection="1">
      <alignment vertical="center" wrapText="1"/>
      <protection hidden="1"/>
    </xf>
    <xf numFmtId="9" fontId="41" fillId="0" borderId="0" xfId="25" applyFont="1" applyBorder="1" applyAlignment="1" applyProtection="1">
      <alignment horizontal="center" vertical="center" wrapText="1"/>
      <protection hidden="1"/>
    </xf>
    <xf numFmtId="165" fontId="43" fillId="0" borderId="0" xfId="9" applyFont="1" applyBorder="1" applyAlignment="1" applyProtection="1">
      <alignment vertical="center" wrapText="1"/>
      <protection hidden="1"/>
    </xf>
    <xf numFmtId="165" fontId="43" fillId="0" borderId="5" xfId="9" applyFont="1" applyBorder="1" applyAlignment="1" applyProtection="1">
      <alignment vertical="center" wrapText="1"/>
      <protection hidden="1"/>
    </xf>
    <xf numFmtId="9" fontId="60" fillId="0" borderId="0" xfId="25" applyFont="1" applyBorder="1" applyAlignment="1" applyProtection="1">
      <alignment horizontal="center" vertical="center" wrapText="1"/>
      <protection hidden="1"/>
    </xf>
    <xf numFmtId="9" fontId="60" fillId="0" borderId="10" xfId="25" applyFont="1" applyBorder="1" applyAlignment="1" applyProtection="1">
      <alignment horizontal="center" vertical="center" wrapText="1"/>
      <protection hidden="1"/>
    </xf>
    <xf numFmtId="0" fontId="41" fillId="0" borderId="0" xfId="0" applyFont="1" applyBorder="1" applyAlignment="1" applyProtection="1">
      <alignment horizontal="center" vertical="center" wrapText="1"/>
    </xf>
    <xf numFmtId="0" fontId="40" fillId="0" borderId="8" xfId="0" applyFont="1" applyBorder="1" applyAlignment="1" applyProtection="1">
      <alignment horizontal="center" vertical="center" wrapText="1"/>
      <protection locked="0"/>
    </xf>
    <xf numFmtId="0" fontId="47" fillId="0" borderId="0" xfId="0" applyFont="1" applyBorder="1" applyAlignment="1" applyProtection="1">
      <alignment vertical="center" wrapText="1"/>
      <protection locked="0"/>
    </xf>
    <xf numFmtId="0" fontId="40" fillId="0" borderId="8" xfId="0" applyFont="1" applyBorder="1" applyAlignment="1" applyProtection="1">
      <alignment horizontal="left" vertical="center" wrapText="1"/>
      <protection hidden="1"/>
    </xf>
    <xf numFmtId="0" fontId="41" fillId="0" borderId="8" xfId="0" applyFont="1" applyBorder="1" applyAlignment="1" applyProtection="1">
      <alignment horizontal="center" vertical="center" wrapText="1"/>
      <protection locked="0"/>
    </xf>
    <xf numFmtId="0" fontId="40" fillId="0" borderId="8" xfId="0" applyFont="1" applyBorder="1" applyAlignment="1" applyProtection="1">
      <alignment horizontal="center" vertical="center"/>
      <protection locked="0"/>
    </xf>
    <xf numFmtId="0" fontId="40" fillId="0" borderId="6" xfId="0" applyFont="1" applyBorder="1" applyAlignment="1" applyProtection="1">
      <alignment vertical="center" wrapText="1"/>
      <protection locked="0"/>
    </xf>
    <xf numFmtId="0" fontId="40" fillId="0" borderId="8" xfId="0" applyFont="1" applyBorder="1" applyAlignment="1" applyProtection="1">
      <alignment vertical="center" wrapText="1"/>
      <protection locked="0"/>
    </xf>
    <xf numFmtId="0" fontId="41" fillId="0" borderId="12" xfId="0" applyFont="1" applyBorder="1" applyAlignment="1" applyProtection="1">
      <alignment horizontal="center" vertical="center" wrapText="1"/>
      <protection locked="0"/>
    </xf>
    <xf numFmtId="0" fontId="40" fillId="0" borderId="0" xfId="0" applyFont="1" applyBorder="1" applyAlignment="1" applyProtection="1">
      <alignment horizontal="left" vertical="center" wrapText="1"/>
      <protection hidden="1"/>
    </xf>
    <xf numFmtId="0" fontId="41" fillId="0" borderId="7" xfId="0" applyFont="1" applyBorder="1" applyAlignment="1" applyProtection="1">
      <alignment horizontal="center" vertical="center" wrapText="1"/>
      <protection hidden="1"/>
    </xf>
    <xf numFmtId="0" fontId="40" fillId="0" borderId="0" xfId="0" applyFont="1" applyBorder="1" applyAlignment="1" applyProtection="1">
      <alignment vertical="center" wrapText="1"/>
      <protection locked="0"/>
    </xf>
    <xf numFmtId="0" fontId="40" fillId="0" borderId="13" xfId="0" applyFont="1" applyBorder="1" applyAlignment="1" applyProtection="1">
      <alignment horizontal="center" vertical="center"/>
      <protection locked="0"/>
    </xf>
    <xf numFmtId="0" fontId="40" fillId="0" borderId="0" xfId="0" applyFont="1" applyBorder="1" applyAlignment="1" applyProtection="1">
      <alignment vertical="center"/>
      <protection locked="0"/>
    </xf>
    <xf numFmtId="0" fontId="40" fillId="0" borderId="4" xfId="0" applyFont="1" applyBorder="1" applyAlignment="1" applyProtection="1">
      <alignment horizontal="left" vertical="center" wrapText="1"/>
      <protection locked="0"/>
    </xf>
    <xf numFmtId="0" fontId="40" fillId="0" borderId="0" xfId="0" applyFont="1" applyBorder="1" applyAlignment="1" applyProtection="1">
      <alignment horizontal="left" vertical="center" wrapText="1"/>
      <protection locked="0"/>
    </xf>
    <xf numFmtId="0" fontId="40" fillId="0" borderId="5" xfId="0" applyFont="1" applyBorder="1" applyAlignment="1" applyProtection="1">
      <alignment horizontal="left" vertical="center" wrapText="1"/>
      <protection locked="0"/>
    </xf>
    <xf numFmtId="0" fontId="72" fillId="2" borderId="8" xfId="0" applyFont="1" applyFill="1" applyBorder="1" applyAlignment="1" applyProtection="1">
      <alignment horizontal="center" vertical="center"/>
      <protection hidden="1"/>
    </xf>
    <xf numFmtId="0" fontId="40" fillId="0" borderId="8" xfId="0" applyFont="1" applyBorder="1" applyAlignment="1" applyProtection="1">
      <alignment horizontal="center" vertical="center" wrapText="1"/>
      <protection hidden="1"/>
    </xf>
    <xf numFmtId="0" fontId="40" fillId="0" borderId="8" xfId="0" applyFont="1" applyFill="1" applyBorder="1" applyAlignment="1" applyProtection="1">
      <alignment horizontal="left" vertical="center" wrapText="1"/>
      <protection hidden="1"/>
    </xf>
    <xf numFmtId="0" fontId="40" fillId="0" borderId="0" xfId="0" applyFont="1" applyFill="1" applyBorder="1" applyAlignment="1" applyProtection="1">
      <alignment horizontal="center" vertical="center" wrapText="1"/>
      <protection locked="0"/>
    </xf>
    <xf numFmtId="0" fontId="41" fillId="0" borderId="8" xfId="0" applyFont="1" applyBorder="1" applyAlignment="1" applyProtection="1">
      <alignment horizontal="center" vertical="center" wrapText="1"/>
      <protection hidden="1"/>
    </xf>
    <xf numFmtId="0" fontId="40" fillId="0" borderId="22" xfId="0" applyFont="1" applyBorder="1" applyAlignment="1" applyProtection="1">
      <alignment vertical="center" wrapText="1"/>
      <protection hidden="1"/>
    </xf>
    <xf numFmtId="0" fontId="40" fillId="0" borderId="10" xfId="0" applyFont="1" applyBorder="1" applyAlignment="1" applyProtection="1">
      <alignment vertical="center" wrapText="1"/>
      <protection hidden="1"/>
    </xf>
    <xf numFmtId="0" fontId="40" fillId="0" borderId="11" xfId="0" applyFont="1" applyBorder="1" applyAlignment="1" applyProtection="1">
      <alignment vertical="center" wrapText="1"/>
      <protection hidden="1"/>
    </xf>
    <xf numFmtId="0" fontId="40" fillId="0" borderId="4" xfId="0" applyFont="1" applyBorder="1" applyAlignment="1" applyProtection="1">
      <alignment vertical="center" wrapText="1"/>
      <protection hidden="1"/>
    </xf>
    <xf numFmtId="0" fontId="40" fillId="0" borderId="0" xfId="0" applyFont="1" applyBorder="1" applyAlignment="1" applyProtection="1">
      <alignment vertical="center" wrapText="1"/>
      <protection hidden="1"/>
    </xf>
    <xf numFmtId="0" fontId="40" fillId="0" borderId="5" xfId="0" applyFont="1" applyBorder="1" applyAlignment="1" applyProtection="1">
      <alignment vertical="center" wrapText="1"/>
      <protection hidden="1"/>
    </xf>
    <xf numFmtId="0" fontId="40" fillId="0" borderId="0" xfId="0" applyFont="1" applyBorder="1" applyAlignment="1" applyProtection="1">
      <alignment horizontal="center" vertical="center" wrapText="1"/>
      <protection hidden="1"/>
    </xf>
    <xf numFmtId="0" fontId="40" fillId="0" borderId="5" xfId="0" applyFont="1" applyBorder="1" applyAlignment="1" applyProtection="1">
      <alignment horizontal="center" vertical="center" wrapText="1"/>
      <protection hidden="1"/>
    </xf>
    <xf numFmtId="0" fontId="40" fillId="0" borderId="16" xfId="0" applyFont="1" applyBorder="1" applyAlignment="1" applyProtection="1">
      <alignment vertical="center" wrapText="1"/>
      <protection hidden="1"/>
    </xf>
    <xf numFmtId="0" fontId="40" fillId="0" borderId="10" xfId="0" applyFont="1" applyBorder="1" applyAlignment="1" applyProtection="1">
      <alignment horizontal="center" vertical="center" wrapText="1"/>
      <protection hidden="1"/>
    </xf>
    <xf numFmtId="0" fontId="40" fillId="0" borderId="4" xfId="0" applyFont="1" applyBorder="1" applyAlignment="1" applyProtection="1">
      <alignment vertical="center" wrapText="1"/>
      <protection locked="0"/>
    </xf>
    <xf numFmtId="0" fontId="7" fillId="0" borderId="0" xfId="0" applyFont="1" applyBorder="1" applyAlignment="1" applyProtection="1">
      <alignment horizontal="center" vertical="center" wrapText="1"/>
      <protection locked="0"/>
    </xf>
    <xf numFmtId="0" fontId="8" fillId="0" borderId="0" xfId="0" applyFont="1" applyBorder="1" applyAlignment="1" applyProtection="1">
      <alignment vertical="center" wrapText="1"/>
      <protection locked="0"/>
    </xf>
    <xf numFmtId="0" fontId="0" fillId="0" borderId="0" xfId="0" applyProtection="1">
      <protection locked="0"/>
    </xf>
    <xf numFmtId="0" fontId="7"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wrapText="1"/>
      <protection locked="0"/>
    </xf>
    <xf numFmtId="0" fontId="8" fillId="0" borderId="0" xfId="0" applyFont="1" applyBorder="1" applyAlignment="1" applyProtection="1">
      <alignment horizontal="left" vertical="center" wrapText="1"/>
      <protection locked="0"/>
    </xf>
    <xf numFmtId="0" fontId="11" fillId="0" borderId="0" xfId="0" applyFont="1" applyBorder="1" applyAlignment="1" applyProtection="1">
      <alignment vertical="center"/>
      <protection locked="0"/>
    </xf>
    <xf numFmtId="0" fontId="11" fillId="0" borderId="0"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9" fillId="0" borderId="0" xfId="0" applyFont="1" applyBorder="1" applyAlignment="1" applyProtection="1">
      <alignment vertical="center" wrapText="1"/>
      <protection locked="0"/>
    </xf>
    <xf numFmtId="0" fontId="27" fillId="0" borderId="0"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37" fillId="0" borderId="0" xfId="0" applyFont="1" applyBorder="1" applyAlignment="1" applyProtection="1">
      <alignment vertical="center" wrapText="1"/>
      <protection locked="0"/>
    </xf>
    <xf numFmtId="0" fontId="40" fillId="0" borderId="3" xfId="0" applyFont="1" applyBorder="1" applyAlignment="1" applyProtection="1">
      <alignment vertical="center" wrapText="1"/>
    </xf>
    <xf numFmtId="0" fontId="4" fillId="0" borderId="0" xfId="0" applyFont="1" applyBorder="1" applyAlignment="1" applyProtection="1">
      <alignment vertical="center" wrapText="1"/>
    </xf>
    <xf numFmtId="0" fontId="41" fillId="0" borderId="4" xfId="0" applyFont="1" applyFill="1" applyBorder="1" applyAlignment="1" applyProtection="1">
      <alignment horizontal="center" vertical="center" wrapText="1"/>
    </xf>
    <xf numFmtId="0" fontId="40" fillId="0" borderId="0" xfId="0" applyFont="1" applyFill="1" applyBorder="1" applyAlignment="1" applyProtection="1">
      <alignment horizontal="center" vertical="center" wrapText="1"/>
    </xf>
    <xf numFmtId="0" fontId="40" fillId="0" borderId="5" xfId="0" applyFont="1" applyFill="1" applyBorder="1" applyAlignment="1" applyProtection="1">
      <alignment horizontal="center" vertical="center" wrapText="1"/>
    </xf>
    <xf numFmtId="0" fontId="41" fillId="0" borderId="4" xfId="0" applyFont="1" applyBorder="1" applyAlignment="1" applyProtection="1">
      <alignment horizontal="center" vertical="center" wrapText="1"/>
    </xf>
    <xf numFmtId="0" fontId="40" fillId="0" borderId="0" xfId="0" applyFont="1" applyBorder="1" applyAlignment="1" applyProtection="1">
      <alignment horizontal="center" vertical="center" wrapText="1"/>
    </xf>
    <xf numFmtId="0" fontId="40" fillId="0" borderId="5" xfId="0" applyFont="1" applyBorder="1" applyAlignment="1" applyProtection="1">
      <alignment horizontal="center" vertical="center" wrapText="1"/>
    </xf>
    <xf numFmtId="0" fontId="40" fillId="0" borderId="4" xfId="0" applyFont="1" applyBorder="1" applyAlignment="1" applyProtection="1">
      <alignment vertical="center" wrapText="1"/>
    </xf>
    <xf numFmtId="0" fontId="40" fillId="0" borderId="5" xfId="0" applyFont="1" applyBorder="1" applyAlignment="1" applyProtection="1">
      <alignment vertical="center" wrapText="1"/>
    </xf>
    <xf numFmtId="0" fontId="40" fillId="0" borderId="0" xfId="0" applyFont="1" applyBorder="1" applyAlignment="1" applyProtection="1">
      <alignment horizontal="center" vertical="center"/>
    </xf>
    <xf numFmtId="0" fontId="40" fillId="0" borderId="45" xfId="0" applyFont="1" applyBorder="1" applyAlignment="1" applyProtection="1">
      <alignment horizontal="center" vertical="center"/>
    </xf>
    <xf numFmtId="0" fontId="40" fillId="0" borderId="54" xfId="0" applyFont="1" applyBorder="1" applyAlignment="1" applyProtection="1">
      <alignment vertical="center" wrapText="1"/>
    </xf>
    <xf numFmtId="0" fontId="40" fillId="0" borderId="0" xfId="0" applyFont="1" applyBorder="1" applyAlignment="1" applyProtection="1">
      <alignment horizontal="center" vertical="center"/>
      <protection hidden="1"/>
    </xf>
    <xf numFmtId="0" fontId="40" fillId="0" borderId="8" xfId="0" applyFont="1" applyFill="1" applyBorder="1" applyAlignment="1" applyProtection="1">
      <alignment horizontal="justify" vertical="center"/>
      <protection hidden="1"/>
    </xf>
    <xf numFmtId="0" fontId="40" fillId="0" borderId="8" xfId="0" applyFont="1" applyBorder="1" applyAlignment="1" applyProtection="1">
      <alignment horizontal="center" vertical="center"/>
      <protection hidden="1"/>
    </xf>
    <xf numFmtId="0" fontId="40" fillId="0" borderId="0" xfId="0" applyFont="1" applyBorder="1" applyAlignment="1" applyProtection="1">
      <alignment horizontal="justify" vertical="center"/>
      <protection hidden="1"/>
    </xf>
    <xf numFmtId="0" fontId="40" fillId="0" borderId="0" xfId="0" applyFont="1" applyBorder="1" applyAlignment="1" applyProtection="1">
      <alignment vertical="center"/>
      <protection hidden="1"/>
    </xf>
    <xf numFmtId="0" fontId="41" fillId="0" borderId="15" xfId="0" applyFont="1" applyBorder="1" applyAlignment="1" applyProtection="1">
      <alignment horizontal="center" vertical="center"/>
      <protection hidden="1"/>
    </xf>
    <xf numFmtId="0" fontId="40" fillId="0" borderId="0" xfId="0" applyFont="1" applyFill="1" applyBorder="1" applyAlignment="1" applyProtection="1">
      <alignment horizontal="center" vertical="center" wrapText="1"/>
      <protection hidden="1"/>
    </xf>
    <xf numFmtId="2" fontId="42" fillId="0" borderId="0" xfId="0" applyNumberFormat="1" applyFont="1" applyBorder="1" applyAlignment="1" applyProtection="1">
      <alignment horizontal="center" vertical="center"/>
      <protection hidden="1"/>
    </xf>
    <xf numFmtId="2" fontId="42" fillId="0" borderId="0" xfId="0" applyNumberFormat="1" applyFont="1" applyBorder="1" applyAlignment="1" applyProtection="1">
      <alignment horizontal="center" vertical="center" wrapText="1"/>
      <protection hidden="1"/>
    </xf>
    <xf numFmtId="2" fontId="42" fillId="0" borderId="0" xfId="0" applyNumberFormat="1" applyFont="1" applyBorder="1" applyAlignment="1" applyProtection="1">
      <alignment vertical="center" wrapText="1"/>
      <protection hidden="1"/>
    </xf>
    <xf numFmtId="178" fontId="156" fillId="0" borderId="8" xfId="1" applyNumberFormat="1" applyFont="1" applyBorder="1" applyAlignment="1" applyProtection="1">
      <alignment vertical="center" wrapText="1"/>
      <protection hidden="1"/>
    </xf>
    <xf numFmtId="0" fontId="40" fillId="0" borderId="8" xfId="0" applyFont="1" applyBorder="1" applyAlignment="1" applyProtection="1">
      <alignment vertical="center" wrapText="1"/>
      <protection hidden="1"/>
    </xf>
    <xf numFmtId="0" fontId="40" fillId="0" borderId="8" xfId="0" quotePrefix="1" applyFont="1" applyFill="1" applyBorder="1" applyAlignment="1" applyProtection="1">
      <alignment horizontal="left" vertical="center" wrapText="1"/>
      <protection hidden="1"/>
    </xf>
    <xf numFmtId="0" fontId="41" fillId="0" borderId="4" xfId="0" applyFont="1" applyFill="1" applyBorder="1" applyAlignment="1" applyProtection="1">
      <alignment horizontal="center" vertical="center" wrapText="1"/>
      <protection hidden="1"/>
    </xf>
    <xf numFmtId="0" fontId="40" fillId="0" borderId="5" xfId="0" applyFont="1" applyFill="1" applyBorder="1" applyAlignment="1" applyProtection="1">
      <alignment horizontal="center" vertical="center" wrapText="1"/>
      <protection hidden="1"/>
    </xf>
    <xf numFmtId="0" fontId="41" fillId="0" borderId="4" xfId="0" applyFont="1" applyBorder="1" applyAlignment="1" applyProtection="1">
      <alignment vertical="center" wrapText="1"/>
      <protection hidden="1"/>
    </xf>
    <xf numFmtId="0" fontId="41" fillId="0" borderId="0" xfId="0" applyFont="1" applyBorder="1" applyAlignment="1" applyProtection="1">
      <alignment horizontal="center" vertical="center" wrapText="1"/>
      <protection hidden="1"/>
    </xf>
    <xf numFmtId="0" fontId="41" fillId="0" borderId="5" xfId="0" applyFont="1" applyBorder="1" applyAlignment="1" applyProtection="1">
      <alignment vertical="center" wrapText="1"/>
      <protection hidden="1"/>
    </xf>
    <xf numFmtId="0" fontId="41" fillId="0" borderId="3" xfId="0" applyFont="1" applyBorder="1" applyAlignment="1" applyProtection="1">
      <alignment vertical="center" wrapText="1"/>
      <protection hidden="1"/>
    </xf>
    <xf numFmtId="0" fontId="40" fillId="0" borderId="8" xfId="0" applyFont="1" applyFill="1" applyBorder="1" applyAlignment="1" applyProtection="1">
      <alignment vertical="center" wrapText="1"/>
      <protection hidden="1"/>
    </xf>
    <xf numFmtId="0" fontId="40" fillId="0" borderId="4" xfId="0" applyFont="1" applyFill="1" applyBorder="1" applyAlignment="1" applyProtection="1">
      <alignment vertical="center" wrapText="1"/>
      <protection hidden="1"/>
    </xf>
    <xf numFmtId="0" fontId="40" fillId="0" borderId="0" xfId="0" applyFont="1" applyFill="1" applyBorder="1" applyAlignment="1" applyProtection="1">
      <alignment vertical="center" wrapText="1"/>
      <protection hidden="1"/>
    </xf>
    <xf numFmtId="0" fontId="40" fillId="0" borderId="7" xfId="0" applyFont="1" applyFill="1" applyBorder="1" applyAlignment="1" applyProtection="1">
      <alignment vertical="center" wrapText="1"/>
      <protection hidden="1"/>
    </xf>
    <xf numFmtId="2" fontId="42" fillId="0" borderId="7" xfId="0" applyNumberFormat="1" applyFont="1" applyFill="1" applyBorder="1" applyAlignment="1" applyProtection="1">
      <alignment vertical="center" wrapText="1"/>
      <protection hidden="1"/>
    </xf>
    <xf numFmtId="0" fontId="40" fillId="0" borderId="5" xfId="0" applyFont="1" applyFill="1" applyBorder="1" applyAlignment="1" applyProtection="1">
      <alignment vertical="center" wrapText="1"/>
      <protection hidden="1"/>
    </xf>
    <xf numFmtId="0" fontId="41" fillId="0" borderId="4" xfId="0" applyFont="1" applyBorder="1" applyAlignment="1" applyProtection="1">
      <alignment horizontal="center" vertical="center" wrapText="1"/>
      <protection hidden="1"/>
    </xf>
    <xf numFmtId="0" fontId="44" fillId="0" borderId="4" xfId="0" applyFont="1" applyFill="1" applyBorder="1" applyAlignment="1" applyProtection="1">
      <alignment vertical="center" wrapText="1"/>
      <protection hidden="1"/>
    </xf>
    <xf numFmtId="0" fontId="41" fillId="0" borderId="0" xfId="0" applyFont="1" applyFill="1" applyBorder="1" applyAlignment="1" applyProtection="1">
      <alignment horizontal="center" vertical="center" wrapText="1"/>
      <protection hidden="1"/>
    </xf>
    <xf numFmtId="0" fontId="44" fillId="0" borderId="5" xfId="0" applyFont="1" applyFill="1" applyBorder="1" applyAlignment="1" applyProtection="1">
      <alignment vertical="center" wrapText="1"/>
      <protection hidden="1"/>
    </xf>
    <xf numFmtId="0" fontId="44" fillId="0" borderId="4" xfId="0" applyFont="1" applyBorder="1" applyAlignment="1" applyProtection="1">
      <alignment vertical="center" wrapText="1"/>
      <protection hidden="1"/>
    </xf>
    <xf numFmtId="0" fontId="44" fillId="0" borderId="0" xfId="0" applyFont="1" applyBorder="1" applyAlignment="1" applyProtection="1">
      <alignment vertical="center" wrapText="1"/>
      <protection hidden="1"/>
    </xf>
    <xf numFmtId="0" fontId="44" fillId="0" borderId="5" xfId="0" applyFont="1" applyBorder="1" applyAlignment="1" applyProtection="1">
      <alignment vertical="center" wrapText="1"/>
      <protection hidden="1"/>
    </xf>
    <xf numFmtId="0" fontId="44" fillId="0" borderId="10" xfId="0" applyFont="1" applyBorder="1" applyAlignment="1" applyProtection="1">
      <alignment vertical="center" wrapText="1"/>
      <protection hidden="1"/>
    </xf>
    <xf numFmtId="0" fontId="44" fillId="0" borderId="0" xfId="0" applyFont="1" applyBorder="1" applyAlignment="1" applyProtection="1">
      <alignment horizontal="center" vertical="center" wrapText="1"/>
      <protection hidden="1"/>
    </xf>
    <xf numFmtId="0" fontId="40" fillId="0" borderId="8" xfId="0" applyFont="1" applyFill="1" applyBorder="1" applyAlignment="1" applyProtection="1">
      <alignment horizontal="center" vertical="center" wrapText="1"/>
      <protection hidden="1"/>
    </xf>
    <xf numFmtId="0" fontId="47" fillId="0" borderId="0" xfId="0" applyFont="1" applyBorder="1" applyAlignment="1" applyProtection="1">
      <alignment vertical="center" wrapText="1"/>
      <protection hidden="1"/>
    </xf>
    <xf numFmtId="0" fontId="41" fillId="0" borderId="0" xfId="0" applyFont="1" applyBorder="1" applyAlignment="1" applyProtection="1">
      <alignment vertical="center" wrapText="1"/>
      <protection hidden="1"/>
    </xf>
    <xf numFmtId="0" fontId="4" fillId="0" borderId="0" xfId="0" applyFont="1" applyBorder="1" applyAlignment="1" applyProtection="1">
      <alignment vertical="center" wrapText="1"/>
      <protection hidden="1"/>
    </xf>
    <xf numFmtId="0" fontId="8" fillId="0" borderId="0" xfId="0" applyFont="1" applyBorder="1" applyAlignment="1" applyProtection="1">
      <alignment vertical="center" wrapText="1"/>
      <protection hidden="1"/>
    </xf>
    <xf numFmtId="0" fontId="8" fillId="0" borderId="0" xfId="0" applyFont="1" applyFill="1" applyBorder="1" applyAlignment="1" applyProtection="1">
      <alignment vertical="center" wrapText="1"/>
      <protection hidden="1"/>
    </xf>
    <xf numFmtId="0" fontId="8" fillId="0" borderId="0" xfId="0" applyFont="1" applyBorder="1" applyAlignment="1" applyProtection="1">
      <alignment horizontal="left" vertical="center" wrapText="1"/>
      <protection hidden="1"/>
    </xf>
    <xf numFmtId="0" fontId="11" fillId="0" borderId="0" xfId="0" applyFont="1" applyBorder="1" applyAlignment="1" applyProtection="1">
      <alignment vertical="center"/>
      <protection hidden="1"/>
    </xf>
    <xf numFmtId="0" fontId="11" fillId="0" borderId="0" xfId="0" applyFont="1" applyBorder="1" applyAlignment="1" applyProtection="1">
      <alignment vertical="center" wrapText="1"/>
      <protection hidden="1"/>
    </xf>
    <xf numFmtId="0" fontId="7" fillId="0" borderId="0" xfId="0" applyFont="1" applyBorder="1" applyAlignment="1" applyProtection="1">
      <alignment vertical="center" wrapText="1"/>
      <protection hidden="1"/>
    </xf>
    <xf numFmtId="0" fontId="9" fillId="0" borderId="0" xfId="0" applyFont="1" applyBorder="1" applyAlignment="1" applyProtection="1">
      <alignment vertical="center" wrapText="1"/>
      <protection hidden="1"/>
    </xf>
    <xf numFmtId="0" fontId="27" fillId="0" borderId="0" xfId="0" applyFont="1" applyBorder="1" applyAlignment="1" applyProtection="1">
      <alignment vertical="center" wrapText="1"/>
      <protection hidden="1"/>
    </xf>
    <xf numFmtId="0" fontId="8" fillId="0" borderId="0" xfId="0" applyFont="1" applyBorder="1" applyAlignment="1" applyProtection="1">
      <alignment horizontal="center" vertical="center" wrapText="1"/>
      <protection hidden="1"/>
    </xf>
    <xf numFmtId="0" fontId="6" fillId="0" borderId="0" xfId="0" applyFont="1" applyBorder="1" applyAlignment="1" applyProtection="1">
      <alignment vertical="center" wrapText="1"/>
      <protection hidden="1"/>
    </xf>
    <xf numFmtId="0" fontId="147" fillId="0" borderId="8" xfId="0" applyFont="1" applyFill="1" applyBorder="1" applyAlignment="1" applyProtection="1">
      <alignment horizontal="center" vertical="center" wrapText="1"/>
      <protection locked="0"/>
    </xf>
    <xf numFmtId="0" fontId="148" fillId="0" borderId="8" xfId="0" applyFont="1" applyFill="1" applyBorder="1" applyAlignment="1" applyProtection="1">
      <alignment horizontal="center" vertical="center" wrapText="1"/>
      <protection locked="0"/>
    </xf>
    <xf numFmtId="0" fontId="148" fillId="0" borderId="0" xfId="0" applyFont="1" applyFill="1" applyBorder="1" applyAlignment="1" applyProtection="1">
      <alignment horizontal="center" vertical="center"/>
      <protection locked="0"/>
    </xf>
    <xf numFmtId="0" fontId="146" fillId="23" borderId="16" xfId="0" applyFont="1" applyFill="1" applyBorder="1" applyAlignment="1" applyProtection="1">
      <alignment horizontal="left" vertical="center" wrapText="1"/>
      <protection locked="0"/>
    </xf>
    <xf numFmtId="0" fontId="148" fillId="0" borderId="8" xfId="0" applyFont="1" applyFill="1" applyBorder="1" applyAlignment="1" applyProtection="1">
      <alignment horizontal="center" vertical="top" wrapText="1"/>
      <protection locked="0"/>
    </xf>
    <xf numFmtId="0" fontId="145" fillId="24" borderId="7" xfId="0" applyFont="1" applyFill="1" applyBorder="1" applyAlignment="1" applyProtection="1">
      <alignment horizontal="center" vertical="center"/>
      <protection locked="0"/>
    </xf>
    <xf numFmtId="0" fontId="146" fillId="0" borderId="7" xfId="0" applyFont="1" applyFill="1" applyBorder="1" applyAlignment="1" applyProtection="1">
      <alignment horizontal="left" vertical="center" wrapText="1"/>
      <protection locked="0"/>
    </xf>
    <xf numFmtId="0" fontId="147" fillId="0" borderId="0" xfId="0" applyFont="1" applyFill="1" applyBorder="1" applyAlignment="1" applyProtection="1">
      <alignment horizontal="center" vertical="center" wrapText="1"/>
      <protection locked="0"/>
    </xf>
    <xf numFmtId="0" fontId="148" fillId="0" borderId="0" xfId="0" applyFont="1" applyFill="1" applyBorder="1" applyAlignment="1" applyProtection="1">
      <alignment horizontal="center" vertical="top"/>
      <protection locked="0"/>
    </xf>
    <xf numFmtId="0" fontId="0" fillId="0" borderId="0" xfId="0" applyProtection="1">
      <protection hidden="1"/>
    </xf>
    <xf numFmtId="0" fontId="145" fillId="23" borderId="9" xfId="0" applyFont="1" applyFill="1" applyBorder="1" applyAlignment="1" applyProtection="1">
      <alignment horizontal="center" vertical="center"/>
      <protection hidden="1"/>
    </xf>
    <xf numFmtId="0" fontId="149" fillId="0" borderId="4" xfId="0" applyFont="1" applyFill="1" applyBorder="1" applyAlignment="1" applyProtection="1">
      <alignment horizontal="center" vertical="center"/>
      <protection hidden="1"/>
    </xf>
    <xf numFmtId="0" fontId="148" fillId="0" borderId="9" xfId="0" applyFont="1" applyFill="1" applyBorder="1" applyAlignment="1" applyProtection="1">
      <alignment horizontal="center" vertical="center"/>
      <protection hidden="1"/>
    </xf>
    <xf numFmtId="0" fontId="147" fillId="0" borderId="12" xfId="0" applyFont="1" applyFill="1" applyBorder="1" applyAlignment="1" applyProtection="1">
      <alignment vertical="center" wrapText="1"/>
      <protection hidden="1"/>
    </xf>
    <xf numFmtId="0" fontId="148" fillId="0" borderId="4" xfId="0" applyFont="1" applyFill="1" applyBorder="1" applyAlignment="1" applyProtection="1">
      <alignment horizontal="center" vertical="center"/>
      <protection hidden="1"/>
    </xf>
    <xf numFmtId="0" fontId="149" fillId="0" borderId="12" xfId="0" applyFont="1" applyFill="1" applyBorder="1" applyAlignment="1" applyProtection="1">
      <alignment horizontal="left" vertical="center" wrapText="1"/>
      <protection hidden="1"/>
    </xf>
    <xf numFmtId="0" fontId="148" fillId="0" borderId="12" xfId="0" applyFont="1" applyFill="1" applyBorder="1" applyAlignment="1" applyProtection="1">
      <alignment horizontal="left" vertical="center" wrapText="1"/>
      <protection hidden="1"/>
    </xf>
    <xf numFmtId="0" fontId="148" fillId="0" borderId="9" xfId="0" applyFont="1" applyFill="1" applyBorder="1" applyAlignment="1" applyProtection="1">
      <alignment horizontal="center" vertical="center" wrapText="1"/>
      <protection hidden="1"/>
    </xf>
    <xf numFmtId="0" fontId="145" fillId="23" borderId="8" xfId="0" applyFont="1" applyFill="1" applyBorder="1" applyAlignment="1" applyProtection="1">
      <alignment horizontal="center" vertical="center"/>
      <protection hidden="1"/>
    </xf>
    <xf numFmtId="0" fontId="148" fillId="0" borderId="13" xfId="0" applyFont="1" applyFill="1" applyBorder="1" applyAlignment="1" applyProtection="1">
      <alignment horizontal="center" vertical="center"/>
      <protection hidden="1"/>
    </xf>
    <xf numFmtId="0" fontId="148" fillId="0" borderId="12" xfId="0" applyFont="1" applyFill="1" applyBorder="1" applyAlignment="1" applyProtection="1">
      <alignment vertical="center" wrapText="1"/>
      <protection hidden="1"/>
    </xf>
    <xf numFmtId="0" fontId="149" fillId="0" borderId="14" xfId="0" applyFont="1" applyFill="1" applyBorder="1" applyAlignment="1" applyProtection="1">
      <alignment horizontal="center" vertical="center"/>
      <protection hidden="1"/>
    </xf>
    <xf numFmtId="0" fontId="148" fillId="0" borderId="14" xfId="0" applyFont="1" applyFill="1" applyBorder="1" applyAlignment="1" applyProtection="1">
      <alignment horizontal="center" vertical="center"/>
      <protection hidden="1"/>
    </xf>
    <xf numFmtId="0" fontId="148" fillId="0" borderId="15" xfId="0" applyFont="1" applyFill="1" applyBorder="1" applyAlignment="1" applyProtection="1">
      <alignment horizontal="center" vertical="center"/>
      <protection hidden="1"/>
    </xf>
    <xf numFmtId="0" fontId="145" fillId="23" borderId="13" xfId="0" applyFont="1" applyFill="1" applyBorder="1" applyAlignment="1" applyProtection="1">
      <alignment horizontal="center" vertical="center"/>
      <protection hidden="1"/>
    </xf>
    <xf numFmtId="0" fontId="148" fillId="0" borderId="3" xfId="0" applyFont="1" applyFill="1" applyBorder="1" applyAlignment="1" applyProtection="1">
      <alignment horizontal="center" vertical="center"/>
      <protection hidden="1"/>
    </xf>
    <xf numFmtId="0" fontId="149" fillId="0" borderId="16" xfId="0" applyFont="1" applyFill="1" applyBorder="1" applyAlignment="1" applyProtection="1">
      <alignment vertical="center" wrapText="1"/>
      <protection hidden="1"/>
    </xf>
    <xf numFmtId="0" fontId="149" fillId="0" borderId="6" xfId="0" applyFont="1" applyFill="1" applyBorder="1" applyAlignment="1" applyProtection="1">
      <alignment horizontal="center" vertical="center"/>
      <protection hidden="1"/>
    </xf>
    <xf numFmtId="0" fontId="149" fillId="0" borderId="12" xfId="0" applyFont="1" applyFill="1" applyBorder="1" applyAlignment="1" applyProtection="1">
      <alignment vertical="center" wrapText="1"/>
      <protection hidden="1"/>
    </xf>
    <xf numFmtId="0" fontId="148" fillId="0" borderId="6" xfId="0" applyFont="1" applyFill="1" applyBorder="1" applyAlignment="1" applyProtection="1">
      <alignment horizontal="center" vertical="center"/>
      <protection hidden="1"/>
    </xf>
    <xf numFmtId="0" fontId="147" fillId="0" borderId="12" xfId="0" applyFont="1" applyFill="1" applyBorder="1" applyAlignment="1" applyProtection="1">
      <alignment horizontal="left" vertical="center" wrapText="1"/>
      <protection hidden="1"/>
    </xf>
    <xf numFmtId="0" fontId="145" fillId="0" borderId="15" xfId="0" applyFont="1" applyFill="1" applyBorder="1" applyAlignment="1" applyProtection="1">
      <alignment horizontal="center" vertical="center"/>
      <protection hidden="1"/>
    </xf>
    <xf numFmtId="0" fontId="148" fillId="0" borderId="14" xfId="0" applyFont="1" applyFill="1" applyBorder="1" applyAlignment="1" applyProtection="1">
      <alignment horizontal="center" vertical="top"/>
      <protection hidden="1"/>
    </xf>
    <xf numFmtId="0" fontId="148" fillId="0" borderId="0" xfId="0" applyFont="1" applyFill="1" applyBorder="1" applyAlignment="1" applyProtection="1">
      <alignment horizontal="center" vertical="center"/>
      <protection hidden="1"/>
    </xf>
    <xf numFmtId="0" fontId="147" fillId="0" borderId="5" xfId="0" applyFont="1" applyFill="1" applyBorder="1" applyAlignment="1" applyProtection="1">
      <alignment horizontal="left" vertical="center" wrapText="1"/>
      <protection hidden="1"/>
    </xf>
    <xf numFmtId="0" fontId="148" fillId="0" borderId="15" xfId="0" applyFont="1" applyFill="1" applyBorder="1" applyAlignment="1" applyProtection="1">
      <alignment horizontal="center" vertical="top"/>
      <protection hidden="1"/>
    </xf>
    <xf numFmtId="0" fontId="145" fillId="24" borderId="8" xfId="0" applyFont="1" applyFill="1" applyBorder="1" applyAlignment="1" applyProtection="1">
      <alignment horizontal="center" vertical="center"/>
      <protection hidden="1"/>
    </xf>
    <xf numFmtId="0" fontId="148" fillId="0" borderId="0" xfId="0" applyFont="1" applyFill="1" applyBorder="1" applyAlignment="1" applyProtection="1">
      <alignment horizontal="center" vertical="top" wrapText="1"/>
      <protection hidden="1"/>
    </xf>
    <xf numFmtId="0" fontId="148" fillId="0" borderId="0" xfId="0" applyFont="1" applyFill="1" applyBorder="1" applyAlignment="1" applyProtection="1">
      <alignment horizontal="center" vertical="top"/>
      <protection hidden="1"/>
    </xf>
    <xf numFmtId="0" fontId="147" fillId="0" borderId="8" xfId="0" applyFont="1" applyFill="1" applyBorder="1" applyAlignment="1" applyProtection="1">
      <alignment horizontal="center" vertical="justify" wrapText="1"/>
      <protection locked="0"/>
    </xf>
    <xf numFmtId="0" fontId="148" fillId="0" borderId="12" xfId="0" applyFont="1" applyFill="1" applyBorder="1" applyAlignment="1" applyProtection="1">
      <alignment horizontal="center" vertical="justify" wrapText="1"/>
      <protection locked="0"/>
    </xf>
    <xf numFmtId="0" fontId="148" fillId="24" borderId="8" xfId="0" applyFont="1" applyFill="1" applyBorder="1" applyAlignment="1" applyProtection="1">
      <alignment horizontal="center" vertical="justify" wrapText="1"/>
      <protection locked="0"/>
    </xf>
    <xf numFmtId="0" fontId="146" fillId="23" borderId="16" xfId="0" applyFont="1" applyFill="1" applyBorder="1" applyAlignment="1" applyProtection="1">
      <alignment horizontal="justify" vertical="justify" wrapText="1"/>
      <protection locked="0"/>
    </xf>
    <xf numFmtId="0" fontId="145" fillId="0" borderId="8" xfId="0" applyFont="1" applyFill="1" applyBorder="1" applyAlignment="1" applyProtection="1">
      <alignment horizontal="justify" vertical="justify"/>
      <protection hidden="1"/>
    </xf>
    <xf numFmtId="0" fontId="146" fillId="0" borderId="12" xfId="0" applyFont="1" applyFill="1" applyBorder="1" applyAlignment="1" applyProtection="1">
      <alignment horizontal="center" vertical="justify" wrapText="1"/>
      <protection hidden="1"/>
    </xf>
    <xf numFmtId="0" fontId="145" fillId="0" borderId="9" xfId="0" applyFont="1" applyFill="1" applyBorder="1" applyAlignment="1" applyProtection="1">
      <alignment horizontal="center" vertical="justify"/>
      <protection hidden="1"/>
    </xf>
    <xf numFmtId="0" fontId="145" fillId="23" borderId="9" xfId="0" applyFont="1" applyFill="1" applyBorder="1" applyAlignment="1" applyProtection="1">
      <alignment horizontal="center" vertical="justify"/>
      <protection hidden="1"/>
    </xf>
    <xf numFmtId="0" fontId="149" fillId="0" borderId="4" xfId="0" applyFont="1" applyFill="1" applyBorder="1" applyAlignment="1" applyProtection="1">
      <alignment horizontal="center" vertical="justify"/>
      <protection hidden="1"/>
    </xf>
    <xf numFmtId="0" fontId="148" fillId="0" borderId="8" xfId="0" applyFont="1" applyFill="1" applyBorder="1" applyAlignment="1" applyProtection="1">
      <alignment horizontal="center" vertical="justify" wrapText="1"/>
      <protection hidden="1"/>
    </xf>
    <xf numFmtId="0" fontId="147" fillId="0" borderId="8" xfId="0" applyFont="1" applyFill="1" applyBorder="1" applyAlignment="1" applyProtection="1">
      <alignment horizontal="justify" vertical="justify" wrapText="1"/>
      <protection hidden="1"/>
    </xf>
    <xf numFmtId="0" fontId="148" fillId="0" borderId="4" xfId="0" applyFont="1" applyFill="1" applyBorder="1" applyAlignment="1" applyProtection="1">
      <alignment horizontal="center" vertical="justify"/>
      <protection hidden="1"/>
    </xf>
    <xf numFmtId="0" fontId="149" fillId="0" borderId="8" xfId="0" applyFont="1" applyFill="1" applyBorder="1" applyAlignment="1" applyProtection="1">
      <alignment horizontal="justify" vertical="justify" wrapText="1"/>
      <protection hidden="1"/>
    </xf>
    <xf numFmtId="0" fontId="148" fillId="0" borderId="8" xfId="0" applyFont="1" applyFill="1" applyBorder="1" applyAlignment="1" applyProtection="1">
      <alignment horizontal="justify" vertical="justify" wrapText="1"/>
      <protection hidden="1"/>
    </xf>
    <xf numFmtId="0" fontId="145" fillId="0" borderId="8" xfId="0" applyFont="1" applyFill="1" applyBorder="1" applyAlignment="1" applyProtection="1">
      <alignment horizontal="center" vertical="justify"/>
      <protection hidden="1"/>
    </xf>
    <xf numFmtId="0" fontId="145" fillId="23" borderId="8" xfId="0" applyFont="1" applyFill="1" applyBorder="1" applyAlignment="1" applyProtection="1">
      <alignment horizontal="center" vertical="justify"/>
      <protection hidden="1"/>
    </xf>
    <xf numFmtId="0" fontId="148" fillId="0" borderId="14" xfId="0" applyFont="1" applyFill="1" applyBorder="1" applyAlignment="1" applyProtection="1">
      <alignment horizontal="center" vertical="justify"/>
      <protection hidden="1"/>
    </xf>
    <xf numFmtId="0" fontId="148" fillId="0" borderId="12" xfId="0" applyFont="1" applyFill="1" applyBorder="1" applyAlignment="1" applyProtection="1">
      <alignment horizontal="center" vertical="justify" wrapText="1"/>
      <protection hidden="1"/>
    </xf>
    <xf numFmtId="0" fontId="148" fillId="24" borderId="8" xfId="0" applyFont="1" applyFill="1" applyBorder="1" applyAlignment="1" applyProtection="1">
      <alignment horizontal="justify" vertical="justify" wrapText="1"/>
      <protection hidden="1"/>
    </xf>
    <xf numFmtId="0" fontId="149" fillId="0" borderId="15" xfId="0" applyFont="1" applyFill="1" applyBorder="1" applyAlignment="1" applyProtection="1">
      <alignment horizontal="center" vertical="justify"/>
      <protection hidden="1"/>
    </xf>
    <xf numFmtId="0" fontId="145" fillId="23" borderId="15" xfId="0" applyFont="1" applyFill="1" applyBorder="1" applyAlignment="1" applyProtection="1">
      <alignment horizontal="center" vertical="justify"/>
      <protection hidden="1"/>
    </xf>
    <xf numFmtId="0" fontId="149" fillId="0" borderId="8" xfId="0" applyFont="1" applyFill="1" applyBorder="1" applyAlignment="1" applyProtection="1">
      <alignment horizontal="center" vertical="justify"/>
      <protection hidden="1"/>
    </xf>
    <xf numFmtId="0" fontId="148" fillId="0" borderId="15" xfId="0" applyFont="1" applyFill="1" applyBorder="1" applyAlignment="1" applyProtection="1">
      <alignment horizontal="center" vertical="justify"/>
      <protection hidden="1"/>
    </xf>
    <xf numFmtId="0" fontId="145" fillId="0" borderId="15" xfId="0" applyFont="1" applyFill="1" applyBorder="1" applyAlignment="1" applyProtection="1">
      <alignment horizontal="center" vertical="justify"/>
      <protection hidden="1"/>
    </xf>
    <xf numFmtId="0" fontId="148" fillId="0" borderId="13" xfId="0" applyFont="1" applyFill="1" applyBorder="1" applyAlignment="1" applyProtection="1">
      <alignment horizontal="center" vertical="justify"/>
      <protection hidden="1"/>
    </xf>
    <xf numFmtId="0" fontId="148" fillId="0" borderId="9" xfId="0" applyFont="1" applyFill="1" applyBorder="1" applyAlignment="1" applyProtection="1">
      <alignment horizontal="center" vertical="justify"/>
      <protection hidden="1"/>
    </xf>
    <xf numFmtId="0" fontId="147" fillId="0" borderId="12" xfId="0" applyFont="1" applyFill="1" applyBorder="1" applyAlignment="1" applyProtection="1">
      <alignment horizontal="justify" vertical="justify" wrapText="1"/>
      <protection hidden="1"/>
    </xf>
    <xf numFmtId="0" fontId="145" fillId="24" borderId="8" xfId="0" applyFont="1" applyFill="1" applyBorder="1" applyAlignment="1" applyProtection="1">
      <alignment horizontal="center" vertical="justify"/>
      <protection hidden="1"/>
    </xf>
    <xf numFmtId="0" fontId="145" fillId="24" borderId="7" xfId="0" applyFont="1" applyFill="1" applyBorder="1" applyAlignment="1" applyProtection="1">
      <alignment horizontal="justify" vertical="justify"/>
      <protection hidden="1"/>
    </xf>
    <xf numFmtId="0" fontId="146" fillId="0" borderId="7" xfId="0" applyFont="1" applyFill="1" applyBorder="1" applyAlignment="1" applyProtection="1">
      <alignment horizontal="justify" vertical="justify" wrapText="1"/>
      <protection hidden="1"/>
    </xf>
    <xf numFmtId="0" fontId="147" fillId="0" borderId="0" xfId="0" applyFont="1" applyFill="1" applyBorder="1" applyAlignment="1" applyProtection="1">
      <alignment horizontal="justify" vertical="justify" wrapText="1"/>
      <protection hidden="1"/>
    </xf>
    <xf numFmtId="0" fontId="148" fillId="0" borderId="0" xfId="0" applyFont="1" applyFill="1" applyBorder="1" applyAlignment="1" applyProtection="1">
      <alignment horizontal="justify" vertical="justify" wrapText="1"/>
      <protection hidden="1"/>
    </xf>
    <xf numFmtId="0" fontId="148" fillId="0" borderId="0" xfId="0" applyFont="1" applyFill="1" applyBorder="1" applyAlignment="1" applyProtection="1">
      <alignment horizontal="center" vertical="justify" wrapText="1"/>
      <protection hidden="1"/>
    </xf>
    <xf numFmtId="0" fontId="148" fillId="0" borderId="0" xfId="0" applyFont="1" applyFill="1" applyBorder="1" applyAlignment="1" applyProtection="1">
      <alignment horizontal="justify" vertical="justify"/>
      <protection hidden="1"/>
    </xf>
    <xf numFmtId="0" fontId="148" fillId="0" borderId="0" xfId="0" applyFont="1" applyFill="1" applyBorder="1" applyAlignment="1" applyProtection="1">
      <alignment horizontal="center" vertical="justify"/>
      <protection hidden="1"/>
    </xf>
    <xf numFmtId="167" fontId="39" fillId="9" borderId="0" xfId="0" applyNumberFormat="1" applyFont="1" applyFill="1" applyAlignment="1" applyProtection="1">
      <alignment horizontal="left" vertical="center"/>
      <protection locked="0"/>
    </xf>
    <xf numFmtId="0" fontId="39" fillId="0" borderId="0" xfId="0" applyFont="1" applyAlignment="1" applyProtection="1">
      <alignment horizontal="center" vertical="center"/>
      <protection hidden="1"/>
    </xf>
    <xf numFmtId="0" fontId="71" fillId="0" borderId="0" xfId="0" applyFont="1" applyAlignment="1" applyProtection="1">
      <alignment horizontal="center" vertical="center"/>
      <protection hidden="1"/>
    </xf>
    <xf numFmtId="0" fontId="71" fillId="0" borderId="0" xfId="0" applyFont="1" applyAlignment="1" applyProtection="1">
      <alignment vertical="center" wrapText="1"/>
      <protection hidden="1"/>
    </xf>
    <xf numFmtId="0" fontId="39" fillId="10" borderId="8" xfId="0" applyFont="1" applyFill="1" applyBorder="1" applyAlignment="1" applyProtection="1">
      <alignment horizontal="center" vertical="center"/>
      <protection hidden="1"/>
    </xf>
    <xf numFmtId="0" fontId="71" fillId="0" borderId="8" xfId="0" applyFont="1" applyBorder="1" applyAlignment="1" applyProtection="1">
      <alignment horizontal="center" vertical="center"/>
      <protection hidden="1"/>
    </xf>
    <xf numFmtId="0" fontId="71" fillId="0" borderId="8" xfId="0" applyFont="1" applyBorder="1" applyAlignment="1" applyProtection="1">
      <alignment vertical="center" wrapText="1"/>
      <protection hidden="1"/>
    </xf>
    <xf numFmtId="0" fontId="39" fillId="0" borderId="8" xfId="0" applyFont="1" applyBorder="1" applyAlignment="1" applyProtection="1">
      <alignment vertical="center" wrapText="1"/>
      <protection hidden="1"/>
    </xf>
    <xf numFmtId="0" fontId="39" fillId="0" borderId="8" xfId="0" applyFont="1" applyBorder="1" applyAlignment="1" applyProtection="1">
      <alignment horizontal="center" vertical="center"/>
      <protection hidden="1"/>
    </xf>
    <xf numFmtId="0" fontId="38" fillId="0" borderId="8" xfId="0" applyFont="1" applyBorder="1" applyAlignment="1" applyProtection="1">
      <alignment vertical="center" wrapText="1"/>
      <protection hidden="1"/>
    </xf>
    <xf numFmtId="0" fontId="71" fillId="0" borderId="8" xfId="0" applyFont="1" applyFill="1" applyBorder="1" applyAlignment="1" applyProtection="1">
      <alignment vertical="center" wrapText="1"/>
      <protection hidden="1"/>
    </xf>
    <xf numFmtId="0" fontId="0" fillId="0" borderId="8" xfId="0" applyBorder="1" applyAlignment="1" applyProtection="1">
      <alignment horizontal="center" vertical="center"/>
      <protection hidden="1"/>
    </xf>
    <xf numFmtId="0" fontId="0" fillId="0" borderId="8" xfId="0" applyBorder="1" applyAlignment="1" applyProtection="1">
      <alignment vertical="center" wrapText="1"/>
      <protection hidden="1"/>
    </xf>
    <xf numFmtId="0" fontId="40" fillId="0" borderId="12" xfId="0" applyFont="1" applyBorder="1" applyAlignment="1" applyProtection="1">
      <alignment horizontal="center" vertical="center" wrapText="1"/>
      <protection locked="0"/>
    </xf>
    <xf numFmtId="0" fontId="41" fillId="0" borderId="0" xfId="0" applyFont="1" applyBorder="1" applyAlignment="1" applyProtection="1">
      <alignment vertical="center" wrapText="1"/>
      <protection hidden="1"/>
    </xf>
    <xf numFmtId="0" fontId="40" fillId="0" borderId="8" xfId="0" applyFont="1" applyBorder="1" applyAlignment="1" applyProtection="1">
      <alignment horizontal="center" vertical="center" wrapText="1"/>
      <protection locked="0"/>
    </xf>
    <xf numFmtId="0" fontId="41" fillId="0" borderId="8" xfId="0" applyFont="1" applyBorder="1" applyAlignment="1" applyProtection="1">
      <alignment horizontal="center" vertical="center" wrapText="1"/>
      <protection hidden="1"/>
    </xf>
    <xf numFmtId="0" fontId="41" fillId="0" borderId="8" xfId="0" applyFont="1" applyBorder="1" applyAlignment="1" applyProtection="1">
      <alignment horizontal="center" vertical="center"/>
      <protection hidden="1"/>
    </xf>
    <xf numFmtId="0" fontId="41" fillId="0" borderId="11" xfId="0" applyFont="1" applyBorder="1" applyAlignment="1" applyProtection="1">
      <alignment horizontal="center" vertical="center" wrapText="1"/>
      <protection hidden="1"/>
    </xf>
    <xf numFmtId="0" fontId="41" fillId="0" borderId="0" xfId="0" applyFont="1" applyFill="1" applyBorder="1" applyAlignment="1" applyProtection="1">
      <alignment vertical="center"/>
      <protection hidden="1"/>
    </xf>
    <xf numFmtId="0" fontId="40" fillId="0" borderId="8" xfId="0" applyFont="1" applyBorder="1" applyAlignment="1" applyProtection="1">
      <alignment horizontal="center" vertical="center"/>
      <protection hidden="1"/>
    </xf>
    <xf numFmtId="0" fontId="41" fillId="0" borderId="0" xfId="0" applyFont="1" applyBorder="1" applyAlignment="1" applyProtection="1">
      <alignment vertical="center"/>
      <protection hidden="1"/>
    </xf>
    <xf numFmtId="0" fontId="40" fillId="0" borderId="6" xfId="0" applyFont="1" applyBorder="1" applyAlignment="1" applyProtection="1">
      <alignment vertical="center" wrapText="1"/>
      <protection hidden="1"/>
    </xf>
    <xf numFmtId="0" fontId="40" fillId="0" borderId="10" xfId="0" applyFont="1" applyBorder="1" applyAlignment="1" applyProtection="1">
      <alignment vertical="center"/>
      <protection hidden="1"/>
    </xf>
    <xf numFmtId="0" fontId="40" fillId="0" borderId="9" xfId="0" applyFont="1" applyBorder="1" applyAlignment="1" applyProtection="1">
      <alignment horizontal="center" vertical="center" wrapText="1"/>
      <protection hidden="1"/>
    </xf>
    <xf numFmtId="0" fontId="40" fillId="0" borderId="8" xfId="0" applyFont="1" applyBorder="1" applyAlignment="1" applyProtection="1">
      <alignment horizontal="center" vertical="center" wrapText="1"/>
      <protection hidden="1"/>
    </xf>
    <xf numFmtId="0" fontId="40" fillId="0" borderId="8" xfId="0" applyFont="1" applyBorder="1" applyAlignment="1" applyProtection="1">
      <alignment vertical="center" wrapText="1"/>
      <protection hidden="1"/>
    </xf>
    <xf numFmtId="0" fontId="41" fillId="0" borderId="9" xfId="0" applyFont="1" applyBorder="1" applyAlignment="1" applyProtection="1">
      <alignment horizontal="center" vertical="center" wrapText="1"/>
      <protection hidden="1"/>
    </xf>
    <xf numFmtId="0" fontId="41" fillId="0" borderId="22" xfId="0" applyFont="1" applyBorder="1" applyAlignment="1" applyProtection="1">
      <alignment horizontal="center" vertical="center" wrapText="1"/>
      <protection hidden="1"/>
    </xf>
    <xf numFmtId="0" fontId="41" fillId="0" borderId="12" xfId="0" applyFont="1" applyBorder="1" applyAlignment="1" applyProtection="1">
      <alignment horizontal="center" vertical="center" wrapText="1"/>
      <protection hidden="1"/>
    </xf>
    <xf numFmtId="0" fontId="40" fillId="0" borderId="0" xfId="0" applyFont="1" applyBorder="1" applyAlignment="1" applyProtection="1">
      <alignment horizontal="left" vertical="center" wrapText="1"/>
      <protection hidden="1"/>
    </xf>
    <xf numFmtId="0" fontId="40" fillId="0" borderId="8" xfId="0" applyFont="1" applyBorder="1" applyAlignment="1" applyProtection="1">
      <alignment vertical="center" wrapText="1"/>
      <protection locked="0"/>
    </xf>
    <xf numFmtId="0" fontId="40" fillId="0" borderId="0" xfId="0" applyFont="1" applyFill="1" applyBorder="1" applyAlignment="1" applyProtection="1">
      <alignment vertical="center"/>
      <protection hidden="1"/>
    </xf>
    <xf numFmtId="0" fontId="73" fillId="2" borderId="8" xfId="0" applyFont="1" applyFill="1" applyBorder="1" applyAlignment="1" applyProtection="1">
      <alignment horizontal="center" vertical="center"/>
      <protection hidden="1"/>
    </xf>
    <xf numFmtId="0" fontId="41" fillId="0" borderId="9" xfId="0" applyFont="1" applyBorder="1" applyAlignment="1" applyProtection="1">
      <alignment horizontal="center" vertical="center"/>
      <protection hidden="1"/>
    </xf>
    <xf numFmtId="0" fontId="40" fillId="0" borderId="22" xfId="0" applyFont="1" applyBorder="1" applyAlignment="1" applyProtection="1">
      <alignment horizontal="center" vertical="center"/>
      <protection locked="0"/>
    </xf>
    <xf numFmtId="0" fontId="40" fillId="0" borderId="0" xfId="0" applyFont="1" applyBorder="1" applyAlignment="1" applyProtection="1">
      <alignment vertical="center" wrapText="1"/>
      <protection locked="0"/>
    </xf>
    <xf numFmtId="0" fontId="40" fillId="0" borderId="8" xfId="0" applyFont="1" applyBorder="1" applyAlignment="1" applyProtection="1">
      <alignment vertical="center"/>
      <protection hidden="1"/>
    </xf>
    <xf numFmtId="0" fontId="40" fillId="0" borderId="8" xfId="0" applyFont="1" applyBorder="1" applyAlignment="1" applyProtection="1">
      <alignment horizontal="center" vertical="center"/>
      <protection locked="0"/>
    </xf>
    <xf numFmtId="0" fontId="40" fillId="0" borderId="13" xfId="0" applyFont="1" applyBorder="1" applyAlignment="1" applyProtection="1">
      <alignment horizontal="center" vertical="center"/>
      <protection hidden="1"/>
    </xf>
    <xf numFmtId="0" fontId="40" fillId="0" borderId="15" xfId="0" applyFont="1" applyBorder="1" applyAlignment="1" applyProtection="1">
      <alignment horizontal="center" vertical="center"/>
      <protection hidden="1"/>
    </xf>
    <xf numFmtId="0" fontId="40" fillId="0" borderId="0" xfId="0" applyFont="1" applyBorder="1" applyAlignment="1" applyProtection="1">
      <alignment vertical="center"/>
      <protection hidden="1"/>
    </xf>
    <xf numFmtId="0" fontId="0" fillId="0" borderId="0" xfId="0" applyProtection="1">
      <protection locked="0"/>
    </xf>
    <xf numFmtId="0" fontId="41" fillId="0" borderId="7" xfId="0" applyFont="1" applyBorder="1" applyAlignment="1" applyProtection="1">
      <alignment vertical="center" wrapText="1"/>
      <protection hidden="1"/>
    </xf>
    <xf numFmtId="0" fontId="41" fillId="0" borderId="0" xfId="0" applyFont="1" applyFill="1" applyBorder="1" applyAlignment="1" applyProtection="1">
      <alignment horizontal="center" vertical="center" wrapText="1"/>
      <protection locked="0"/>
    </xf>
    <xf numFmtId="10" fontId="74" fillId="4" borderId="8" xfId="24" applyNumberFormat="1" applyFont="1" applyFill="1" applyBorder="1" applyAlignment="1" applyProtection="1">
      <alignment horizontal="right" vertical="center" wrapText="1"/>
      <protection hidden="1"/>
    </xf>
    <xf numFmtId="10" fontId="72" fillId="0" borderId="8" xfId="24" applyNumberFormat="1" applyFont="1" applyBorder="1" applyAlignment="1" applyProtection="1">
      <alignment horizontal="center" vertical="center"/>
      <protection hidden="1"/>
    </xf>
    <xf numFmtId="10" fontId="73" fillId="0" borderId="8" xfId="24" applyNumberFormat="1" applyFont="1" applyFill="1" applyBorder="1" applyAlignment="1" applyProtection="1">
      <alignment horizontal="right" vertical="center" wrapText="1"/>
      <protection hidden="1"/>
    </xf>
    <xf numFmtId="0" fontId="40" fillId="0" borderId="8" xfId="0" applyFont="1" applyFill="1" applyBorder="1" applyAlignment="1" applyProtection="1">
      <alignment horizontal="center" vertical="center"/>
      <protection hidden="1"/>
    </xf>
    <xf numFmtId="10" fontId="73" fillId="13" borderId="8" xfId="24" applyNumberFormat="1" applyFont="1" applyFill="1" applyBorder="1" applyAlignment="1" applyProtection="1">
      <alignment horizontal="right" vertical="center" wrapText="1"/>
      <protection hidden="1"/>
    </xf>
    <xf numFmtId="0" fontId="72" fillId="2" borderId="8" xfId="0" applyFont="1" applyFill="1" applyBorder="1" applyAlignment="1" applyProtection="1">
      <alignment horizontal="center"/>
      <protection hidden="1"/>
    </xf>
    <xf numFmtId="0" fontId="40" fillId="0" borderId="0" xfId="0" applyFont="1" applyAlignment="1" applyProtection="1">
      <alignment horizontal="left" vertical="center" wrapText="1"/>
      <protection locked="0"/>
    </xf>
    <xf numFmtId="0" fontId="41" fillId="0" borderId="0" xfId="0" applyFont="1" applyBorder="1" applyAlignment="1" applyProtection="1">
      <alignment horizontal="center"/>
      <protection locked="0"/>
    </xf>
    <xf numFmtId="0" fontId="40" fillId="0" borderId="0" xfId="0" quotePrefix="1" applyFont="1" applyBorder="1" applyAlignment="1" applyProtection="1">
      <alignment horizontal="left" vertical="top" wrapText="1"/>
      <protection hidden="1"/>
    </xf>
    <xf numFmtId="0" fontId="40" fillId="0" borderId="13" xfId="0" applyFont="1" applyBorder="1" applyAlignment="1" applyProtection="1">
      <alignment horizontal="center" vertical="center"/>
      <protection locked="0"/>
    </xf>
    <xf numFmtId="0" fontId="41" fillId="0" borderId="9"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1" fillId="0" borderId="12" xfId="0" applyFont="1" applyBorder="1" applyAlignment="1" applyProtection="1">
      <alignment horizontal="center" vertical="center" wrapText="1"/>
      <protection locked="0"/>
    </xf>
    <xf numFmtId="0" fontId="40" fillId="0" borderId="3" xfId="0" applyFont="1" applyBorder="1" applyAlignment="1" applyProtection="1">
      <alignment horizontal="center" vertical="center" wrapText="1"/>
      <protection locked="0"/>
    </xf>
    <xf numFmtId="0" fontId="40" fillId="0" borderId="0" xfId="0" applyFont="1" applyBorder="1" applyAlignment="1" applyProtection="1">
      <alignment horizontal="center" vertical="center" wrapText="1"/>
      <protection locked="0"/>
    </xf>
    <xf numFmtId="0" fontId="40" fillId="0" borderId="5" xfId="0" applyFont="1" applyBorder="1" applyAlignment="1" applyProtection="1">
      <alignment horizontal="center" vertical="center" wrapText="1"/>
      <protection locked="0"/>
    </xf>
    <xf numFmtId="0" fontId="40" fillId="0" borderId="4" xfId="0" quotePrefix="1" applyFont="1" applyBorder="1" applyAlignment="1" applyProtection="1">
      <alignment horizontal="left" vertical="top"/>
      <protection hidden="1"/>
    </xf>
    <xf numFmtId="0" fontId="40" fillId="0" borderId="0" xfId="0" quotePrefix="1" applyFont="1" applyBorder="1" applyAlignment="1" applyProtection="1">
      <alignment horizontal="left" vertical="top"/>
      <protection hidden="1"/>
    </xf>
    <xf numFmtId="0" fontId="40" fillId="0" borderId="5" xfId="0" quotePrefix="1" applyFont="1" applyBorder="1" applyAlignment="1" applyProtection="1">
      <alignment horizontal="left" vertical="top"/>
      <protection hidden="1"/>
    </xf>
    <xf numFmtId="0" fontId="40" fillId="0" borderId="7" xfId="0" quotePrefix="1" applyFont="1" applyBorder="1" applyAlignment="1" applyProtection="1">
      <alignment horizontal="left" vertical="top" wrapText="1"/>
      <protection hidden="1"/>
    </xf>
    <xf numFmtId="0" fontId="41" fillId="6" borderId="9" xfId="0" applyFont="1" applyFill="1" applyBorder="1" applyAlignment="1" applyProtection="1">
      <alignment horizontal="center" vertical="center" wrapText="1"/>
      <protection hidden="1"/>
    </xf>
    <xf numFmtId="0" fontId="41" fillId="6" borderId="12" xfId="0" applyFont="1" applyFill="1" applyBorder="1" applyAlignment="1" applyProtection="1">
      <alignment horizontal="center" vertical="center" wrapText="1"/>
      <protection hidden="1"/>
    </xf>
    <xf numFmtId="0" fontId="40" fillId="0" borderId="13" xfId="0" applyFont="1" applyBorder="1" applyAlignment="1" applyProtection="1">
      <alignment horizontal="center" vertical="center" wrapText="1"/>
      <protection hidden="1"/>
    </xf>
    <xf numFmtId="0" fontId="41" fillId="15" borderId="56" xfId="0" applyFont="1" applyFill="1" applyBorder="1" applyAlignment="1" applyProtection="1">
      <alignment horizontal="center" vertical="center" wrapText="1"/>
      <protection hidden="1"/>
    </xf>
    <xf numFmtId="0" fontId="40" fillId="0" borderId="0" xfId="0" applyFont="1" applyBorder="1" applyAlignment="1" applyProtection="1">
      <alignment horizontal="center" vertical="top" wrapText="1"/>
      <protection locked="0"/>
    </xf>
    <xf numFmtId="0" fontId="40" fillId="0" borderId="3" xfId="0" applyFont="1" applyBorder="1" applyAlignment="1" applyProtection="1">
      <alignment horizontal="center" vertical="center"/>
      <protection locked="0"/>
    </xf>
    <xf numFmtId="0" fontId="40" fillId="0" borderId="7" xfId="0" applyFont="1" applyBorder="1" applyAlignment="1" applyProtection="1">
      <alignment horizontal="left" vertical="top" wrapText="1"/>
      <protection hidden="1"/>
    </xf>
    <xf numFmtId="0" fontId="40" fillId="0" borderId="14" xfId="0" applyFont="1" applyBorder="1" applyAlignment="1" applyProtection="1">
      <alignment horizontal="center" vertical="center" wrapText="1"/>
      <protection locked="0"/>
    </xf>
    <xf numFmtId="0" fontId="40" fillId="0" borderId="0" xfId="0" applyFont="1" applyBorder="1" applyAlignment="1" applyProtection="1">
      <alignment horizontal="left" vertical="top" wrapText="1"/>
      <protection hidden="1"/>
    </xf>
    <xf numFmtId="0" fontId="72" fillId="2" borderId="8" xfId="0" applyFont="1" applyFill="1" applyBorder="1" applyAlignment="1" applyProtection="1">
      <alignment horizontal="center" vertical="center"/>
      <protection hidden="1"/>
    </xf>
    <xf numFmtId="2" fontId="72" fillId="2" borderId="8" xfId="0" applyNumberFormat="1" applyFont="1" applyFill="1" applyBorder="1" applyAlignment="1" applyProtection="1">
      <alignment horizontal="center" vertical="center"/>
      <protection hidden="1"/>
    </xf>
    <xf numFmtId="0" fontId="41" fillId="0" borderId="8" xfId="0" applyFont="1" applyBorder="1" applyAlignment="1" applyProtection="1">
      <alignment horizontal="center" vertical="center" wrapText="1"/>
      <protection locked="0"/>
    </xf>
    <xf numFmtId="0" fontId="40" fillId="0" borderId="0" xfId="0" applyFont="1" applyFill="1" applyBorder="1" applyAlignment="1" applyProtection="1">
      <alignment horizontal="center" vertical="center" wrapText="1"/>
      <protection locked="0"/>
    </xf>
    <xf numFmtId="0" fontId="40" fillId="0" borderId="0" xfId="0" applyFont="1" applyAlignment="1" applyProtection="1">
      <alignment horizontal="center"/>
      <protection locked="0"/>
    </xf>
    <xf numFmtId="2" fontId="72" fillId="2" borderId="8" xfId="0" applyNumberFormat="1" applyFont="1" applyFill="1" applyBorder="1" applyAlignment="1" applyProtection="1">
      <alignment horizontal="center"/>
      <protection hidden="1"/>
    </xf>
    <xf numFmtId="0" fontId="40" fillId="0" borderId="9" xfId="0" applyFont="1" applyBorder="1" applyAlignment="1" applyProtection="1">
      <alignment horizontal="center" vertical="top" wrapText="1"/>
      <protection hidden="1"/>
    </xf>
    <xf numFmtId="0" fontId="40" fillId="0" borderId="8" xfId="0" applyFont="1" applyBorder="1" applyAlignment="1" applyProtection="1">
      <alignment horizontal="center" vertical="top" wrapText="1"/>
      <protection locked="0"/>
    </xf>
    <xf numFmtId="0" fontId="40" fillId="0" borderId="0" xfId="0" applyFont="1" applyAlignment="1" applyProtection="1">
      <alignment horizontal="left" vertical="top" wrapText="1"/>
      <protection hidden="1"/>
    </xf>
    <xf numFmtId="0" fontId="40" fillId="0" borderId="0" xfId="0" applyFont="1" applyBorder="1" applyAlignment="1" applyProtection="1">
      <alignment horizontal="left" vertical="top" wrapText="1"/>
      <protection locked="0"/>
    </xf>
    <xf numFmtId="0" fontId="41" fillId="0" borderId="0" xfId="0" applyFont="1" applyBorder="1" applyAlignment="1" applyProtection="1">
      <alignment horizontal="left" vertical="top"/>
      <protection locked="0"/>
    </xf>
    <xf numFmtId="0" fontId="40" fillId="0" borderId="0" xfId="0" applyFont="1" applyBorder="1" applyAlignment="1" applyProtection="1">
      <protection locked="0"/>
    </xf>
    <xf numFmtId="9" fontId="41" fillId="6" borderId="9" xfId="25" applyFont="1" applyFill="1" applyBorder="1" applyAlignment="1" applyProtection="1">
      <alignment horizontal="center" vertical="center" wrapText="1"/>
      <protection hidden="1"/>
    </xf>
    <xf numFmtId="9" fontId="41" fillId="0" borderId="9" xfId="25" applyFont="1" applyBorder="1" applyAlignment="1" applyProtection="1">
      <alignment horizontal="center" vertical="center" wrapText="1"/>
      <protection hidden="1"/>
    </xf>
    <xf numFmtId="0" fontId="40" fillId="0" borderId="9" xfId="0" applyFont="1" applyBorder="1" applyAlignment="1" applyProtection="1">
      <alignment vertical="center" wrapText="1"/>
      <protection hidden="1"/>
    </xf>
    <xf numFmtId="0" fontId="40" fillId="0" borderId="10" xfId="0" applyFont="1" applyBorder="1" applyAlignment="1" applyProtection="1">
      <alignment vertical="center" wrapText="1"/>
      <protection hidden="1"/>
    </xf>
    <xf numFmtId="0" fontId="40" fillId="0" borderId="11" xfId="0" applyFont="1" applyBorder="1" applyAlignment="1" applyProtection="1">
      <alignment vertical="center" wrapText="1"/>
      <protection hidden="1"/>
    </xf>
    <xf numFmtId="0" fontId="40" fillId="0" borderId="4" xfId="0" applyFont="1" applyBorder="1" applyAlignment="1" applyProtection="1">
      <alignment vertical="center" wrapText="1"/>
      <protection hidden="1"/>
    </xf>
    <xf numFmtId="0" fontId="40" fillId="0" borderId="0" xfId="0" applyFont="1" applyBorder="1" applyAlignment="1" applyProtection="1">
      <alignment vertical="center" wrapText="1"/>
      <protection hidden="1"/>
    </xf>
    <xf numFmtId="0" fontId="40" fillId="0" borderId="5" xfId="0" applyFont="1" applyBorder="1" applyAlignment="1" applyProtection="1">
      <alignment vertical="center" wrapText="1"/>
      <protection hidden="1"/>
    </xf>
    <xf numFmtId="0" fontId="40" fillId="0" borderId="7" xfId="0" applyFont="1" applyBorder="1" applyAlignment="1" applyProtection="1">
      <alignment horizontal="center" vertical="center" wrapText="1"/>
      <protection hidden="1"/>
    </xf>
    <xf numFmtId="0" fontId="40" fillId="0" borderId="0" xfId="0" applyFont="1" applyBorder="1" applyAlignment="1" applyProtection="1">
      <alignment horizontal="center" vertical="center" wrapText="1"/>
      <protection hidden="1"/>
    </xf>
    <xf numFmtId="0" fontId="40" fillId="0" borderId="3" xfId="0" applyFont="1" applyBorder="1" applyAlignment="1" applyProtection="1">
      <alignment vertical="center" wrapText="1"/>
      <protection hidden="1"/>
    </xf>
    <xf numFmtId="0" fontId="40" fillId="0" borderId="7" xfId="0" applyFont="1" applyBorder="1" applyAlignment="1" applyProtection="1">
      <alignment vertical="center" wrapText="1"/>
      <protection hidden="1"/>
    </xf>
    <xf numFmtId="0" fontId="40" fillId="0" borderId="16" xfId="0" applyFont="1" applyBorder="1" applyAlignment="1" applyProtection="1">
      <alignment vertical="center" wrapText="1"/>
      <protection hidden="1"/>
    </xf>
    <xf numFmtId="0" fontId="40" fillId="0" borderId="7" xfId="0" applyFont="1" applyBorder="1" applyAlignment="1" applyProtection="1">
      <alignment vertical="center"/>
      <protection locked="0"/>
    </xf>
    <xf numFmtId="0" fontId="40" fillId="0" borderId="7" xfId="0" applyFont="1" applyBorder="1" applyAlignment="1" applyProtection="1">
      <alignment vertical="center"/>
      <protection hidden="1"/>
    </xf>
    <xf numFmtId="0" fontId="40" fillId="0" borderId="0" xfId="0" applyFont="1" applyAlignment="1" applyProtection="1">
      <protection hidden="1"/>
    </xf>
    <xf numFmtId="0" fontId="40" fillId="0" borderId="3" xfId="0" applyFont="1" applyBorder="1" applyAlignment="1" applyProtection="1">
      <protection hidden="1"/>
    </xf>
    <xf numFmtId="0" fontId="40" fillId="0" borderId="16" xfId="0" applyFont="1" applyBorder="1" applyAlignment="1" applyProtection="1">
      <protection hidden="1"/>
    </xf>
    <xf numFmtId="0" fontId="40" fillId="0" borderId="0" xfId="0" applyFont="1" applyAlignment="1" applyProtection="1">
      <alignment vertical="center" wrapText="1"/>
      <protection hidden="1"/>
    </xf>
    <xf numFmtId="0" fontId="40" fillId="0" borderId="0" xfId="0" applyFont="1" applyBorder="1" applyAlignment="1" applyProtection="1">
      <alignment vertical="top" wrapText="1"/>
      <protection locked="0"/>
    </xf>
    <xf numFmtId="0" fontId="40" fillId="0" borderId="4" xfId="0" applyFont="1" applyBorder="1" applyAlignment="1" applyProtection="1">
      <alignment vertical="center" wrapText="1"/>
      <protection locked="0"/>
    </xf>
    <xf numFmtId="0" fontId="40" fillId="0" borderId="0" xfId="0" applyFont="1" applyAlignment="1" applyProtection="1">
      <alignment vertical="center" wrapText="1"/>
      <protection locked="0"/>
    </xf>
    <xf numFmtId="0" fontId="41" fillId="0" borderId="6" xfId="0" applyFont="1" applyBorder="1" applyAlignment="1" applyProtection="1">
      <alignment horizontal="center" vertical="center" wrapText="1"/>
      <protection hidden="1"/>
    </xf>
    <xf numFmtId="0" fontId="41" fillId="0" borderId="10" xfId="0" applyFont="1" applyBorder="1" applyAlignment="1" applyProtection="1">
      <alignment horizontal="center" vertical="center" wrapText="1"/>
      <protection hidden="1"/>
    </xf>
    <xf numFmtId="0" fontId="40" fillId="0" borderId="0" xfId="0" applyFont="1" applyBorder="1" applyAlignment="1" applyProtection="1">
      <alignment vertical="center"/>
      <protection hidden="1"/>
    </xf>
    <xf numFmtId="0" fontId="40" fillId="0" borderId="0" xfId="0" applyFont="1" applyBorder="1" applyAlignment="1" applyProtection="1">
      <alignment vertical="center" wrapText="1"/>
      <protection locked="0"/>
    </xf>
    <xf numFmtId="0" fontId="40" fillId="0" borderId="7" xfId="0" applyFont="1" applyBorder="1" applyAlignment="1" applyProtection="1">
      <alignment horizontal="center" vertical="center"/>
      <protection hidden="1"/>
    </xf>
    <xf numFmtId="0" fontId="40" fillId="0" borderId="9" xfId="0" applyFont="1" applyBorder="1" applyAlignment="1" applyProtection="1">
      <alignment horizontal="center" vertical="center" wrapText="1"/>
      <protection hidden="1"/>
    </xf>
    <xf numFmtId="0" fontId="40" fillId="0" borderId="8" xfId="0" applyFont="1" applyBorder="1" applyAlignment="1" applyProtection="1">
      <alignment vertical="center" wrapText="1"/>
      <protection locked="0"/>
    </xf>
    <xf numFmtId="0" fontId="41" fillId="0" borderId="0" xfId="0" applyFont="1" applyBorder="1" applyAlignment="1" applyProtection="1">
      <alignment vertical="center"/>
      <protection hidden="1"/>
    </xf>
    <xf numFmtId="0" fontId="41" fillId="0" borderId="0" xfId="0" applyFont="1" applyBorder="1" applyAlignment="1" applyProtection="1">
      <alignment horizontal="center" vertical="center" wrapText="1"/>
      <protection locked="0"/>
    </xf>
    <xf numFmtId="0" fontId="41" fillId="0" borderId="0" xfId="0" applyFont="1" applyBorder="1" applyAlignment="1" applyProtection="1">
      <alignment horizontal="center" vertical="center" wrapText="1"/>
      <protection hidden="1"/>
    </xf>
    <xf numFmtId="0" fontId="40" fillId="0" borderId="0" xfId="0" applyFont="1" applyAlignment="1" applyProtection="1">
      <alignment horizontal="left" vertical="center"/>
      <protection locked="0"/>
    </xf>
    <xf numFmtId="0" fontId="40" fillId="0" borderId="3" xfId="0" applyFont="1" applyBorder="1" applyAlignment="1" applyProtection="1">
      <alignment horizontal="left" vertical="center" wrapText="1"/>
      <protection locked="0"/>
    </xf>
    <xf numFmtId="0" fontId="40" fillId="0" borderId="0" xfId="0" applyFont="1" applyBorder="1" applyAlignment="1" applyProtection="1">
      <alignment horizontal="center" vertical="center" wrapText="1"/>
      <protection locked="0"/>
    </xf>
    <xf numFmtId="0" fontId="40" fillId="0" borderId="0" xfId="0" applyFont="1" applyBorder="1" applyAlignment="1" applyProtection="1">
      <alignment horizontal="center" vertical="top" wrapText="1"/>
      <protection locked="0"/>
    </xf>
    <xf numFmtId="0" fontId="41" fillId="6" borderId="9" xfId="0" applyFont="1" applyFill="1" applyBorder="1" applyAlignment="1" applyProtection="1">
      <alignment horizontal="center" vertical="center" wrapText="1"/>
      <protection hidden="1"/>
    </xf>
    <xf numFmtId="0" fontId="40" fillId="0" borderId="0" xfId="0" applyFont="1" applyAlignment="1" applyProtection="1">
      <alignment horizontal="center"/>
      <protection locked="0"/>
    </xf>
    <xf numFmtId="0" fontId="40" fillId="0" borderId="8" xfId="0" applyFont="1" applyBorder="1" applyAlignment="1" applyProtection="1">
      <alignment horizontal="center" vertical="top" wrapText="1"/>
      <protection hidden="1"/>
    </xf>
    <xf numFmtId="0" fontId="40" fillId="0" borderId="4" xfId="19" applyFont="1" applyBorder="1" applyAlignment="1" applyProtection="1">
      <alignment vertical="center" wrapText="1"/>
      <protection locked="0"/>
    </xf>
    <xf numFmtId="0" fontId="40" fillId="0" borderId="0" xfId="19" applyFont="1" applyBorder="1" applyAlignment="1" applyProtection="1">
      <alignment vertical="center" wrapText="1"/>
      <protection locked="0"/>
    </xf>
    <xf numFmtId="0" fontId="40" fillId="0" borderId="0" xfId="19" applyFont="1" applyBorder="1" applyAlignment="1" applyProtection="1">
      <alignment horizontal="left" vertical="center" wrapText="1"/>
      <protection locked="0"/>
    </xf>
    <xf numFmtId="0" fontId="40" fillId="0" borderId="10" xfId="19" applyFont="1" applyBorder="1" applyAlignment="1" applyProtection="1">
      <alignment vertical="center" wrapText="1"/>
      <protection locked="0"/>
    </xf>
    <xf numFmtId="0" fontId="41" fillId="0" borderId="0" xfId="19" applyFont="1" applyAlignment="1" applyProtection="1">
      <alignment vertical="center" wrapText="1"/>
      <protection locked="0"/>
    </xf>
    <xf numFmtId="0" fontId="40" fillId="0" borderId="0" xfId="19" applyFont="1" applyAlignment="1" applyProtection="1">
      <alignment vertical="center" wrapText="1"/>
      <protection locked="0"/>
    </xf>
    <xf numFmtId="2" fontId="55" fillId="0" borderId="0" xfId="19" applyNumberFormat="1" applyFont="1" applyAlignment="1" applyProtection="1">
      <alignment horizontal="left" vertical="center" wrapText="1"/>
      <protection hidden="1"/>
    </xf>
    <xf numFmtId="0" fontId="40" fillId="0" borderId="7" xfId="0" applyFont="1" applyBorder="1" applyAlignment="1" applyProtection="1">
      <alignment vertical="center" wrapText="1"/>
      <protection hidden="1"/>
    </xf>
    <xf numFmtId="0" fontId="40" fillId="0" borderId="3" xfId="0" applyFont="1" applyBorder="1" applyAlignment="1" applyProtection="1">
      <alignment vertical="center" wrapText="1"/>
      <protection hidden="1"/>
    </xf>
    <xf numFmtId="0" fontId="40" fillId="0" borderId="0" xfId="0" applyFont="1" applyAlignment="1" applyProtection="1">
      <protection hidden="1"/>
    </xf>
    <xf numFmtId="0" fontId="40" fillId="0" borderId="4" xfId="0" applyFont="1" applyBorder="1" applyAlignment="1" applyProtection="1">
      <alignment vertical="center" wrapText="1"/>
      <protection hidden="1"/>
    </xf>
    <xf numFmtId="0" fontId="40" fillId="0" borderId="0" xfId="0" applyFont="1" applyAlignment="1" applyProtection="1">
      <alignment vertical="center" wrapText="1"/>
      <protection hidden="1"/>
    </xf>
    <xf numFmtId="0" fontId="40" fillId="0" borderId="0" xfId="0" applyFont="1" applyBorder="1" applyAlignment="1" applyProtection="1">
      <alignment vertical="center" wrapText="1"/>
      <protection hidden="1"/>
    </xf>
    <xf numFmtId="0" fontId="40" fillId="0" borderId="0" xfId="0" applyFont="1" applyBorder="1" applyAlignment="1" applyProtection="1">
      <alignment vertical="top" wrapText="1"/>
      <protection locked="0"/>
    </xf>
    <xf numFmtId="0" fontId="40" fillId="0" borderId="4" xfId="0" applyFont="1" applyBorder="1" applyAlignment="1" applyProtection="1">
      <alignment vertical="center" wrapText="1"/>
      <protection locked="0"/>
    </xf>
    <xf numFmtId="0" fontId="40" fillId="0" borderId="0" xfId="0" applyFont="1" applyAlignment="1" applyProtection="1">
      <alignment vertical="center" wrapText="1"/>
      <protection locked="0"/>
    </xf>
    <xf numFmtId="0" fontId="40" fillId="0" borderId="16" xfId="0" applyFont="1" applyBorder="1" applyAlignment="1" applyProtection="1">
      <alignment vertical="center"/>
      <protection locked="0"/>
    </xf>
    <xf numFmtId="0" fontId="40" fillId="0" borderId="5" xfId="0" applyFont="1" applyBorder="1" applyAlignment="1" applyProtection="1">
      <alignment vertical="center" wrapText="1"/>
      <protection hidden="1"/>
    </xf>
    <xf numFmtId="0" fontId="40" fillId="0" borderId="16" xfId="0" applyFont="1" applyBorder="1" applyAlignment="1" applyProtection="1">
      <alignment vertical="center" wrapText="1"/>
      <protection hidden="1"/>
    </xf>
    <xf numFmtId="0" fontId="40" fillId="0" borderId="10" xfId="0" applyFont="1" applyBorder="1" applyAlignment="1" applyProtection="1">
      <alignment vertical="center" wrapText="1"/>
      <protection hidden="1"/>
    </xf>
    <xf numFmtId="0" fontId="41" fillId="0" borderId="8" xfId="0" applyFont="1" applyFill="1" applyBorder="1" applyAlignment="1" applyProtection="1">
      <alignment horizontal="center" vertical="top"/>
      <protection hidden="1"/>
    </xf>
    <xf numFmtId="0" fontId="40" fillId="0" borderId="0" xfId="0" applyFont="1" applyBorder="1" applyAlignment="1" applyProtection="1">
      <alignment horizontal="left" vertical="top" wrapText="1"/>
      <protection locked="0"/>
    </xf>
    <xf numFmtId="0" fontId="40" fillId="0" borderId="0" xfId="0" applyFont="1" applyBorder="1" applyAlignment="1" applyProtection="1">
      <protection locked="0"/>
    </xf>
    <xf numFmtId="0" fontId="40" fillId="0" borderId="0" xfId="18" applyFont="1" applyBorder="1" applyAlignment="1" applyProtection="1">
      <alignment horizontal="left" vertical="center" wrapText="1"/>
      <protection locked="0"/>
    </xf>
    <xf numFmtId="0" fontId="43" fillId="0" borderId="0" xfId="18" applyFont="1" applyBorder="1" applyAlignment="1" applyProtection="1">
      <alignment horizontal="left" vertical="top" wrapText="1"/>
      <protection locked="0"/>
    </xf>
    <xf numFmtId="0" fontId="78" fillId="0" borderId="0" xfId="21" applyFont="1" applyAlignment="1" applyProtection="1">
      <protection locked="0"/>
    </xf>
    <xf numFmtId="0" fontId="78" fillId="0" borderId="0" xfId="21" applyFont="1" applyBorder="1" applyAlignment="1" applyProtection="1">
      <protection locked="0"/>
    </xf>
    <xf numFmtId="0" fontId="80" fillId="0" borderId="0" xfId="21" applyFont="1" applyBorder="1" applyAlignment="1" applyProtection="1">
      <protection locked="0"/>
    </xf>
    <xf numFmtId="0" fontId="79" fillId="0" borderId="0" xfId="21" applyFont="1" applyBorder="1" applyAlignment="1" applyProtection="1">
      <protection locked="0"/>
    </xf>
    <xf numFmtId="180" fontId="80" fillId="0" borderId="0" xfId="8" applyNumberFormat="1" applyFont="1" applyAlignment="1" applyProtection="1">
      <protection locked="0"/>
    </xf>
    <xf numFmtId="0" fontId="81" fillId="0" borderId="0" xfId="21" applyFont="1" applyBorder="1" applyAlignment="1" applyProtection="1">
      <protection locked="0"/>
    </xf>
    <xf numFmtId="41" fontId="80" fillId="0" borderId="0" xfId="5" applyFont="1" applyBorder="1" applyAlignment="1" applyProtection="1">
      <protection locked="0"/>
    </xf>
    <xf numFmtId="0" fontId="80" fillId="0" borderId="0" xfId="21" applyFont="1" applyFill="1" applyBorder="1" applyAlignment="1" applyProtection="1">
      <protection locked="0"/>
    </xf>
    <xf numFmtId="188" fontId="78" fillId="0" borderId="0" xfId="21" applyNumberFormat="1" applyFont="1" applyBorder="1" applyAlignment="1" applyProtection="1">
      <protection locked="0"/>
    </xf>
    <xf numFmtId="0" fontId="85" fillId="0" borderId="0" xfId="21" applyFont="1" applyBorder="1" applyAlignment="1" applyProtection="1">
      <protection locked="0"/>
    </xf>
    <xf numFmtId="10" fontId="80" fillId="3" borderId="96" xfId="24" applyNumberFormat="1" applyFont="1" applyFill="1" applyBorder="1" applyProtection="1">
      <protection locked="0"/>
    </xf>
    <xf numFmtId="10" fontId="85" fillId="10" borderId="96" xfId="24" applyNumberFormat="1" applyFont="1" applyFill="1" applyBorder="1" applyProtection="1">
      <protection locked="0"/>
    </xf>
    <xf numFmtId="41" fontId="85" fillId="10" borderId="96" xfId="5" applyFont="1" applyFill="1" applyBorder="1" applyProtection="1">
      <protection locked="0"/>
    </xf>
    <xf numFmtId="0" fontId="78" fillId="0" borderId="0" xfId="21" applyFont="1" applyFill="1" applyBorder="1" applyAlignment="1" applyProtection="1">
      <protection locked="0"/>
    </xf>
    <xf numFmtId="9" fontId="78" fillId="0" borderId="0" xfId="24" applyFont="1" applyBorder="1" applyAlignment="1" applyProtection="1">
      <protection locked="0"/>
    </xf>
    <xf numFmtId="0" fontId="128" fillId="0" borderId="0" xfId="21" applyFont="1" applyBorder="1" applyAlignment="1" applyProtection="1">
      <protection locked="0"/>
    </xf>
    <xf numFmtId="41" fontId="128" fillId="0" borderId="0" xfId="5" applyFont="1" applyBorder="1" applyAlignment="1" applyProtection="1">
      <protection locked="0"/>
    </xf>
    <xf numFmtId="41" fontId="128" fillId="0" borderId="0" xfId="21" applyNumberFormat="1" applyFont="1" applyBorder="1" applyAlignment="1" applyProtection="1">
      <protection locked="0"/>
    </xf>
    <xf numFmtId="41" fontId="85" fillId="10" borderId="96" xfId="5" applyFont="1" applyFill="1" applyBorder="1" applyAlignment="1" applyProtection="1">
      <alignment vertical="top"/>
      <protection locked="0"/>
    </xf>
    <xf numFmtId="9" fontId="128" fillId="0" borderId="0" xfId="24" applyFont="1" applyBorder="1" applyAlignment="1" applyProtection="1">
      <protection locked="0"/>
    </xf>
    <xf numFmtId="180" fontId="79" fillId="11" borderId="0" xfId="7" applyNumberFormat="1" applyFont="1" applyFill="1" applyProtection="1">
      <protection locked="0"/>
    </xf>
    <xf numFmtId="41" fontId="79" fillId="11" borderId="96" xfId="4" applyFont="1" applyFill="1" applyBorder="1" applyProtection="1">
      <protection locked="0"/>
    </xf>
    <xf numFmtId="9" fontId="80" fillId="0" borderId="0" xfId="24" applyFont="1" applyAlignment="1" applyProtection="1">
      <protection locked="0"/>
    </xf>
    <xf numFmtId="0" fontId="81" fillId="0" borderId="0" xfId="21" applyFont="1" applyAlignment="1" applyProtection="1">
      <protection locked="0"/>
    </xf>
    <xf numFmtId="0" fontId="128" fillId="0" borderId="0" xfId="21" applyFont="1" applyAlignment="1" applyProtection="1">
      <protection locked="0"/>
    </xf>
    <xf numFmtId="41" fontId="128" fillId="0" borderId="0" xfId="5" applyFont="1" applyAlignment="1" applyProtection="1">
      <protection locked="0"/>
    </xf>
    <xf numFmtId="0" fontId="80" fillId="0" borderId="0" xfId="21" applyFont="1" applyAlignment="1" applyProtection="1">
      <protection locked="0"/>
    </xf>
    <xf numFmtId="41" fontId="80" fillId="11" borderId="99" xfId="4" applyFont="1" applyFill="1" applyBorder="1" applyProtection="1">
      <protection locked="0"/>
    </xf>
    <xf numFmtId="180" fontId="128" fillId="0" borderId="0" xfId="8" applyNumberFormat="1" applyFont="1" applyAlignment="1" applyProtection="1">
      <protection locked="0"/>
    </xf>
    <xf numFmtId="41" fontId="128" fillId="0" borderId="0" xfId="21" applyNumberFormat="1" applyFont="1" applyAlignment="1" applyProtection="1">
      <protection locked="0"/>
    </xf>
    <xf numFmtId="41" fontId="79" fillId="0" borderId="14" xfId="5" applyFont="1" applyBorder="1" applyProtection="1">
      <protection locked="0"/>
    </xf>
    <xf numFmtId="41" fontId="80" fillId="0" borderId="14" xfId="5" applyFont="1" applyBorder="1" applyProtection="1">
      <protection locked="0"/>
    </xf>
    <xf numFmtId="0" fontId="85" fillId="10" borderId="8" xfId="21" applyFont="1" applyFill="1" applyBorder="1" applyAlignment="1" applyProtection="1">
      <alignment horizontal="center"/>
      <protection locked="0"/>
    </xf>
    <xf numFmtId="41" fontId="85" fillId="10" borderId="8" xfId="5" applyFont="1" applyFill="1" applyBorder="1" applyProtection="1">
      <protection locked="0"/>
    </xf>
    <xf numFmtId="9" fontId="128" fillId="0" borderId="0" xfId="24" applyFont="1" applyAlignment="1" applyProtection="1">
      <protection locked="0"/>
    </xf>
    <xf numFmtId="10" fontId="84" fillId="0" borderId="14" xfId="24" applyNumberFormat="1" applyFont="1" applyFill="1" applyBorder="1" applyProtection="1">
      <protection locked="0"/>
    </xf>
    <xf numFmtId="41" fontId="85" fillId="0" borderId="14" xfId="5" applyFont="1" applyFill="1" applyBorder="1" applyProtection="1">
      <protection locked="0"/>
    </xf>
    <xf numFmtId="41" fontId="91" fillId="0" borderId="14" xfId="5" applyFont="1" applyFill="1" applyBorder="1" applyProtection="1">
      <protection locked="0"/>
    </xf>
    <xf numFmtId="41" fontId="80" fillId="0" borderId="0" xfId="5" applyFont="1" applyAlignment="1" applyProtection="1">
      <protection locked="0"/>
    </xf>
    <xf numFmtId="43" fontId="128" fillId="0" borderId="0" xfId="8" applyFont="1" applyAlignment="1" applyProtection="1">
      <protection locked="0"/>
    </xf>
    <xf numFmtId="41" fontId="128" fillId="0" borderId="0" xfId="5" applyFont="1" applyFill="1" applyAlignment="1" applyProtection="1">
      <protection locked="0"/>
    </xf>
    <xf numFmtId="10" fontId="80" fillId="10" borderId="96" xfId="24" applyNumberFormat="1" applyFont="1" applyFill="1" applyBorder="1" applyProtection="1">
      <protection locked="0"/>
    </xf>
    <xf numFmtId="0" fontId="127" fillId="0" borderId="0" xfId="21" applyFont="1" applyAlignment="1" applyProtection="1">
      <protection locked="0"/>
    </xf>
    <xf numFmtId="0" fontId="127" fillId="0" borderId="0" xfId="21" applyFont="1" applyBorder="1" applyAlignment="1" applyProtection="1">
      <protection locked="0"/>
    </xf>
    <xf numFmtId="180" fontId="129" fillId="0" borderId="0" xfId="8" applyNumberFormat="1" applyFont="1" applyAlignment="1" applyProtection="1">
      <protection locked="0"/>
    </xf>
    <xf numFmtId="41" fontId="127" fillId="0" borderId="0" xfId="5" applyFont="1" applyAlignment="1" applyProtection="1">
      <protection locked="0"/>
    </xf>
    <xf numFmtId="0" fontId="78" fillId="5" borderId="0" xfId="21" applyFont="1" applyFill="1" applyAlignment="1" applyProtection="1">
      <protection locked="0"/>
    </xf>
    <xf numFmtId="0" fontId="78" fillId="5" borderId="0" xfId="21" applyFont="1" applyFill="1" applyBorder="1" applyAlignment="1" applyProtection="1">
      <protection locked="0"/>
    </xf>
    <xf numFmtId="180" fontId="80" fillId="5" borderId="0" xfId="8" applyNumberFormat="1" applyFont="1" applyFill="1" applyAlignment="1" applyProtection="1">
      <protection locked="0"/>
    </xf>
    <xf numFmtId="0" fontId="81" fillId="5" borderId="0" xfId="21" applyFont="1" applyFill="1" applyAlignment="1" applyProtection="1">
      <protection locked="0"/>
    </xf>
    <xf numFmtId="0" fontId="80" fillId="5" borderId="0" xfId="21" applyFont="1" applyFill="1" applyAlignment="1" applyProtection="1">
      <protection locked="0"/>
    </xf>
    <xf numFmtId="41" fontId="80" fillId="5" borderId="0" xfId="5" applyFont="1" applyFill="1" applyAlignment="1" applyProtection="1">
      <protection locked="0"/>
    </xf>
    <xf numFmtId="41" fontId="80" fillId="0" borderId="0" xfId="21" applyNumberFormat="1" applyFont="1" applyAlignment="1" applyProtection="1">
      <protection locked="0"/>
    </xf>
    <xf numFmtId="41" fontId="80" fillId="0" borderId="0" xfId="21" applyNumberFormat="1" applyFont="1" applyBorder="1" applyAlignment="1" applyProtection="1">
      <protection locked="0"/>
    </xf>
    <xf numFmtId="188" fontId="85" fillId="10" borderId="22" xfId="21" applyNumberFormat="1" applyFont="1" applyFill="1" applyBorder="1" applyAlignment="1" applyProtection="1">
      <protection locked="0"/>
    </xf>
    <xf numFmtId="188" fontId="85" fillId="10" borderId="12" xfId="21" applyNumberFormat="1" applyFont="1" applyFill="1" applyBorder="1" applyAlignment="1" applyProtection="1">
      <protection locked="0"/>
    </xf>
    <xf numFmtId="41" fontId="84" fillId="10" borderId="96" xfId="5" applyFont="1" applyFill="1" applyBorder="1" applyProtection="1">
      <protection locked="0"/>
    </xf>
    <xf numFmtId="0" fontId="83" fillId="0" borderId="4" xfId="21" applyFont="1" applyBorder="1" applyAlignment="1" applyProtection="1">
      <protection locked="0"/>
    </xf>
    <xf numFmtId="0" fontId="83" fillId="0" borderId="0" xfId="21" applyFont="1" applyBorder="1" applyAlignment="1" applyProtection="1">
      <protection locked="0"/>
    </xf>
    <xf numFmtId="180" fontId="85" fillId="0" borderId="5" xfId="8" applyNumberFormat="1" applyFont="1" applyBorder="1" applyAlignment="1" applyProtection="1">
      <protection locked="0"/>
    </xf>
    <xf numFmtId="0" fontId="78" fillId="0" borderId="0" xfId="21" applyFont="1" applyAlignment="1" applyProtection="1">
      <alignment vertical="center"/>
      <protection locked="0"/>
    </xf>
    <xf numFmtId="0" fontId="78" fillId="0" borderId="0" xfId="21" applyFont="1" applyBorder="1" applyAlignment="1" applyProtection="1">
      <alignment vertical="center"/>
      <protection locked="0"/>
    </xf>
    <xf numFmtId="0" fontId="83" fillId="0" borderId="4" xfId="21" applyFont="1" applyBorder="1" applyAlignment="1" applyProtection="1">
      <alignment vertical="center"/>
      <protection locked="0"/>
    </xf>
    <xf numFmtId="0" fontId="83" fillId="0" borderId="0" xfId="21" applyFont="1" applyBorder="1" applyAlignment="1" applyProtection="1">
      <alignment vertical="center"/>
      <protection locked="0"/>
    </xf>
    <xf numFmtId="180" fontId="85" fillId="0" borderId="5" xfId="8" applyNumberFormat="1" applyFont="1" applyBorder="1" applyAlignment="1" applyProtection="1">
      <alignment vertical="center"/>
      <protection locked="0"/>
    </xf>
    <xf numFmtId="0" fontId="81" fillId="0" borderId="0" xfId="21" applyFont="1" applyAlignment="1" applyProtection="1">
      <alignment vertical="center"/>
      <protection locked="0"/>
    </xf>
    <xf numFmtId="0" fontId="80" fillId="0" borderId="0" xfId="21" applyFont="1" applyAlignment="1" applyProtection="1">
      <alignment vertical="center"/>
      <protection locked="0"/>
    </xf>
    <xf numFmtId="41" fontId="80" fillId="0" borderId="0" xfId="5" applyFont="1" applyAlignment="1" applyProtection="1">
      <alignment vertical="center"/>
      <protection locked="0"/>
    </xf>
    <xf numFmtId="172" fontId="85" fillId="10" borderId="96" xfId="24" applyNumberFormat="1" applyFont="1" applyFill="1" applyBorder="1" applyProtection="1">
      <protection locked="0"/>
    </xf>
    <xf numFmtId="172" fontId="80" fillId="3" borderId="96" xfId="24" applyNumberFormat="1" applyFont="1" applyFill="1" applyBorder="1" applyProtection="1">
      <protection locked="0"/>
    </xf>
    <xf numFmtId="0" fontId="78" fillId="0" borderId="4" xfId="21" applyFont="1" applyBorder="1" applyAlignment="1" applyProtection="1">
      <protection locked="0"/>
    </xf>
    <xf numFmtId="180" fontId="80" fillId="0" borderId="5" xfId="8" applyNumberFormat="1" applyFont="1" applyBorder="1" applyAlignment="1" applyProtection="1">
      <protection locked="0"/>
    </xf>
    <xf numFmtId="172" fontId="80" fillId="10" borderId="96" xfId="24" applyNumberFormat="1" applyFont="1" applyFill="1" applyBorder="1" applyProtection="1">
      <protection locked="0"/>
    </xf>
    <xf numFmtId="41" fontId="78" fillId="0" borderId="4" xfId="21" applyNumberFormat="1" applyFont="1" applyBorder="1" applyAlignment="1" applyProtection="1">
      <protection locked="0"/>
    </xf>
    <xf numFmtId="41" fontId="78" fillId="20" borderId="96" xfId="21" applyNumberFormat="1" applyFont="1" applyFill="1" applyBorder="1" applyProtection="1">
      <alignment vertical="top"/>
      <protection locked="0"/>
    </xf>
    <xf numFmtId="41" fontId="79" fillId="0" borderId="96" xfId="5" applyFont="1" applyBorder="1" applyProtection="1">
      <protection locked="0"/>
    </xf>
    <xf numFmtId="41" fontId="80" fillId="0" borderId="96" xfId="5" applyFont="1" applyBorder="1" applyProtection="1">
      <protection locked="0"/>
    </xf>
    <xf numFmtId="41" fontId="80" fillId="0" borderId="96" xfId="5" applyFont="1" applyFill="1" applyBorder="1" applyAlignment="1" applyProtection="1">
      <alignment vertical="top"/>
      <protection locked="0"/>
    </xf>
    <xf numFmtId="41" fontId="79" fillId="5" borderId="14" xfId="5" applyFont="1" applyFill="1" applyBorder="1" applyProtection="1">
      <protection locked="0"/>
    </xf>
    <xf numFmtId="41" fontId="80" fillId="0" borderId="14" xfId="5" applyFont="1" applyFill="1" applyBorder="1" applyProtection="1">
      <protection locked="0"/>
    </xf>
    <xf numFmtId="0" fontId="129" fillId="0" borderId="0" xfId="21" applyFont="1" applyAlignment="1" applyProtection="1">
      <protection locked="0"/>
    </xf>
    <xf numFmtId="0" fontId="78" fillId="3" borderId="7" xfId="21" applyFont="1" applyFill="1" applyBorder="1" applyAlignment="1" applyProtection="1">
      <protection locked="0"/>
    </xf>
    <xf numFmtId="0" fontId="78" fillId="20" borderId="13" xfId="21" applyFont="1" applyFill="1" applyBorder="1" applyAlignment="1" applyProtection="1">
      <protection locked="0"/>
    </xf>
    <xf numFmtId="0" fontId="78" fillId="3" borderId="0" xfId="21" applyFont="1" applyFill="1" applyBorder="1" applyAlignment="1" applyProtection="1">
      <protection locked="0"/>
    </xf>
    <xf numFmtId="0" fontId="78" fillId="20" borderId="14" xfId="21" applyFont="1" applyFill="1" applyBorder="1" applyAlignment="1" applyProtection="1">
      <protection locked="0"/>
    </xf>
    <xf numFmtId="0" fontId="78" fillId="3" borderId="10" xfId="21" applyFont="1" applyFill="1" applyBorder="1" applyAlignment="1" applyProtection="1">
      <protection locked="0"/>
    </xf>
    <xf numFmtId="0" fontId="78" fillId="20" borderId="15" xfId="21" applyFont="1" applyFill="1" applyBorder="1" applyAlignment="1" applyProtection="1">
      <protection locked="0"/>
    </xf>
    <xf numFmtId="0" fontId="78" fillId="3" borderId="0" xfId="21" applyFont="1" applyFill="1" applyAlignment="1" applyProtection="1">
      <protection locked="0"/>
    </xf>
    <xf numFmtId="0" fontId="78" fillId="3" borderId="14" xfId="21" applyFont="1" applyFill="1" applyBorder="1" applyAlignment="1" applyProtection="1">
      <protection locked="0"/>
    </xf>
    <xf numFmtId="0" fontId="78" fillId="10" borderId="10" xfId="21" applyFont="1" applyFill="1" applyBorder="1" applyAlignment="1" applyProtection="1">
      <protection locked="0"/>
    </xf>
    <xf numFmtId="0" fontId="80" fillId="10" borderId="15" xfId="21" applyFont="1" applyFill="1" applyBorder="1" applyAlignment="1" applyProtection="1">
      <protection locked="0"/>
    </xf>
    <xf numFmtId="0" fontId="78" fillId="0" borderId="0" xfId="21" applyFont="1" applyFill="1" applyAlignment="1" applyProtection="1">
      <protection locked="0"/>
    </xf>
    <xf numFmtId="41" fontId="78" fillId="0" borderId="0" xfId="21" applyNumberFormat="1" applyFont="1" applyAlignment="1" applyProtection="1">
      <protection locked="0"/>
    </xf>
    <xf numFmtId="0" fontId="79" fillId="0" borderId="0" xfId="21" applyFont="1" applyAlignment="1" applyProtection="1">
      <protection locked="0"/>
    </xf>
    <xf numFmtId="9" fontId="79" fillId="0" borderId="0" xfId="24" applyFont="1" applyAlignment="1" applyProtection="1">
      <protection locked="0"/>
    </xf>
    <xf numFmtId="9" fontId="78" fillId="0" borderId="0" xfId="24" applyFont="1" applyAlignment="1" applyProtection="1">
      <protection locked="0"/>
    </xf>
    <xf numFmtId="3" fontId="78" fillId="0" borderId="0" xfId="21" applyNumberFormat="1" applyFont="1" applyAlignment="1" applyProtection="1">
      <protection locked="0"/>
    </xf>
    <xf numFmtId="0" fontId="78" fillId="0" borderId="0" xfId="21" applyFont="1" applyAlignment="1" applyProtection="1">
      <protection hidden="1"/>
    </xf>
    <xf numFmtId="0" fontId="78" fillId="0" borderId="0" xfId="21" applyFont="1" applyBorder="1" applyAlignment="1" applyProtection="1">
      <protection hidden="1"/>
    </xf>
    <xf numFmtId="0" fontId="80" fillId="0" borderId="0" xfId="21" applyFont="1" applyBorder="1" applyAlignment="1" applyProtection="1">
      <alignment horizontal="center"/>
      <protection hidden="1"/>
    </xf>
    <xf numFmtId="0" fontId="80" fillId="0" borderId="0" xfId="21" applyFont="1" applyBorder="1" applyAlignment="1" applyProtection="1">
      <protection hidden="1"/>
    </xf>
    <xf numFmtId="0" fontId="79" fillId="0" borderId="0" xfId="21" applyFont="1" applyBorder="1" applyAlignment="1" applyProtection="1">
      <protection hidden="1"/>
    </xf>
    <xf numFmtId="0" fontId="88" fillId="20" borderId="0" xfId="21" applyFont="1" applyFill="1" applyBorder="1" applyAlignment="1" applyProtection="1">
      <alignment horizontal="left"/>
      <protection hidden="1"/>
    </xf>
    <xf numFmtId="0" fontId="80" fillId="20" borderId="0" xfId="21" applyFont="1" applyFill="1" applyBorder="1" applyAlignment="1" applyProtection="1">
      <protection hidden="1"/>
    </xf>
    <xf numFmtId="0" fontId="85" fillId="0" borderId="0" xfId="21" applyFont="1" applyBorder="1" applyAlignment="1" applyProtection="1">
      <alignment horizontal="center"/>
      <protection hidden="1"/>
    </xf>
    <xf numFmtId="0" fontId="85" fillId="0" borderId="0" xfId="21" applyFont="1" applyFill="1" applyBorder="1" applyAlignment="1" applyProtection="1">
      <protection hidden="1"/>
    </xf>
    <xf numFmtId="0" fontId="85" fillId="0" borderId="0" xfId="21" applyFont="1" applyFill="1" applyBorder="1" applyAlignment="1" applyProtection="1">
      <alignment horizontal="center"/>
      <protection hidden="1"/>
    </xf>
    <xf numFmtId="0" fontId="85" fillId="0" borderId="0" xfId="21" applyFont="1" applyFill="1" applyBorder="1" applyAlignment="1" applyProtection="1">
      <alignment horizontal="left"/>
      <protection hidden="1"/>
    </xf>
    <xf numFmtId="0" fontId="80" fillId="0" borderId="0" xfId="21" applyFont="1" applyBorder="1" applyAlignment="1" applyProtection="1">
      <alignment horizontal="right"/>
      <protection hidden="1"/>
    </xf>
    <xf numFmtId="0" fontId="85" fillId="10" borderId="13" xfId="21" applyFont="1" applyFill="1" applyBorder="1" applyAlignment="1" applyProtection="1">
      <alignment horizontal="center"/>
      <protection hidden="1"/>
    </xf>
    <xf numFmtId="0" fontId="85" fillId="10" borderId="15" xfId="21" applyFont="1" applyFill="1" applyBorder="1" applyAlignment="1" applyProtection="1">
      <alignment horizontal="center"/>
      <protection hidden="1"/>
    </xf>
    <xf numFmtId="0" fontId="85" fillId="10" borderId="6" xfId="21" applyFont="1" applyFill="1" applyBorder="1" applyAlignment="1" applyProtection="1">
      <alignment horizontal="center" vertical="top"/>
      <protection hidden="1"/>
    </xf>
    <xf numFmtId="0" fontId="85" fillId="10" borderId="10" xfId="21" applyFont="1" applyFill="1" applyBorder="1" applyAlignment="1" applyProtection="1">
      <alignment horizontal="center" vertical="top"/>
      <protection hidden="1"/>
    </xf>
    <xf numFmtId="0" fontId="85" fillId="0" borderId="14" xfId="21" applyFont="1" applyBorder="1" applyAlignment="1" applyProtection="1">
      <alignment horizontal="center"/>
      <protection hidden="1"/>
    </xf>
    <xf numFmtId="0" fontId="85" fillId="0" borderId="0" xfId="21" applyFont="1" applyBorder="1" applyAlignment="1" applyProtection="1">
      <protection hidden="1"/>
    </xf>
    <xf numFmtId="0" fontId="80" fillId="0" borderId="14" xfId="21" applyFont="1" applyBorder="1" applyAlignment="1" applyProtection="1">
      <protection hidden="1"/>
    </xf>
    <xf numFmtId="0" fontId="84" fillId="0" borderId="13" xfId="21" applyFont="1" applyBorder="1" applyAlignment="1" applyProtection="1">
      <protection hidden="1"/>
    </xf>
    <xf numFmtId="0" fontId="85" fillId="0" borderId="13" xfId="21" applyFont="1" applyBorder="1" applyAlignment="1" applyProtection="1">
      <protection hidden="1"/>
    </xf>
    <xf numFmtId="0" fontId="80" fillId="0" borderId="13" xfId="21" applyFont="1" applyBorder="1" applyAlignment="1" applyProtection="1">
      <protection hidden="1"/>
    </xf>
    <xf numFmtId="0" fontId="80" fillId="0" borderId="96" xfId="21" applyFont="1" applyBorder="1" applyAlignment="1" applyProtection="1">
      <alignment horizontal="center"/>
      <protection hidden="1"/>
    </xf>
    <xf numFmtId="0" fontId="80" fillId="0" borderId="97" xfId="21" applyFont="1" applyBorder="1" applyAlignment="1" applyProtection="1">
      <protection hidden="1"/>
    </xf>
    <xf numFmtId="0" fontId="80" fillId="0" borderId="24" xfId="21" applyFont="1" applyBorder="1" applyAlignment="1" applyProtection="1">
      <protection hidden="1"/>
    </xf>
    <xf numFmtId="0" fontId="80" fillId="0" borderId="96" xfId="21" applyFont="1" applyBorder="1" applyAlignment="1" applyProtection="1">
      <protection hidden="1"/>
    </xf>
    <xf numFmtId="0" fontId="85" fillId="10" borderId="96" xfId="21" applyFont="1" applyFill="1" applyBorder="1" applyAlignment="1" applyProtection="1">
      <alignment horizontal="center"/>
      <protection hidden="1"/>
    </xf>
    <xf numFmtId="0" fontId="85" fillId="10" borderId="24" xfId="21" applyFont="1" applyFill="1" applyBorder="1" applyAlignment="1" applyProtection="1">
      <protection hidden="1"/>
    </xf>
    <xf numFmtId="0" fontId="85" fillId="10" borderId="96" xfId="21" applyFont="1" applyFill="1" applyBorder="1" applyAlignment="1" applyProtection="1">
      <protection hidden="1"/>
    </xf>
    <xf numFmtId="0" fontId="0" fillId="5" borderId="0" xfId="0" applyFill="1" applyProtection="1">
      <protection hidden="1"/>
    </xf>
    <xf numFmtId="0" fontId="80" fillId="5" borderId="24" xfId="21" applyFont="1" applyFill="1" applyBorder="1" applyAlignment="1" applyProtection="1">
      <alignment horizontal="left" vertical="top"/>
      <protection hidden="1"/>
    </xf>
    <xf numFmtId="0" fontId="80" fillId="0" borderId="24" xfId="21" applyFont="1" applyBorder="1" applyAlignment="1" applyProtection="1">
      <alignment horizontal="left" vertical="top"/>
      <protection hidden="1"/>
    </xf>
    <xf numFmtId="0" fontId="78" fillId="0" borderId="0" xfId="21" applyFont="1" applyBorder="1" applyAlignment="1" applyProtection="1">
      <alignment vertical="top"/>
      <protection hidden="1"/>
    </xf>
    <xf numFmtId="0" fontId="85" fillId="10" borderId="96" xfId="21" applyFont="1" applyFill="1" applyBorder="1" applyAlignment="1" applyProtection="1">
      <alignment horizontal="center" vertical="top"/>
      <protection hidden="1"/>
    </xf>
    <xf numFmtId="0" fontId="85" fillId="10" borderId="96" xfId="21" applyFont="1" applyFill="1" applyBorder="1" applyAlignment="1" applyProtection="1">
      <alignment vertical="top" wrapText="1"/>
      <protection hidden="1"/>
    </xf>
    <xf numFmtId="43" fontId="87" fillId="0" borderId="24" xfId="21" applyNumberFormat="1" applyFont="1" applyBorder="1" applyAlignment="1" applyProtection="1">
      <protection hidden="1"/>
    </xf>
    <xf numFmtId="190" fontId="87" fillId="0" borderId="24" xfId="21" applyNumberFormat="1" applyFont="1" applyBorder="1" applyAlignment="1" applyProtection="1">
      <protection hidden="1"/>
    </xf>
    <xf numFmtId="0" fontId="80" fillId="0" borderId="0" xfId="21" applyFont="1" applyAlignment="1" applyProtection="1">
      <protection hidden="1"/>
    </xf>
    <xf numFmtId="0" fontId="80" fillId="0" borderId="96" xfId="21" applyFont="1" applyFill="1" applyBorder="1" applyAlignment="1" applyProtection="1">
      <alignment horizontal="center"/>
      <protection hidden="1"/>
    </xf>
    <xf numFmtId="0" fontId="80" fillId="0" borderId="24" xfId="21" applyFont="1" applyFill="1" applyBorder="1" applyAlignment="1" applyProtection="1">
      <protection hidden="1"/>
    </xf>
    <xf numFmtId="0" fontId="80" fillId="0" borderId="96" xfId="21" applyFont="1" applyFill="1" applyBorder="1" applyAlignment="1" applyProtection="1">
      <protection hidden="1"/>
    </xf>
    <xf numFmtId="0" fontId="80" fillId="0" borderId="0" xfId="21" applyFont="1" applyBorder="1" applyAlignment="1" applyProtection="1">
      <alignment vertical="top"/>
      <protection hidden="1"/>
    </xf>
    <xf numFmtId="0" fontId="80" fillId="0" borderId="24" xfId="21" applyFont="1" applyBorder="1" applyAlignment="1" applyProtection="1">
      <alignment vertical="top"/>
      <protection hidden="1"/>
    </xf>
    <xf numFmtId="0" fontId="78" fillId="0" borderId="0" xfId="21" applyFont="1" applyBorder="1" applyAlignment="1" applyProtection="1">
      <alignment horizontal="left" vertical="top"/>
      <protection hidden="1"/>
    </xf>
    <xf numFmtId="0" fontId="80" fillId="0" borderId="96" xfId="21" applyFont="1" applyBorder="1" applyAlignment="1" applyProtection="1">
      <alignment horizontal="center" vertical="top"/>
      <protection hidden="1"/>
    </xf>
    <xf numFmtId="0" fontId="80" fillId="0" borderId="96" xfId="21" applyFont="1" applyBorder="1" applyAlignment="1" applyProtection="1">
      <alignment vertical="justify" wrapText="1"/>
      <protection hidden="1"/>
    </xf>
    <xf numFmtId="0" fontId="80" fillId="0" borderId="14" xfId="21" applyFont="1" applyBorder="1" applyAlignment="1" applyProtection="1">
      <alignment horizontal="center"/>
      <protection hidden="1"/>
    </xf>
    <xf numFmtId="0" fontId="78" fillId="0" borderId="15" xfId="21" applyFont="1" applyBorder="1" applyAlignment="1" applyProtection="1">
      <alignment vertical="justify" wrapText="1"/>
      <protection hidden="1"/>
    </xf>
    <xf numFmtId="0" fontId="85" fillId="10" borderId="8" xfId="21" applyFont="1" applyFill="1" applyBorder="1" applyAlignment="1" applyProtection="1">
      <alignment horizontal="center"/>
      <protection hidden="1"/>
    </xf>
    <xf numFmtId="0" fontId="85" fillId="10" borderId="9" xfId="21" applyFont="1" applyFill="1" applyBorder="1" applyAlignment="1" applyProtection="1">
      <alignment horizontal="left"/>
      <protection hidden="1"/>
    </xf>
    <xf numFmtId="0" fontId="85" fillId="10" borderId="22" xfId="21" applyFont="1" applyFill="1" applyBorder="1" applyAlignment="1" applyProtection="1">
      <alignment horizontal="left"/>
      <protection hidden="1"/>
    </xf>
    <xf numFmtId="0" fontId="85" fillId="10" borderId="12" xfId="21" applyFont="1" applyFill="1" applyBorder="1" applyAlignment="1" applyProtection="1">
      <alignment horizontal="left"/>
      <protection hidden="1"/>
    </xf>
    <xf numFmtId="0" fontId="78" fillId="0" borderId="0" xfId="21" applyFont="1" applyFill="1" applyBorder="1" applyAlignment="1" applyProtection="1">
      <protection hidden="1"/>
    </xf>
    <xf numFmtId="0" fontId="80" fillId="0" borderId="13" xfId="21" applyFont="1" applyFill="1" applyBorder="1" applyAlignment="1" applyProtection="1">
      <protection hidden="1"/>
    </xf>
    <xf numFmtId="0" fontId="80" fillId="0" borderId="14" xfId="21" applyFont="1" applyFill="1" applyBorder="1" applyAlignment="1" applyProtection="1">
      <protection hidden="1"/>
    </xf>
    <xf numFmtId="0" fontId="85" fillId="0" borderId="24" xfId="21" applyFont="1" applyBorder="1" applyAlignment="1" applyProtection="1">
      <protection hidden="1"/>
    </xf>
    <xf numFmtId="0" fontId="80" fillId="10" borderId="96" xfId="21" applyFont="1" applyFill="1" applyBorder="1" applyAlignment="1" applyProtection="1">
      <protection hidden="1"/>
    </xf>
    <xf numFmtId="0" fontId="80" fillId="0" borderId="99" xfId="21" applyFont="1" applyFill="1" applyBorder="1" applyAlignment="1" applyProtection="1">
      <alignment horizontal="justify" vertical="top"/>
      <protection hidden="1"/>
    </xf>
    <xf numFmtId="0" fontId="127" fillId="0" borderId="0" xfId="21" applyFont="1" applyAlignment="1" applyProtection="1">
      <protection hidden="1"/>
    </xf>
    <xf numFmtId="0" fontId="127" fillId="0" borderId="0" xfId="21" applyFont="1" applyBorder="1" applyAlignment="1" applyProtection="1">
      <protection hidden="1"/>
    </xf>
    <xf numFmtId="0" fontId="127" fillId="0" borderId="0" xfId="21" applyFont="1" applyBorder="1" applyAlignment="1" applyProtection="1">
      <alignment horizontal="center"/>
      <protection hidden="1"/>
    </xf>
    <xf numFmtId="0" fontId="127" fillId="3" borderId="0" xfId="21" applyFont="1" applyFill="1" applyBorder="1" applyAlignment="1" applyProtection="1">
      <protection hidden="1"/>
    </xf>
    <xf numFmtId="0" fontId="78" fillId="5" borderId="0" xfId="21" applyFont="1" applyFill="1" applyAlignment="1" applyProtection="1">
      <protection hidden="1"/>
    </xf>
    <xf numFmtId="0" fontId="78" fillId="5" borderId="0" xfId="21" applyFont="1" applyFill="1" applyBorder="1" applyAlignment="1" applyProtection="1">
      <protection hidden="1"/>
    </xf>
    <xf numFmtId="0" fontId="80" fillId="5" borderId="0" xfId="21" applyFont="1" applyFill="1" applyBorder="1" applyAlignment="1" applyProtection="1">
      <alignment horizontal="center"/>
      <protection hidden="1"/>
    </xf>
    <xf numFmtId="0" fontId="80" fillId="5" borderId="0" xfId="21" applyFont="1" applyFill="1" applyBorder="1" applyAlignment="1" applyProtection="1">
      <protection hidden="1"/>
    </xf>
    <xf numFmtId="0" fontId="80" fillId="0" borderId="0" xfId="21" applyFont="1" applyFill="1" applyBorder="1" applyAlignment="1" applyProtection="1">
      <protection hidden="1"/>
    </xf>
    <xf numFmtId="0" fontId="80" fillId="0" borderId="0" xfId="21" applyFont="1" applyBorder="1" applyAlignment="1" applyProtection="1">
      <alignment horizontal="left"/>
      <protection hidden="1"/>
    </xf>
    <xf numFmtId="0" fontId="85" fillId="10" borderId="6" xfId="21" applyFont="1" applyFill="1" applyBorder="1" applyAlignment="1" applyProtection="1">
      <alignment horizontal="centerContinuous" vertical="top"/>
      <protection hidden="1"/>
    </xf>
    <xf numFmtId="0" fontId="85" fillId="10" borderId="10" xfId="21" applyFont="1" applyFill="1" applyBorder="1" applyAlignment="1" applyProtection="1">
      <alignment horizontal="centerContinuous" vertical="top"/>
      <protection hidden="1"/>
    </xf>
    <xf numFmtId="41" fontId="80" fillId="0" borderId="0" xfId="5" applyFont="1" applyAlignment="1" applyProtection="1">
      <protection hidden="1"/>
    </xf>
    <xf numFmtId="0" fontId="80" fillId="0" borderId="100" xfId="21" applyFont="1" applyBorder="1" applyAlignment="1" applyProtection="1">
      <alignment horizontal="center"/>
      <protection hidden="1"/>
    </xf>
    <xf numFmtId="0" fontId="80" fillId="0" borderId="101" xfId="21" applyFont="1" applyBorder="1" applyAlignment="1" applyProtection="1">
      <alignment vertical="top"/>
      <protection hidden="1"/>
    </xf>
    <xf numFmtId="0" fontId="80" fillId="0" borderId="101" xfId="21" applyFont="1" applyBorder="1" applyAlignment="1" applyProtection="1">
      <alignment horizontal="left" vertical="top"/>
      <protection hidden="1"/>
    </xf>
    <xf numFmtId="0" fontId="85" fillId="0" borderId="14" xfId="21" applyFont="1" applyBorder="1" applyAlignment="1" applyProtection="1">
      <protection hidden="1"/>
    </xf>
    <xf numFmtId="0" fontId="78" fillId="0" borderId="0" xfId="21" applyFont="1" applyAlignment="1" applyProtection="1">
      <alignment vertical="center"/>
      <protection hidden="1"/>
    </xf>
    <xf numFmtId="0" fontId="78" fillId="0" borderId="0" xfId="21" applyFont="1" applyBorder="1" applyAlignment="1" applyProtection="1">
      <alignment vertical="center"/>
      <protection hidden="1"/>
    </xf>
    <xf numFmtId="0" fontId="85" fillId="0" borderId="96" xfId="21" applyFont="1" applyFill="1" applyBorder="1" applyAlignment="1" applyProtection="1">
      <alignment horizontal="center" vertical="center"/>
      <protection hidden="1"/>
    </xf>
    <xf numFmtId="0" fontId="80" fillId="0" borderId="24" xfId="21" applyFont="1" applyFill="1" applyBorder="1" applyAlignment="1" applyProtection="1">
      <alignment vertical="center"/>
      <protection hidden="1"/>
    </xf>
    <xf numFmtId="0" fontId="80" fillId="0" borderId="96" xfId="21" applyFont="1" applyFill="1" applyBorder="1" applyAlignment="1" applyProtection="1">
      <alignment horizontal="justify" vertical="center" wrapText="1"/>
      <protection hidden="1"/>
    </xf>
    <xf numFmtId="0" fontId="80" fillId="0" borderId="24" xfId="21" applyFont="1" applyFill="1" applyBorder="1" applyAlignment="1" applyProtection="1">
      <alignment vertical="top"/>
      <protection hidden="1"/>
    </xf>
    <xf numFmtId="0" fontId="80" fillId="0" borderId="96" xfId="21" applyFont="1" applyFill="1" applyBorder="1" applyAlignment="1" applyProtection="1">
      <alignment vertical="top" wrapText="1"/>
      <protection hidden="1"/>
    </xf>
    <xf numFmtId="0" fontId="80" fillId="0" borderId="14" xfId="21" applyFont="1" applyBorder="1" applyAlignment="1" applyProtection="1">
      <alignment horizontal="center" vertical="center"/>
      <protection hidden="1"/>
    </xf>
    <xf numFmtId="0" fontId="80" fillId="0" borderId="0" xfId="21" applyFont="1" applyBorder="1" applyAlignment="1" applyProtection="1">
      <alignment vertical="center"/>
      <protection hidden="1"/>
    </xf>
    <xf numFmtId="0" fontId="80" fillId="0" borderId="96" xfId="21" applyFont="1" applyFill="1" applyBorder="1" applyAlignment="1" applyProtection="1">
      <alignment vertical="center" wrapText="1"/>
      <protection hidden="1"/>
    </xf>
    <xf numFmtId="180" fontId="80" fillId="0" borderId="0" xfId="8" applyNumberFormat="1" applyFont="1" applyAlignment="1" applyProtection="1">
      <protection hidden="1"/>
    </xf>
    <xf numFmtId="0" fontId="85" fillId="0" borderId="96" xfId="21" applyFont="1" applyBorder="1" applyAlignment="1" applyProtection="1">
      <alignment horizontal="center" vertical="top"/>
      <protection hidden="1"/>
    </xf>
    <xf numFmtId="0" fontId="85" fillId="0" borderId="24" xfId="21" applyFont="1" applyFill="1" applyBorder="1" applyAlignment="1" applyProtection="1">
      <alignment vertical="top"/>
      <protection hidden="1"/>
    </xf>
    <xf numFmtId="0" fontId="80" fillId="0" borderId="96" xfId="21" applyFont="1" applyFill="1" applyBorder="1" applyAlignment="1" applyProtection="1">
      <alignment vertical="top"/>
      <protection hidden="1"/>
    </xf>
    <xf numFmtId="0" fontId="85" fillId="10" borderId="0" xfId="21" applyFont="1" applyFill="1" applyBorder="1" applyAlignment="1" applyProtection="1">
      <protection hidden="1"/>
    </xf>
    <xf numFmtId="0" fontId="85" fillId="0" borderId="24" xfId="21" applyFont="1" applyFill="1" applyBorder="1" applyAlignment="1" applyProtection="1">
      <protection hidden="1"/>
    </xf>
    <xf numFmtId="0" fontId="81" fillId="0" borderId="0" xfId="21" applyFont="1" applyAlignment="1" applyProtection="1">
      <protection hidden="1"/>
    </xf>
    <xf numFmtId="41" fontId="87" fillId="0" borderId="14" xfId="21" applyNumberFormat="1" applyFont="1" applyFill="1" applyBorder="1" applyAlignment="1" applyProtection="1">
      <protection hidden="1"/>
    </xf>
    <xf numFmtId="0" fontId="85" fillId="10" borderId="8" xfId="21" applyFont="1" applyFill="1" applyBorder="1" applyAlignment="1" applyProtection="1">
      <protection hidden="1"/>
    </xf>
    <xf numFmtId="0" fontId="80" fillId="10" borderId="8" xfId="21" applyFont="1" applyFill="1" applyBorder="1" applyAlignment="1" applyProtection="1">
      <protection hidden="1"/>
    </xf>
    <xf numFmtId="0" fontId="81" fillId="0" borderId="0" xfId="21" applyFont="1" applyBorder="1" applyAlignment="1" applyProtection="1">
      <protection hidden="1"/>
    </xf>
    <xf numFmtId="188" fontId="78" fillId="0" borderId="0" xfId="21" applyNumberFormat="1" applyFont="1" applyBorder="1" applyAlignment="1" applyProtection="1">
      <protection hidden="1"/>
    </xf>
    <xf numFmtId="180" fontId="80" fillId="13" borderId="65" xfId="8" applyNumberFormat="1" applyFont="1" applyFill="1" applyBorder="1" applyAlignment="1" applyProtection="1">
      <protection hidden="1"/>
    </xf>
    <xf numFmtId="188" fontId="83" fillId="16" borderId="57" xfId="21" applyNumberFormat="1" applyFont="1" applyFill="1" applyBorder="1" applyAlignment="1" applyProtection="1">
      <alignment horizontal="center"/>
      <protection hidden="1"/>
    </xf>
    <xf numFmtId="0" fontId="78" fillId="13" borderId="0" xfId="21" applyFont="1" applyFill="1" applyBorder="1" applyAlignment="1" applyProtection="1">
      <protection hidden="1"/>
    </xf>
    <xf numFmtId="180" fontId="80" fillId="13" borderId="47" xfId="8" applyNumberFormat="1" applyFont="1" applyFill="1" applyBorder="1" applyAlignment="1" applyProtection="1">
      <protection hidden="1"/>
    </xf>
    <xf numFmtId="0" fontId="78" fillId="0" borderId="58" xfId="21" applyFont="1" applyBorder="1" applyAlignment="1" applyProtection="1">
      <protection hidden="1"/>
    </xf>
    <xf numFmtId="10" fontId="78" fillId="0" borderId="8" xfId="24" applyNumberFormat="1" applyFont="1" applyBorder="1" applyAlignment="1" applyProtection="1">
      <protection hidden="1"/>
    </xf>
    <xf numFmtId="43" fontId="80" fillId="0" borderId="98" xfId="8" applyNumberFormat="1" applyFont="1" applyBorder="1" applyAlignment="1" applyProtection="1">
      <protection hidden="1"/>
    </xf>
    <xf numFmtId="10" fontId="90" fillId="14" borderId="8" xfId="21" applyNumberFormat="1" applyFont="1" applyFill="1" applyBorder="1" applyAlignment="1" applyProtection="1">
      <alignment horizontal="center"/>
      <protection hidden="1"/>
    </xf>
    <xf numFmtId="9" fontId="78" fillId="0" borderId="0" xfId="24" applyFont="1" applyBorder="1" applyAlignment="1" applyProtection="1">
      <protection hidden="1"/>
    </xf>
    <xf numFmtId="180" fontId="80" fillId="0" borderId="98" xfId="8" applyNumberFormat="1" applyFont="1" applyBorder="1" applyAlignment="1" applyProtection="1">
      <protection hidden="1"/>
    </xf>
    <xf numFmtId="180" fontId="78" fillId="0" borderId="64" xfId="21" applyNumberFormat="1" applyFont="1" applyBorder="1" applyAlignment="1" applyProtection="1">
      <protection hidden="1"/>
    </xf>
    <xf numFmtId="180" fontId="80" fillId="0" borderId="69" xfId="8" applyNumberFormat="1" applyFont="1" applyBorder="1" applyAlignment="1" applyProtection="1">
      <protection hidden="1"/>
    </xf>
    <xf numFmtId="10" fontId="78" fillId="0" borderId="0" xfId="24" applyNumberFormat="1" applyFont="1" applyBorder="1" applyAlignment="1" applyProtection="1">
      <protection hidden="1"/>
    </xf>
    <xf numFmtId="9" fontId="80" fillId="0" borderId="0" xfId="24" applyFont="1" applyAlignment="1" applyProtection="1">
      <protection hidden="1"/>
    </xf>
    <xf numFmtId="188" fontId="85" fillId="16" borderId="57" xfId="21" applyNumberFormat="1" applyFont="1" applyFill="1" applyBorder="1" applyAlignment="1" applyProtection="1">
      <alignment horizontal="center"/>
      <protection hidden="1"/>
    </xf>
    <xf numFmtId="0" fontId="80" fillId="13" borderId="0" xfId="21" applyFont="1" applyFill="1" applyBorder="1" applyAlignment="1" applyProtection="1">
      <protection hidden="1"/>
    </xf>
    <xf numFmtId="0" fontId="80" fillId="0" borderId="58" xfId="21" applyFont="1" applyBorder="1" applyAlignment="1" applyProtection="1">
      <protection hidden="1"/>
    </xf>
    <xf numFmtId="10" fontId="80" fillId="0" borderId="8" xfId="24" applyNumberFormat="1" applyFont="1" applyBorder="1" applyAlignment="1" applyProtection="1">
      <protection hidden="1"/>
    </xf>
    <xf numFmtId="10" fontId="90" fillId="14" borderId="66" xfId="21" applyNumberFormat="1" applyFont="1" applyFill="1" applyBorder="1" applyAlignment="1" applyProtection="1">
      <alignment horizontal="center"/>
      <protection hidden="1"/>
    </xf>
    <xf numFmtId="9" fontId="80" fillId="0" borderId="0" xfId="24" applyFont="1" applyBorder="1" applyAlignment="1" applyProtection="1">
      <protection hidden="1"/>
    </xf>
    <xf numFmtId="10" fontId="90" fillId="14" borderId="67" xfId="21" applyNumberFormat="1" applyFont="1" applyFill="1" applyBorder="1" applyAlignment="1" applyProtection="1">
      <alignment horizontal="center"/>
      <protection hidden="1"/>
    </xf>
    <xf numFmtId="180" fontId="80" fillId="0" borderId="64" xfId="21" applyNumberFormat="1" applyFont="1" applyBorder="1" applyAlignment="1" applyProtection="1">
      <protection hidden="1"/>
    </xf>
    <xf numFmtId="180" fontId="81" fillId="5" borderId="0" xfId="8" applyNumberFormat="1" applyFont="1" applyFill="1" applyBorder="1" applyAlignment="1" applyProtection="1">
      <protection hidden="1"/>
    </xf>
    <xf numFmtId="0" fontId="78" fillId="0" borderId="82" xfId="21" applyFont="1" applyBorder="1" applyAlignment="1" applyProtection="1">
      <protection locked="0"/>
    </xf>
    <xf numFmtId="0" fontId="78" fillId="0" borderId="83" xfId="21" applyFont="1" applyBorder="1" applyAlignment="1" applyProtection="1">
      <protection locked="0"/>
    </xf>
    <xf numFmtId="0" fontId="78" fillId="0" borderId="84" xfId="21" applyFont="1" applyBorder="1" applyAlignment="1" applyProtection="1">
      <protection locked="0"/>
    </xf>
    <xf numFmtId="0" fontId="78" fillId="0" borderId="85" xfId="21" applyFont="1" applyBorder="1" applyAlignment="1" applyProtection="1">
      <protection locked="0"/>
    </xf>
    <xf numFmtId="0" fontId="78" fillId="0" borderId="85" xfId="21" applyFont="1" applyBorder="1" applyAlignment="1" applyProtection="1">
      <alignment vertical="center"/>
      <protection locked="0"/>
    </xf>
    <xf numFmtId="180" fontId="80" fillId="0" borderId="0" xfId="8" applyNumberFormat="1" applyFont="1" applyAlignment="1" applyProtection="1">
      <alignment vertical="center"/>
      <protection locked="0"/>
    </xf>
    <xf numFmtId="0" fontId="78" fillId="0" borderId="0" xfId="21" applyFont="1" applyBorder="1" applyAlignment="1" applyProtection="1">
      <alignment horizontal="left"/>
      <protection locked="0"/>
    </xf>
    <xf numFmtId="0" fontId="78" fillId="20" borderId="0" xfId="21" applyFont="1" applyFill="1" applyBorder="1" applyAlignment="1" applyProtection="1">
      <protection locked="0"/>
    </xf>
    <xf numFmtId="43" fontId="78" fillId="0" borderId="85" xfId="21" applyNumberFormat="1" applyFont="1" applyBorder="1" applyAlignment="1" applyProtection="1">
      <protection locked="0"/>
    </xf>
    <xf numFmtId="10" fontId="78" fillId="0" borderId="85" xfId="21" applyNumberFormat="1" applyFont="1" applyBorder="1" applyAlignment="1" applyProtection="1">
      <protection locked="0"/>
    </xf>
    <xf numFmtId="41" fontId="80" fillId="0" borderId="0" xfId="5" quotePrefix="1" applyFont="1" applyAlignment="1" applyProtection="1">
      <protection locked="0"/>
    </xf>
    <xf numFmtId="0" fontId="78" fillId="0" borderId="94" xfId="21" applyFont="1" applyBorder="1" applyAlignment="1" applyProtection="1">
      <protection locked="0"/>
    </xf>
    <xf numFmtId="0" fontId="78" fillId="0" borderId="95" xfId="21" applyFont="1" applyBorder="1" applyAlignment="1" applyProtection="1">
      <protection locked="0"/>
    </xf>
    <xf numFmtId="43" fontId="79" fillId="0" borderId="0" xfId="21" applyNumberFormat="1" applyFont="1" applyBorder="1" applyAlignment="1" applyProtection="1">
      <protection locked="0"/>
    </xf>
    <xf numFmtId="0" fontId="85" fillId="10" borderId="22" xfId="21" applyFont="1" applyFill="1" applyBorder="1" applyAlignment="1" applyProtection="1">
      <alignment horizontal="center"/>
      <protection locked="0"/>
    </xf>
    <xf numFmtId="0" fontId="85" fillId="10" borderId="12" xfId="21" applyFont="1" applyFill="1" applyBorder="1" applyAlignment="1" applyProtection="1">
      <alignment horizontal="center"/>
      <protection locked="0"/>
    </xf>
    <xf numFmtId="0" fontId="86" fillId="0" borderId="0" xfId="21" applyFont="1" applyFill="1" applyBorder="1" applyAlignment="1" applyProtection="1">
      <alignment horizontal="center"/>
      <protection locked="0"/>
    </xf>
    <xf numFmtId="0" fontId="84" fillId="0" borderId="0" xfId="21" applyFont="1" applyFill="1" applyBorder="1" applyAlignment="1" applyProtection="1">
      <alignment horizontal="center"/>
      <protection locked="0"/>
    </xf>
    <xf numFmtId="189" fontId="80" fillId="0" borderId="0" xfId="21" applyNumberFormat="1" applyFont="1" applyBorder="1" applyAlignment="1" applyProtection="1">
      <protection locked="0"/>
    </xf>
    <xf numFmtId="170" fontId="80" fillId="0" borderId="0" xfId="5" applyNumberFormat="1" applyFont="1" applyBorder="1" applyAlignment="1" applyProtection="1">
      <protection locked="0"/>
    </xf>
    <xf numFmtId="0" fontId="80" fillId="0" borderId="0" xfId="21" applyFont="1" applyFill="1" applyBorder="1" applyAlignment="1" applyProtection="1">
      <alignment horizontal="right"/>
      <protection locked="0"/>
    </xf>
    <xf numFmtId="0" fontId="79" fillId="0" borderId="0" xfId="21" applyFont="1" applyFill="1" applyBorder="1" applyAlignment="1" applyProtection="1">
      <alignment horizontal="right"/>
      <protection locked="0"/>
    </xf>
    <xf numFmtId="0" fontId="87" fillId="0" borderId="0" xfId="21" applyFont="1" applyBorder="1" applyAlignment="1" applyProtection="1">
      <protection locked="0"/>
    </xf>
    <xf numFmtId="170" fontId="80" fillId="0" borderId="0" xfId="21" applyNumberFormat="1" applyFont="1" applyBorder="1" applyAlignment="1" applyProtection="1">
      <protection locked="0"/>
    </xf>
    <xf numFmtId="10" fontId="80" fillId="10" borderId="8" xfId="24" applyNumberFormat="1" applyFont="1" applyFill="1" applyBorder="1" applyAlignment="1" applyProtection="1">
      <protection locked="0"/>
    </xf>
    <xf numFmtId="0" fontId="79" fillId="0" borderId="0" xfId="21" applyFont="1" applyAlignment="1" applyProtection="1">
      <protection hidden="1"/>
    </xf>
    <xf numFmtId="0" fontId="78" fillId="0" borderId="81" xfId="21" applyFont="1" applyBorder="1" applyAlignment="1" applyProtection="1">
      <protection hidden="1"/>
    </xf>
    <xf numFmtId="0" fontId="78" fillId="0" borderId="82" xfId="21" applyFont="1" applyBorder="1" applyAlignment="1" applyProtection="1">
      <protection hidden="1"/>
    </xf>
    <xf numFmtId="0" fontId="79" fillId="0" borderId="82" xfId="21" applyFont="1" applyBorder="1" applyAlignment="1" applyProtection="1">
      <protection hidden="1"/>
    </xf>
    <xf numFmtId="0" fontId="78" fillId="0" borderId="83" xfId="21" applyFont="1" applyBorder="1" applyAlignment="1" applyProtection="1">
      <protection hidden="1"/>
    </xf>
    <xf numFmtId="0" fontId="78" fillId="0" borderId="84" xfId="21" applyFont="1" applyBorder="1" applyAlignment="1" applyProtection="1">
      <protection hidden="1"/>
    </xf>
    <xf numFmtId="0" fontId="82" fillId="0" borderId="0" xfId="21" applyFont="1" applyBorder="1" applyAlignment="1" applyProtection="1">
      <protection hidden="1"/>
    </xf>
    <xf numFmtId="0" fontId="78" fillId="0" borderId="85" xfId="21" applyFont="1" applyBorder="1" applyAlignment="1" applyProtection="1">
      <protection hidden="1"/>
    </xf>
    <xf numFmtId="0" fontId="78" fillId="0" borderId="84" xfId="21" applyFont="1" applyBorder="1" applyAlignment="1" applyProtection="1">
      <alignment vertical="center"/>
      <protection hidden="1"/>
    </xf>
    <xf numFmtId="0" fontId="78" fillId="0" borderId="85" xfId="21" applyFont="1" applyBorder="1" applyAlignment="1" applyProtection="1">
      <alignment vertical="center"/>
      <protection hidden="1"/>
    </xf>
    <xf numFmtId="0" fontId="78" fillId="0" borderId="86" xfId="21" applyFont="1" applyBorder="1" applyAlignment="1" applyProtection="1">
      <alignment horizontal="left"/>
      <protection hidden="1"/>
    </xf>
    <xf numFmtId="0" fontId="78" fillId="0" borderId="87" xfId="21" applyFont="1" applyBorder="1" applyAlignment="1" applyProtection="1">
      <alignment horizontal="left"/>
      <protection hidden="1"/>
    </xf>
    <xf numFmtId="0" fontId="78" fillId="0" borderId="88" xfId="21" applyFont="1" applyBorder="1" applyAlignment="1" applyProtection="1">
      <alignment horizontal="left"/>
      <protection hidden="1"/>
    </xf>
    <xf numFmtId="0" fontId="78" fillId="0" borderId="89" xfId="21" applyFont="1" applyBorder="1" applyAlignment="1" applyProtection="1">
      <alignment horizontal="left"/>
      <protection hidden="1"/>
    </xf>
    <xf numFmtId="188" fontId="83" fillId="0" borderId="13" xfId="21" applyNumberFormat="1" applyFont="1" applyFill="1" applyBorder="1" applyAlignment="1" applyProtection="1">
      <alignment horizontal="center"/>
      <protection hidden="1"/>
    </xf>
    <xf numFmtId="188" fontId="83" fillId="0" borderId="90" xfId="21" applyNumberFormat="1" applyFont="1" applyBorder="1" applyAlignment="1" applyProtection="1">
      <alignment horizontal="center"/>
      <protection hidden="1"/>
    </xf>
    <xf numFmtId="188" fontId="83" fillId="0" borderId="91" xfId="21" applyNumberFormat="1" applyFont="1" applyBorder="1" applyAlignment="1" applyProtection="1">
      <alignment horizontal="center"/>
      <protection hidden="1"/>
    </xf>
    <xf numFmtId="188" fontId="85" fillId="0" borderId="91" xfId="21" applyNumberFormat="1" applyFont="1" applyBorder="1" applyAlignment="1" applyProtection="1">
      <alignment horizontal="center"/>
      <protection hidden="1"/>
    </xf>
    <xf numFmtId="188" fontId="83" fillId="0" borderId="92" xfId="21" applyNumberFormat="1" applyFont="1" applyBorder="1" applyAlignment="1" applyProtection="1">
      <alignment horizontal="center"/>
      <protection hidden="1"/>
    </xf>
    <xf numFmtId="0" fontId="78" fillId="20" borderId="0" xfId="21" applyFont="1" applyFill="1" applyBorder="1" applyAlignment="1" applyProtection="1">
      <protection hidden="1"/>
    </xf>
    <xf numFmtId="0" fontId="83" fillId="0" borderId="93" xfId="21" applyFont="1" applyFill="1" applyBorder="1" applyAlignment="1" applyProtection="1">
      <protection hidden="1"/>
    </xf>
    <xf numFmtId="0" fontId="78" fillId="0" borderId="94" xfId="21" applyFont="1" applyFill="1" applyBorder="1" applyAlignment="1" applyProtection="1">
      <protection hidden="1"/>
    </xf>
    <xf numFmtId="0" fontId="78" fillId="0" borderId="94" xfId="21" applyFont="1" applyBorder="1" applyAlignment="1" applyProtection="1">
      <protection hidden="1"/>
    </xf>
    <xf numFmtId="0" fontId="79" fillId="0" borderId="94" xfId="21" applyFont="1" applyBorder="1" applyAlignment="1" applyProtection="1">
      <protection hidden="1"/>
    </xf>
    <xf numFmtId="0" fontId="78" fillId="0" borderId="95" xfId="21" applyFont="1" applyBorder="1" applyAlignment="1" applyProtection="1">
      <protection hidden="1"/>
    </xf>
    <xf numFmtId="10" fontId="80" fillId="3" borderId="96" xfId="24" applyNumberFormat="1" applyFont="1" applyFill="1" applyBorder="1" applyProtection="1">
      <protection hidden="1"/>
    </xf>
    <xf numFmtId="10" fontId="85" fillId="10" borderId="96" xfId="24" applyNumberFormat="1" applyFont="1" applyFill="1" applyBorder="1" applyProtection="1">
      <protection hidden="1"/>
    </xf>
    <xf numFmtId="10" fontId="80" fillId="3" borderId="96" xfId="24" applyNumberFormat="1" applyFont="1" applyFill="1" applyBorder="1" applyAlignment="1" applyProtection="1">
      <alignment vertical="center"/>
      <protection hidden="1"/>
    </xf>
    <xf numFmtId="10" fontId="85" fillId="10" borderId="12" xfId="21" applyNumberFormat="1" applyFont="1" applyFill="1" applyBorder="1" applyAlignment="1" applyProtection="1">
      <alignment horizontal="left"/>
      <protection hidden="1"/>
    </xf>
    <xf numFmtId="41" fontId="85" fillId="10" borderId="8" xfId="5" applyFont="1" applyFill="1" applyBorder="1" applyProtection="1">
      <protection hidden="1"/>
    </xf>
    <xf numFmtId="41" fontId="85" fillId="10" borderId="96" xfId="5" applyFont="1" applyFill="1" applyBorder="1" applyProtection="1">
      <protection hidden="1"/>
    </xf>
    <xf numFmtId="41" fontId="85" fillId="10" borderId="99" xfId="5" applyFont="1" applyFill="1" applyBorder="1" applyAlignment="1" applyProtection="1">
      <alignment vertical="top"/>
      <protection hidden="1"/>
    </xf>
    <xf numFmtId="41" fontId="79" fillId="0" borderId="0" xfId="5" applyFont="1" applyBorder="1" applyProtection="1">
      <protection hidden="1"/>
    </xf>
    <xf numFmtId="41" fontId="80" fillId="0" borderId="0" xfId="5" applyFont="1" applyBorder="1" applyProtection="1">
      <protection hidden="1"/>
    </xf>
    <xf numFmtId="41" fontId="127" fillId="3" borderId="0" xfId="5" applyFont="1" applyFill="1" applyBorder="1" applyProtection="1">
      <protection hidden="1"/>
    </xf>
    <xf numFmtId="41" fontId="127" fillId="0" borderId="0" xfId="5" applyFont="1" applyBorder="1" applyProtection="1">
      <protection hidden="1"/>
    </xf>
    <xf numFmtId="10" fontId="79" fillId="5" borderId="0" xfId="24" applyNumberFormat="1" applyFont="1" applyFill="1" applyBorder="1" applyProtection="1">
      <protection hidden="1"/>
    </xf>
    <xf numFmtId="41" fontId="80" fillId="5" borderId="0" xfId="5" applyFont="1" applyFill="1" applyBorder="1" applyProtection="1">
      <protection hidden="1"/>
    </xf>
    <xf numFmtId="10" fontId="80" fillId="5" borderId="0" xfId="24" applyNumberFormat="1" applyFont="1" applyFill="1" applyBorder="1" applyProtection="1">
      <protection hidden="1"/>
    </xf>
    <xf numFmtId="10" fontId="80" fillId="5" borderId="0" xfId="5" applyNumberFormat="1" applyFont="1" applyFill="1" applyBorder="1" applyProtection="1">
      <protection hidden="1"/>
    </xf>
    <xf numFmtId="0" fontId="85" fillId="10" borderId="7" xfId="21" applyFont="1" applyFill="1" applyBorder="1" applyAlignment="1" applyProtection="1">
      <alignment horizontal="center" vertical="center" wrapText="1"/>
      <protection hidden="1"/>
    </xf>
    <xf numFmtId="41" fontId="79" fillId="20" borderId="96" xfId="5" applyFont="1" applyFill="1" applyBorder="1" applyProtection="1">
      <protection hidden="1"/>
    </xf>
    <xf numFmtId="41" fontId="80" fillId="20" borderId="96" xfId="5" applyFont="1" applyFill="1" applyBorder="1" applyProtection="1">
      <protection hidden="1"/>
    </xf>
    <xf numFmtId="41" fontId="79" fillId="20" borderId="96" xfId="5" applyFont="1" applyFill="1" applyBorder="1" applyAlignment="1" applyProtection="1">
      <alignment vertical="top"/>
      <protection hidden="1"/>
    </xf>
    <xf numFmtId="41" fontId="80" fillId="20" borderId="96" xfId="5" applyFont="1" applyFill="1" applyBorder="1" applyAlignment="1" applyProtection="1">
      <alignment vertical="top"/>
      <protection hidden="1"/>
    </xf>
    <xf numFmtId="41" fontId="79" fillId="20" borderId="100" xfId="5" applyFont="1" applyFill="1" applyBorder="1" applyAlignment="1" applyProtection="1">
      <alignment vertical="top"/>
      <protection hidden="1"/>
    </xf>
    <xf numFmtId="41" fontId="80" fillId="20" borderId="100" xfId="5" applyFont="1" applyFill="1" applyBorder="1" applyAlignment="1" applyProtection="1">
      <alignment vertical="top"/>
      <protection hidden="1"/>
    </xf>
    <xf numFmtId="41" fontId="80" fillId="20" borderId="100" xfId="5" applyFont="1" applyFill="1" applyBorder="1" applyProtection="1">
      <protection hidden="1"/>
    </xf>
    <xf numFmtId="41" fontId="79" fillId="0" borderId="0" xfId="21" applyNumberFormat="1" applyFont="1" applyBorder="1" applyAlignment="1" applyProtection="1">
      <protection hidden="1"/>
    </xf>
    <xf numFmtId="41" fontId="80" fillId="0" borderId="0" xfId="21" applyNumberFormat="1" applyFont="1" applyBorder="1" applyAlignment="1" applyProtection="1">
      <protection hidden="1"/>
    </xf>
    <xf numFmtId="0" fontId="85" fillId="10" borderId="7" xfId="21" applyFont="1" applyFill="1" applyBorder="1" applyAlignment="1" applyProtection="1">
      <alignment horizontal="center" vertical="top" wrapText="1"/>
      <protection hidden="1"/>
    </xf>
    <xf numFmtId="188" fontId="84" fillId="10" borderId="22" xfId="21" applyNumberFormat="1" applyFont="1" applyFill="1" applyBorder="1" applyAlignment="1" applyProtection="1">
      <protection hidden="1"/>
    </xf>
    <xf numFmtId="188" fontId="85" fillId="10" borderId="22" xfId="21" applyNumberFormat="1" applyFont="1" applyFill="1" applyBorder="1" applyAlignment="1" applyProtection="1">
      <protection hidden="1"/>
    </xf>
    <xf numFmtId="188" fontId="85" fillId="10" borderId="12" xfId="21" applyNumberFormat="1" applyFont="1" applyFill="1" applyBorder="1" applyAlignment="1" applyProtection="1">
      <protection hidden="1"/>
    </xf>
    <xf numFmtId="0" fontId="79" fillId="0" borderId="14" xfId="21" applyFont="1" applyBorder="1" applyAlignment="1" applyProtection="1">
      <protection hidden="1"/>
    </xf>
    <xf numFmtId="0" fontId="84" fillId="0" borderId="14" xfId="21" applyFont="1" applyBorder="1" applyAlignment="1" applyProtection="1">
      <protection hidden="1"/>
    </xf>
    <xf numFmtId="10" fontId="85" fillId="10" borderId="96" xfId="24" applyNumberFormat="1" applyFont="1" applyFill="1" applyBorder="1" applyAlignment="1" applyProtection="1">
      <alignment vertical="top"/>
      <protection hidden="1"/>
    </xf>
    <xf numFmtId="10" fontId="80" fillId="3" borderId="96" xfId="24" applyNumberFormat="1" applyFont="1" applyFill="1" applyBorder="1" applyAlignment="1" applyProtection="1">
      <alignment vertical="top"/>
      <protection hidden="1"/>
    </xf>
    <xf numFmtId="172" fontId="85" fillId="10" borderId="96" xfId="24" applyNumberFormat="1" applyFont="1" applyFill="1" applyBorder="1" applyProtection="1">
      <protection hidden="1"/>
    </xf>
    <xf numFmtId="172" fontId="80" fillId="3" borderId="96" xfId="24" applyNumberFormat="1" applyFont="1" applyFill="1" applyBorder="1" applyProtection="1">
      <protection hidden="1"/>
    </xf>
    <xf numFmtId="9" fontId="85" fillId="10" borderId="96" xfId="24" applyFont="1" applyFill="1" applyBorder="1" applyAlignment="1" applyProtection="1">
      <protection hidden="1"/>
    </xf>
    <xf numFmtId="41" fontId="80" fillId="0" borderId="14" xfId="5" applyFont="1" applyBorder="1" applyProtection="1">
      <protection hidden="1"/>
    </xf>
    <xf numFmtId="41" fontId="80" fillId="0" borderId="96" xfId="5" applyFont="1" applyFill="1" applyBorder="1" applyProtection="1">
      <protection hidden="1"/>
    </xf>
    <xf numFmtId="41" fontId="80" fillId="0" borderId="96" xfId="5" applyFont="1" applyBorder="1" applyProtection="1">
      <protection hidden="1"/>
    </xf>
    <xf numFmtId="41" fontId="80" fillId="5" borderId="14" xfId="5" applyFont="1" applyFill="1" applyBorder="1" applyProtection="1">
      <protection hidden="1"/>
    </xf>
    <xf numFmtId="41" fontId="80" fillId="0" borderId="14" xfId="5" applyFont="1" applyFill="1" applyBorder="1" applyProtection="1">
      <protection hidden="1"/>
    </xf>
    <xf numFmtId="41" fontId="127" fillId="3" borderId="0" xfId="21" applyNumberFormat="1" applyFont="1" applyFill="1" applyBorder="1" applyAlignment="1" applyProtection="1">
      <protection hidden="1"/>
    </xf>
    <xf numFmtId="0" fontId="78" fillId="0" borderId="13" xfId="21" applyFont="1" applyBorder="1" applyAlignment="1" applyProtection="1">
      <protection hidden="1"/>
    </xf>
    <xf numFmtId="0" fontId="78" fillId="0" borderId="7" xfId="21" applyFont="1" applyBorder="1" applyAlignment="1" applyProtection="1">
      <protection hidden="1"/>
    </xf>
    <xf numFmtId="0" fontId="78" fillId="3" borderId="3" xfId="21" applyFont="1" applyFill="1" applyBorder="1" applyAlignment="1" applyProtection="1">
      <protection hidden="1"/>
    </xf>
    <xf numFmtId="0" fontId="79" fillId="20" borderId="13" xfId="21" applyFont="1" applyFill="1" applyBorder="1" applyAlignment="1" applyProtection="1">
      <protection hidden="1"/>
    </xf>
    <xf numFmtId="0" fontId="78" fillId="3" borderId="7" xfId="21" applyFont="1" applyFill="1" applyBorder="1" applyAlignment="1" applyProtection="1">
      <protection hidden="1"/>
    </xf>
    <xf numFmtId="0" fontId="78" fillId="20" borderId="13" xfId="21" applyFont="1" applyFill="1" applyBorder="1" applyAlignment="1" applyProtection="1">
      <protection hidden="1"/>
    </xf>
    <xf numFmtId="0" fontId="78" fillId="0" borderId="14" xfId="21" applyFont="1" applyBorder="1" applyAlignment="1" applyProtection="1">
      <protection hidden="1"/>
    </xf>
    <xf numFmtId="180" fontId="78" fillId="0" borderId="0" xfId="8" applyNumberFormat="1" applyFont="1" applyBorder="1" applyProtection="1">
      <protection hidden="1"/>
    </xf>
    <xf numFmtId="0" fontId="78" fillId="3" borderId="4" xfId="21" applyFont="1" applyFill="1" applyBorder="1" applyAlignment="1" applyProtection="1">
      <protection hidden="1"/>
    </xf>
    <xf numFmtId="0" fontId="79" fillId="20" borderId="14" xfId="21" applyFont="1" applyFill="1" applyBorder="1" applyAlignment="1" applyProtection="1">
      <protection hidden="1"/>
    </xf>
    <xf numFmtId="0" fontId="78" fillId="3" borderId="0" xfId="21" applyFont="1" applyFill="1" applyBorder="1" applyAlignment="1" applyProtection="1">
      <protection hidden="1"/>
    </xf>
    <xf numFmtId="0" fontId="78" fillId="20" borderId="14" xfId="21" applyFont="1" applyFill="1" applyBorder="1" applyAlignment="1" applyProtection="1">
      <protection hidden="1"/>
    </xf>
    <xf numFmtId="0" fontId="78" fillId="0" borderId="14" xfId="21" applyFont="1" applyBorder="1" applyAlignment="1" applyProtection="1">
      <alignment horizontal="right"/>
      <protection hidden="1"/>
    </xf>
    <xf numFmtId="180" fontId="79" fillId="20" borderId="14" xfId="8" applyNumberFormat="1" applyFont="1" applyFill="1" applyBorder="1" applyProtection="1">
      <protection hidden="1"/>
    </xf>
    <xf numFmtId="0" fontId="78" fillId="0" borderId="15" xfId="21" applyFont="1" applyBorder="1" applyAlignment="1" applyProtection="1">
      <protection hidden="1"/>
    </xf>
    <xf numFmtId="0" fontId="78" fillId="0" borderId="10" xfId="21" applyFont="1" applyBorder="1" applyAlignment="1" applyProtection="1">
      <protection hidden="1"/>
    </xf>
    <xf numFmtId="0" fontId="78" fillId="3" borderId="6" xfId="21" applyFont="1" applyFill="1" applyBorder="1" applyAlignment="1" applyProtection="1">
      <protection hidden="1"/>
    </xf>
    <xf numFmtId="180" fontId="79" fillId="20" borderId="15" xfId="8" applyNumberFormat="1" applyFont="1" applyFill="1" applyBorder="1" applyProtection="1">
      <protection hidden="1"/>
    </xf>
    <xf numFmtId="0" fontId="78" fillId="3" borderId="10" xfId="21" applyFont="1" applyFill="1" applyBorder="1" applyAlignment="1" applyProtection="1">
      <protection hidden="1"/>
    </xf>
    <xf numFmtId="0" fontId="78" fillId="20" borderId="15" xfId="21" applyFont="1" applyFill="1" applyBorder="1" applyAlignment="1" applyProtection="1">
      <protection hidden="1"/>
    </xf>
    <xf numFmtId="0" fontId="78" fillId="0" borderId="3" xfId="21" applyFont="1" applyBorder="1" applyAlignment="1" applyProtection="1">
      <protection hidden="1"/>
    </xf>
    <xf numFmtId="0" fontId="78" fillId="0" borderId="16" xfId="21" applyFont="1" applyBorder="1" applyAlignment="1" applyProtection="1">
      <protection hidden="1"/>
    </xf>
    <xf numFmtId="0" fontId="78" fillId="0" borderId="13" xfId="21" applyFont="1" applyBorder="1" applyAlignment="1" applyProtection="1">
      <alignment horizontal="center"/>
      <protection hidden="1"/>
    </xf>
    <xf numFmtId="0" fontId="78" fillId="3" borderId="13" xfId="21" applyFont="1" applyFill="1" applyBorder="1" applyAlignment="1" applyProtection="1">
      <protection hidden="1"/>
    </xf>
    <xf numFmtId="0" fontId="78" fillId="3" borderId="0" xfId="21" applyFont="1" applyFill="1" applyAlignment="1" applyProtection="1">
      <protection hidden="1"/>
    </xf>
    <xf numFmtId="0" fontId="78" fillId="0" borderId="5" xfId="21" applyFont="1" applyBorder="1" applyAlignment="1" applyProtection="1">
      <protection hidden="1"/>
    </xf>
    <xf numFmtId="0" fontId="78" fillId="0" borderId="14" xfId="21" applyFont="1" applyBorder="1" applyAlignment="1" applyProtection="1">
      <alignment horizontal="center"/>
      <protection hidden="1"/>
    </xf>
    <xf numFmtId="10" fontId="78" fillId="3" borderId="14" xfId="24" applyNumberFormat="1" applyFont="1" applyFill="1" applyBorder="1" applyProtection="1">
      <protection hidden="1"/>
    </xf>
    <xf numFmtId="0" fontId="78" fillId="3" borderId="14" xfId="21" applyFont="1" applyFill="1" applyBorder="1" applyAlignment="1" applyProtection="1">
      <protection hidden="1"/>
    </xf>
    <xf numFmtId="180" fontId="78" fillId="20" borderId="14" xfId="8" applyNumberFormat="1" applyFont="1" applyFill="1" applyBorder="1" applyProtection="1">
      <protection hidden="1"/>
    </xf>
    <xf numFmtId="0" fontId="80" fillId="0" borderId="4" xfId="21" quotePrefix="1" applyFont="1" applyBorder="1" applyAlignment="1" applyProtection="1">
      <protection hidden="1"/>
    </xf>
    <xf numFmtId="180" fontId="92" fillId="0" borderId="8" xfId="8" applyNumberFormat="1" applyFont="1" applyBorder="1" applyProtection="1">
      <protection hidden="1"/>
    </xf>
    <xf numFmtId="180" fontId="139" fillId="0" borderId="8" xfId="8" applyNumberFormat="1" applyFont="1" applyBorder="1" applyProtection="1">
      <protection hidden="1"/>
    </xf>
    <xf numFmtId="180" fontId="93" fillId="20" borderId="14" xfId="8" applyNumberFormat="1" applyFont="1" applyFill="1" applyBorder="1" applyProtection="1">
      <protection hidden="1"/>
    </xf>
    <xf numFmtId="180" fontId="20" fillId="20" borderId="14" xfId="8" applyNumberFormat="1" applyFont="1" applyFill="1" applyBorder="1" applyProtection="1">
      <protection hidden="1"/>
    </xf>
    <xf numFmtId="0" fontId="80" fillId="0" borderId="4" xfId="21" quotePrefix="1" applyFont="1" applyFill="1" applyBorder="1" applyAlignment="1" applyProtection="1">
      <protection hidden="1"/>
    </xf>
    <xf numFmtId="0" fontId="78" fillId="10" borderId="15" xfId="21" applyFont="1" applyFill="1" applyBorder="1" applyAlignment="1" applyProtection="1">
      <protection hidden="1"/>
    </xf>
    <xf numFmtId="0" fontId="78" fillId="10" borderId="6" xfId="21" quotePrefix="1" applyFont="1" applyFill="1" applyBorder="1" applyAlignment="1" applyProtection="1">
      <protection hidden="1"/>
    </xf>
    <xf numFmtId="0" fontId="78" fillId="10" borderId="10" xfId="21" applyFont="1" applyFill="1" applyBorder="1" applyAlignment="1" applyProtection="1">
      <protection hidden="1"/>
    </xf>
    <xf numFmtId="0" fontId="78" fillId="10" borderId="11" xfId="21" applyFont="1" applyFill="1" applyBorder="1" applyAlignment="1" applyProtection="1">
      <protection hidden="1"/>
    </xf>
    <xf numFmtId="0" fontId="78" fillId="10" borderId="15" xfId="21" applyFont="1" applyFill="1" applyBorder="1" applyAlignment="1" applyProtection="1">
      <alignment horizontal="center"/>
      <protection hidden="1"/>
    </xf>
    <xf numFmtId="180" fontId="79" fillId="10" borderId="15" xfId="8" applyNumberFormat="1" applyFont="1" applyFill="1" applyBorder="1" applyProtection="1">
      <protection hidden="1"/>
    </xf>
    <xf numFmtId="180" fontId="80" fillId="10" borderId="15" xfId="8" applyNumberFormat="1" applyFont="1" applyFill="1" applyBorder="1" applyProtection="1">
      <protection hidden="1"/>
    </xf>
    <xf numFmtId="41" fontId="79" fillId="0" borderId="0" xfId="21" applyNumberFormat="1" applyFont="1" applyAlignment="1" applyProtection="1">
      <protection hidden="1"/>
    </xf>
    <xf numFmtId="41" fontId="78" fillId="0" borderId="0" xfId="21" applyNumberFormat="1" applyFont="1" applyAlignment="1" applyProtection="1">
      <protection hidden="1"/>
    </xf>
    <xf numFmtId="41" fontId="128" fillId="0" borderId="0" xfId="21" applyNumberFormat="1" applyFont="1" applyAlignment="1" applyProtection="1">
      <protection hidden="1"/>
    </xf>
    <xf numFmtId="41" fontId="78" fillId="0" borderId="0" xfId="5" applyFont="1" applyAlignment="1" applyProtection="1">
      <protection hidden="1"/>
    </xf>
    <xf numFmtId="9" fontId="128" fillId="0" borderId="0" xfId="24" applyFont="1" applyAlignment="1" applyProtection="1">
      <protection hidden="1"/>
    </xf>
    <xf numFmtId="41" fontId="84" fillId="10" borderId="8" xfId="5" applyFont="1" applyFill="1" applyBorder="1" applyProtection="1">
      <protection hidden="1"/>
    </xf>
    <xf numFmtId="41" fontId="84" fillId="10" borderId="96" xfId="5" applyFont="1" applyFill="1" applyBorder="1" applyProtection="1">
      <protection hidden="1"/>
    </xf>
    <xf numFmtId="41" fontId="84" fillId="4" borderId="96" xfId="5" applyFont="1" applyFill="1" applyBorder="1" applyProtection="1">
      <protection hidden="1"/>
    </xf>
    <xf numFmtId="0" fontId="3" fillId="0" borderId="81" xfId="21" applyFont="1" applyBorder="1" applyAlignment="1" applyProtection="1">
      <protection hidden="1"/>
    </xf>
    <xf numFmtId="0" fontId="3" fillId="0" borderId="82" xfId="21" applyFont="1" applyBorder="1" applyAlignment="1" applyProtection="1">
      <protection hidden="1"/>
    </xf>
    <xf numFmtId="0" fontId="94" fillId="0" borderId="82" xfId="21" applyFont="1" applyBorder="1" applyAlignment="1" applyProtection="1">
      <protection hidden="1"/>
    </xf>
    <xf numFmtId="0" fontId="3" fillId="0" borderId="83" xfId="21" applyFont="1" applyBorder="1" applyAlignment="1" applyProtection="1">
      <protection hidden="1"/>
    </xf>
    <xf numFmtId="0" fontId="3" fillId="0" borderId="0" xfId="21" applyFont="1" applyAlignment="1" applyProtection="1">
      <protection hidden="1"/>
    </xf>
    <xf numFmtId="0" fontId="3" fillId="0" borderId="84" xfId="21" applyFont="1" applyBorder="1" applyAlignment="1" applyProtection="1">
      <protection hidden="1"/>
    </xf>
    <xf numFmtId="0" fontId="3" fillId="0" borderId="102" xfId="21" applyFont="1" applyBorder="1" applyAlignment="1" applyProtection="1">
      <protection hidden="1"/>
    </xf>
    <xf numFmtId="0" fontId="15" fillId="0" borderId="103" xfId="21" applyFont="1" applyBorder="1" applyAlignment="1" applyProtection="1">
      <alignment horizontal="center"/>
      <protection hidden="1"/>
    </xf>
    <xf numFmtId="188" fontId="95" fillId="0" borderId="103" xfId="21" applyNumberFormat="1" applyFont="1" applyFill="1" applyBorder="1" applyAlignment="1" applyProtection="1">
      <alignment horizontal="center"/>
      <protection hidden="1"/>
    </xf>
    <xf numFmtId="191" fontId="3" fillId="0" borderId="103" xfId="21" applyNumberFormat="1" applyFont="1" applyFill="1" applyBorder="1" applyAlignment="1" applyProtection="1">
      <alignment horizontal="center"/>
      <protection hidden="1"/>
    </xf>
    <xf numFmtId="188" fontId="95" fillId="0" borderId="104" xfId="21" applyNumberFormat="1" applyFont="1" applyFill="1" applyBorder="1" applyAlignment="1" applyProtection="1">
      <alignment horizontal="center"/>
      <protection hidden="1"/>
    </xf>
    <xf numFmtId="191" fontId="3" fillId="0" borderId="60" xfId="21" applyNumberFormat="1" applyFont="1" applyFill="1" applyBorder="1" applyAlignment="1" applyProtection="1">
      <alignment horizontal="center"/>
      <protection hidden="1"/>
    </xf>
    <xf numFmtId="188" fontId="95" fillId="0" borderId="56" xfId="21" applyNumberFormat="1" applyFont="1" applyFill="1" applyBorder="1" applyAlignment="1" applyProtection="1">
      <alignment horizontal="center"/>
      <protection hidden="1"/>
    </xf>
    <xf numFmtId="0" fontId="3" fillId="0" borderId="85" xfId="21" applyFont="1" applyBorder="1" applyAlignment="1" applyProtection="1">
      <protection hidden="1"/>
    </xf>
    <xf numFmtId="0" fontId="3" fillId="0" borderId="57" xfId="21" applyFont="1" applyBorder="1" applyAlignment="1" applyProtection="1">
      <protection hidden="1"/>
    </xf>
    <xf numFmtId="0" fontId="3" fillId="0" borderId="15" xfId="21" applyFont="1" applyBorder="1" applyAlignment="1" applyProtection="1">
      <protection hidden="1"/>
    </xf>
    <xf numFmtId="0" fontId="3" fillId="0" borderId="105" xfId="21" applyFont="1" applyBorder="1" applyAlignment="1" applyProtection="1">
      <protection hidden="1"/>
    </xf>
    <xf numFmtId="0" fontId="3" fillId="0" borderId="11" xfId="21" applyFont="1" applyBorder="1" applyAlignment="1" applyProtection="1">
      <protection hidden="1"/>
    </xf>
    <xf numFmtId="0" fontId="3" fillId="3" borderId="58" xfId="21" applyFont="1" applyFill="1" applyBorder="1" applyAlignment="1" applyProtection="1">
      <alignment horizontal="center"/>
      <protection hidden="1"/>
    </xf>
    <xf numFmtId="0" fontId="3" fillId="3" borderId="8" xfId="21" applyFont="1" applyFill="1" applyBorder="1" applyAlignment="1" applyProtection="1">
      <protection hidden="1"/>
    </xf>
    <xf numFmtId="10" fontId="139" fillId="3" borderId="8" xfId="24" applyNumberFormat="1" applyFont="1" applyFill="1" applyBorder="1" applyProtection="1">
      <protection hidden="1"/>
    </xf>
    <xf numFmtId="10" fontId="139" fillId="9" borderId="8" xfId="24" applyNumberFormat="1" applyFont="1" applyFill="1" applyBorder="1" applyProtection="1">
      <protection hidden="1"/>
    </xf>
    <xf numFmtId="10" fontId="139" fillId="3" borderId="98" xfId="24" applyNumberFormat="1" applyFont="1" applyFill="1" applyBorder="1" applyProtection="1">
      <protection hidden="1"/>
    </xf>
    <xf numFmtId="10" fontId="139" fillId="9" borderId="12" xfId="24" applyNumberFormat="1" applyFont="1" applyFill="1" applyBorder="1" applyProtection="1">
      <protection hidden="1"/>
    </xf>
    <xf numFmtId="0" fontId="3" fillId="0" borderId="58" xfId="21" applyFont="1" applyBorder="1" applyAlignment="1" applyProtection="1">
      <alignment horizontal="center"/>
      <protection hidden="1"/>
    </xf>
    <xf numFmtId="0" fontId="3" fillId="0" borderId="8" xfId="21" applyFont="1" applyBorder="1" applyAlignment="1" applyProtection="1">
      <protection hidden="1"/>
    </xf>
    <xf numFmtId="41" fontId="3" fillId="0" borderId="8" xfId="21" applyNumberFormat="1" applyFont="1" applyBorder="1" applyAlignment="1" applyProtection="1">
      <protection hidden="1"/>
    </xf>
    <xf numFmtId="41" fontId="3" fillId="0" borderId="98" xfId="21" applyNumberFormat="1" applyFont="1" applyBorder="1" applyAlignment="1" applyProtection="1">
      <protection hidden="1"/>
    </xf>
    <xf numFmtId="0" fontId="3" fillId="0" borderId="8" xfId="21" applyFont="1" applyBorder="1" applyAlignment="1" applyProtection="1">
      <alignment wrapText="1"/>
      <protection hidden="1"/>
    </xf>
    <xf numFmtId="0" fontId="3" fillId="0" borderId="98" xfId="21" applyFont="1" applyBorder="1" applyAlignment="1" applyProtection="1">
      <protection hidden="1"/>
    </xf>
    <xf numFmtId="0" fontId="3" fillId="3" borderId="8" xfId="21" applyFont="1" applyFill="1" applyBorder="1" applyAlignment="1" applyProtection="1">
      <alignment horizontal="left"/>
      <protection hidden="1"/>
    </xf>
    <xf numFmtId="0" fontId="3" fillId="0" borderId="8" xfId="21" applyFont="1" applyBorder="1" applyAlignment="1" applyProtection="1">
      <alignment vertical="center" wrapText="1"/>
      <protection hidden="1"/>
    </xf>
    <xf numFmtId="41" fontId="3" fillId="0" borderId="0" xfId="21" applyNumberFormat="1" applyFont="1" applyAlignment="1" applyProtection="1">
      <protection hidden="1"/>
    </xf>
    <xf numFmtId="41" fontId="139" fillId="0" borderId="8" xfId="4" applyFont="1" applyBorder="1" applyProtection="1">
      <protection hidden="1"/>
    </xf>
    <xf numFmtId="41" fontId="139" fillId="0" borderId="98" xfId="4" applyFont="1" applyBorder="1" applyProtection="1">
      <protection hidden="1"/>
    </xf>
    <xf numFmtId="2" fontId="3" fillId="3" borderId="8" xfId="21" applyNumberFormat="1" applyFont="1" applyFill="1" applyBorder="1" applyAlignment="1" applyProtection="1">
      <protection hidden="1"/>
    </xf>
    <xf numFmtId="2" fontId="3" fillId="3" borderId="98" xfId="21" applyNumberFormat="1" applyFont="1" applyFill="1" applyBorder="1" applyAlignment="1" applyProtection="1">
      <protection hidden="1"/>
    </xf>
    <xf numFmtId="9" fontId="139" fillId="0" borderId="0" xfId="24" applyFont="1" applyAlignment="1" applyProtection="1">
      <protection hidden="1"/>
    </xf>
    <xf numFmtId="178" fontId="3" fillId="0" borderId="0" xfId="1" applyNumberFormat="1" applyFont="1" applyAlignment="1" applyProtection="1">
      <protection hidden="1"/>
    </xf>
    <xf numFmtId="10" fontId="3" fillId="0" borderId="0" xfId="24" applyNumberFormat="1" applyFont="1" applyAlignment="1" applyProtection="1">
      <protection hidden="1"/>
    </xf>
    <xf numFmtId="0" fontId="15" fillId="0" borderId="84" xfId="21" applyFont="1" applyBorder="1" applyAlignment="1" applyProtection="1">
      <protection hidden="1"/>
    </xf>
    <xf numFmtId="0" fontId="15" fillId="3" borderId="58" xfId="21" applyFont="1" applyFill="1" applyBorder="1" applyAlignment="1" applyProtection="1">
      <alignment horizontal="center"/>
      <protection hidden="1"/>
    </xf>
    <xf numFmtId="0" fontId="15" fillId="3" borderId="8" xfId="21" applyFont="1" applyFill="1" applyBorder="1" applyAlignment="1" applyProtection="1">
      <protection hidden="1"/>
    </xf>
    <xf numFmtId="10" fontId="15" fillId="3" borderId="8" xfId="24" applyNumberFormat="1" applyFont="1" applyFill="1" applyBorder="1" applyProtection="1">
      <protection hidden="1"/>
    </xf>
    <xf numFmtId="10" fontId="15" fillId="9" borderId="8" xfId="24" applyNumberFormat="1" applyFont="1" applyFill="1" applyBorder="1" applyProtection="1">
      <protection hidden="1"/>
    </xf>
    <xf numFmtId="10" fontId="15" fillId="3" borderId="98" xfId="24" applyNumberFormat="1" applyFont="1" applyFill="1" applyBorder="1" applyProtection="1">
      <protection hidden="1"/>
    </xf>
    <xf numFmtId="10" fontId="15" fillId="9" borderId="12" xfId="24" applyNumberFormat="1" applyFont="1" applyFill="1" applyBorder="1" applyProtection="1">
      <protection hidden="1"/>
    </xf>
    <xf numFmtId="0" fontId="15" fillId="0" borderId="85" xfId="21" applyFont="1" applyBorder="1" applyAlignment="1" applyProtection="1">
      <protection hidden="1"/>
    </xf>
    <xf numFmtId="0" fontId="15" fillId="0" borderId="0" xfId="21" applyFont="1" applyAlignment="1" applyProtection="1">
      <protection hidden="1"/>
    </xf>
    <xf numFmtId="0" fontId="15" fillId="0" borderId="58" xfId="21" applyFont="1" applyBorder="1" applyAlignment="1" applyProtection="1">
      <alignment horizontal="center"/>
      <protection hidden="1"/>
    </xf>
    <xf numFmtId="0" fontId="3" fillId="0" borderId="58" xfId="21" applyFont="1" applyBorder="1" applyAlignment="1" applyProtection="1">
      <protection hidden="1"/>
    </xf>
    <xf numFmtId="43" fontId="3" fillId="0" borderId="0" xfId="21" applyNumberFormat="1" applyFont="1" applyAlignment="1" applyProtection="1">
      <protection hidden="1"/>
    </xf>
    <xf numFmtId="0" fontId="28" fillId="3" borderId="9" xfId="20" applyFont="1" applyFill="1" applyBorder="1" applyAlignment="1" applyProtection="1">
      <alignment horizontal="right" vertical="center"/>
      <protection locked="0"/>
    </xf>
    <xf numFmtId="0" fontId="28" fillId="3" borderId="22" xfId="20" applyFont="1" applyFill="1" applyBorder="1" applyAlignment="1" applyProtection="1">
      <protection locked="0"/>
    </xf>
    <xf numFmtId="0" fontId="29" fillId="0" borderId="4" xfId="20" applyFont="1" applyBorder="1" applyAlignment="1" applyProtection="1">
      <alignment horizontal="center" vertical="center"/>
      <protection locked="0"/>
    </xf>
    <xf numFmtId="0" fontId="29" fillId="0" borderId="0" xfId="20" applyFont="1" applyBorder="1" applyAlignment="1" applyProtection="1">
      <protection locked="0"/>
    </xf>
    <xf numFmtId="0" fontId="29" fillId="0" borderId="0" xfId="20" applyFont="1" applyBorder="1" applyProtection="1">
      <protection locked="0"/>
    </xf>
    <xf numFmtId="0" fontId="29" fillId="0" borderId="0" xfId="20" applyFont="1" applyBorder="1" applyAlignment="1" applyProtection="1">
      <alignment horizontal="center"/>
      <protection locked="0"/>
    </xf>
    <xf numFmtId="0" fontId="29" fillId="0" borderId="26" xfId="20" applyFont="1" applyBorder="1" applyAlignment="1" applyProtection="1">
      <alignment horizontal="center" vertical="center"/>
      <protection locked="0"/>
    </xf>
    <xf numFmtId="0" fontId="29" fillId="0" borderId="27" xfId="20" applyFont="1" applyBorder="1" applyProtection="1">
      <protection locked="0"/>
    </xf>
    <xf numFmtId="0" fontId="29" fillId="0" borderId="28" xfId="20" applyFont="1" applyBorder="1" applyProtection="1">
      <protection locked="0"/>
    </xf>
    <xf numFmtId="0" fontId="29" fillId="0" borderId="0" xfId="20" applyFont="1" applyFill="1" applyBorder="1" applyProtection="1">
      <protection locked="0"/>
    </xf>
    <xf numFmtId="0" fontId="29" fillId="0" borderId="29" xfId="20" applyFont="1" applyBorder="1" applyAlignment="1" applyProtection="1">
      <alignment horizontal="center"/>
      <protection locked="0"/>
    </xf>
    <xf numFmtId="0" fontId="29" fillId="0" borderId="30" xfId="20" applyFont="1" applyBorder="1" applyProtection="1">
      <protection locked="0"/>
    </xf>
    <xf numFmtId="0" fontId="29" fillId="0" borderId="31" xfId="20" applyFont="1" applyBorder="1" applyProtection="1">
      <protection locked="0"/>
    </xf>
    <xf numFmtId="0" fontId="29" fillId="0" borderId="27" xfId="20" applyFont="1" applyBorder="1" applyAlignment="1" applyProtection="1">
      <alignment horizontal="center"/>
      <protection locked="0"/>
    </xf>
    <xf numFmtId="0" fontId="29" fillId="0" borderId="28" xfId="20" applyFont="1" applyBorder="1" applyAlignment="1" applyProtection="1">
      <alignment horizontal="center"/>
      <protection locked="0"/>
    </xf>
    <xf numFmtId="0" fontId="29" fillId="0" borderId="10" xfId="20" applyFont="1" applyBorder="1" applyProtection="1">
      <protection locked="0"/>
    </xf>
    <xf numFmtId="0" fontId="29" fillId="0" borderId="10" xfId="20" applyFont="1" applyBorder="1" applyAlignment="1" applyProtection="1">
      <alignment horizontal="center"/>
      <protection locked="0"/>
    </xf>
    <xf numFmtId="0" fontId="29" fillId="0" borderId="10" xfId="20" applyFont="1" applyBorder="1" applyAlignment="1" applyProtection="1">
      <alignment horizontal="left"/>
      <protection locked="0"/>
    </xf>
    <xf numFmtId="0" fontId="29" fillId="0" borderId="5" xfId="20" applyFont="1" applyBorder="1" applyProtection="1">
      <protection locked="0"/>
    </xf>
    <xf numFmtId="0" fontId="29" fillId="0" borderId="32" xfId="20" applyFont="1" applyBorder="1" applyProtection="1">
      <protection locked="0"/>
    </xf>
    <xf numFmtId="0" fontId="29" fillId="0" borderId="33" xfId="20" applyFont="1" applyBorder="1" applyAlignment="1" applyProtection="1">
      <protection locked="0"/>
    </xf>
    <xf numFmtId="0" fontId="29" fillId="0" borderId="34" xfId="20" applyFont="1" applyBorder="1" applyAlignment="1" applyProtection="1">
      <protection locked="0"/>
    </xf>
    <xf numFmtId="0" fontId="29" fillId="0" borderId="35" xfId="20" applyFont="1" applyBorder="1" applyAlignment="1" applyProtection="1">
      <protection locked="0"/>
    </xf>
    <xf numFmtId="0" fontId="29" fillId="0" borderId="32" xfId="20" applyFont="1" applyBorder="1" applyAlignment="1" applyProtection="1">
      <protection locked="0"/>
    </xf>
    <xf numFmtId="0" fontId="29" fillId="0" borderId="0" xfId="20" applyFont="1" applyFill="1" applyBorder="1" applyAlignment="1" applyProtection="1">
      <protection locked="0"/>
    </xf>
    <xf numFmtId="0" fontId="29" fillId="0" borderId="36" xfId="20" applyFont="1" applyBorder="1" applyAlignment="1" applyProtection="1">
      <protection locked="0"/>
    </xf>
    <xf numFmtId="0" fontId="29" fillId="0" borderId="31" xfId="20" applyFont="1" applyBorder="1" applyAlignment="1" applyProtection="1">
      <protection locked="0"/>
    </xf>
    <xf numFmtId="0" fontId="29" fillId="0" borderId="30" xfId="20" applyFont="1" applyBorder="1" applyAlignment="1" applyProtection="1">
      <protection locked="0"/>
    </xf>
    <xf numFmtId="0" fontId="29" fillId="0" borderId="37" xfId="20" applyFont="1" applyBorder="1" applyAlignment="1" applyProtection="1">
      <protection locked="0"/>
    </xf>
    <xf numFmtId="0" fontId="29" fillId="0" borderId="10" xfId="20" applyFont="1" applyBorder="1" applyAlignment="1" applyProtection="1">
      <protection locked="0"/>
    </xf>
    <xf numFmtId="0" fontId="28" fillId="3" borderId="9" xfId="20" applyFont="1" applyFill="1" applyBorder="1" applyAlignment="1" applyProtection="1">
      <alignment horizontal="right"/>
      <protection locked="0"/>
    </xf>
    <xf numFmtId="0" fontId="32" fillId="0" borderId="14" xfId="20" applyFont="1" applyBorder="1" applyAlignment="1" applyProtection="1">
      <alignment vertical="top"/>
      <protection locked="0"/>
    </xf>
    <xf numFmtId="0" fontId="32" fillId="0" borderId="15" xfId="20" applyFont="1" applyBorder="1" applyAlignment="1" applyProtection="1">
      <alignment vertical="top"/>
      <protection locked="0"/>
    </xf>
    <xf numFmtId="0" fontId="32" fillId="0" borderId="13" xfId="20" applyFont="1" applyBorder="1" applyAlignment="1" applyProtection="1">
      <alignment vertical="top"/>
      <protection locked="0"/>
    </xf>
    <xf numFmtId="0" fontId="29" fillId="0" borderId="0" xfId="20" applyFont="1" applyBorder="1" applyAlignment="1" applyProtection="1">
      <alignment vertical="top"/>
      <protection locked="0"/>
    </xf>
    <xf numFmtId="0" fontId="29" fillId="0" borderId="0" xfId="20" applyFont="1" applyBorder="1" applyAlignment="1" applyProtection="1">
      <alignment horizontal="left" vertical="top" wrapText="1"/>
      <protection locked="0"/>
    </xf>
    <xf numFmtId="0" fontId="32" fillId="0" borderId="0" xfId="20" applyFont="1" applyBorder="1" applyAlignment="1" applyProtection="1">
      <alignment horizontal="left" vertical="top"/>
      <protection locked="0"/>
    </xf>
    <xf numFmtId="0" fontId="32" fillId="0" borderId="5" xfId="20" applyFont="1" applyBorder="1" applyAlignment="1" applyProtection="1">
      <alignment vertical="top"/>
      <protection locked="0"/>
    </xf>
    <xf numFmtId="0" fontId="29" fillId="0" borderId="6" xfId="20" applyFont="1" applyBorder="1" applyAlignment="1" applyProtection="1">
      <alignment horizontal="center" vertical="center"/>
      <protection locked="0"/>
    </xf>
    <xf numFmtId="0" fontId="29" fillId="0" borderId="10" xfId="20" applyFont="1" applyBorder="1" applyAlignment="1" applyProtection="1">
      <alignment vertical="top"/>
      <protection locked="0"/>
    </xf>
    <xf numFmtId="0" fontId="29" fillId="0" borderId="10" xfId="20" applyFont="1" applyBorder="1" applyAlignment="1" applyProtection="1">
      <alignment horizontal="left" vertical="top" wrapText="1"/>
      <protection locked="0"/>
    </xf>
    <xf numFmtId="0" fontId="32" fillId="0" borderId="10" xfId="20" applyFont="1" applyBorder="1" applyAlignment="1" applyProtection="1">
      <alignment horizontal="left" vertical="top"/>
      <protection locked="0"/>
    </xf>
    <xf numFmtId="0" fontId="32" fillId="0" borderId="11" xfId="20" applyFont="1" applyBorder="1" applyAlignment="1" applyProtection="1">
      <alignment vertical="top"/>
      <protection locked="0"/>
    </xf>
    <xf numFmtId="0" fontId="28" fillId="3" borderId="9" xfId="20" applyFont="1" applyFill="1" applyBorder="1" applyAlignment="1" applyProtection="1">
      <alignment horizontal="center" vertical="center"/>
      <protection locked="0"/>
    </xf>
    <xf numFmtId="0" fontId="28" fillId="3" borderId="22" xfId="20" applyFont="1" applyFill="1" applyBorder="1" applyProtection="1">
      <protection locked="0"/>
    </xf>
    <xf numFmtId="0" fontId="28" fillId="3" borderId="22" xfId="20" applyFont="1" applyFill="1" applyBorder="1" applyAlignment="1" applyProtection="1">
      <alignment vertical="top"/>
      <protection locked="0"/>
    </xf>
    <xf numFmtId="0" fontId="28" fillId="3" borderId="22" xfId="20" applyFont="1" applyFill="1" applyBorder="1" applyAlignment="1" applyProtection="1">
      <alignment horizontal="left" vertical="top"/>
      <protection locked="0"/>
    </xf>
    <xf numFmtId="0" fontId="28" fillId="3" borderId="22" xfId="20" applyFont="1" applyFill="1" applyBorder="1" applyAlignment="1" applyProtection="1">
      <alignment horizontal="center"/>
      <protection locked="0"/>
    </xf>
    <xf numFmtId="0" fontId="33" fillId="3" borderId="22" xfId="20" applyFont="1" applyFill="1" applyBorder="1" applyAlignment="1" applyProtection="1">
      <alignment horizontal="left" vertical="top"/>
      <protection locked="0"/>
    </xf>
    <xf numFmtId="0" fontId="33" fillId="3" borderId="12" xfId="20" applyFont="1" applyFill="1" applyBorder="1" applyAlignment="1" applyProtection="1">
      <alignment horizontal="left" vertical="top"/>
      <protection locked="0"/>
    </xf>
    <xf numFmtId="0" fontId="29" fillId="0" borderId="7" xfId="20" applyFont="1" applyBorder="1" applyAlignment="1" applyProtection="1">
      <protection locked="0"/>
    </xf>
    <xf numFmtId="0" fontId="32" fillId="0" borderId="5" xfId="20" applyFont="1" applyBorder="1" applyAlignment="1" applyProtection="1">
      <alignment horizontal="left" vertical="top"/>
      <protection locked="0"/>
    </xf>
    <xf numFmtId="0" fontId="29" fillId="0" borderId="4" xfId="20" applyFont="1" applyBorder="1" applyProtection="1">
      <protection locked="0"/>
    </xf>
    <xf numFmtId="0" fontId="142" fillId="0" borderId="4" xfId="20" applyBorder="1" applyAlignment="1" applyProtection="1">
      <protection locked="0"/>
    </xf>
    <xf numFmtId="0" fontId="142" fillId="0" borderId="0" xfId="20" applyAlignment="1" applyProtection="1">
      <protection locked="0"/>
    </xf>
    <xf numFmtId="0" fontId="28" fillId="0" borderId="0" xfId="20" applyFont="1" applyBorder="1" applyProtection="1">
      <protection locked="0"/>
    </xf>
    <xf numFmtId="0" fontId="35" fillId="0" borderId="4" xfId="20" applyFont="1" applyBorder="1" applyProtection="1">
      <protection locked="0"/>
    </xf>
    <xf numFmtId="0" fontId="35" fillId="0" borderId="6" xfId="20" applyFont="1" applyBorder="1" applyProtection="1">
      <protection locked="0"/>
    </xf>
    <xf numFmtId="0" fontId="29" fillId="0" borderId="11" xfId="20" applyFont="1" applyBorder="1" applyProtection="1">
      <protection locked="0"/>
    </xf>
    <xf numFmtId="0" fontId="29" fillId="0" borderId="0" xfId="20" applyFont="1" applyProtection="1"/>
    <xf numFmtId="0" fontId="28" fillId="3" borderId="9" xfId="20" applyFont="1" applyFill="1" applyBorder="1" applyAlignment="1" applyProtection="1">
      <alignment horizontal="right" vertical="center"/>
    </xf>
    <xf numFmtId="0" fontId="28" fillId="3" borderId="22" xfId="20" applyFont="1" applyFill="1" applyBorder="1" applyAlignment="1" applyProtection="1"/>
    <xf numFmtId="0" fontId="29" fillId="0" borderId="4" xfId="20" applyFont="1" applyBorder="1" applyAlignment="1" applyProtection="1">
      <alignment horizontal="center" vertical="center"/>
    </xf>
    <xf numFmtId="0" fontId="29" fillId="0" borderId="0" xfId="20" applyFont="1" applyBorder="1" applyAlignment="1" applyProtection="1"/>
    <xf numFmtId="0" fontId="29" fillId="0" borderId="0" xfId="20" applyFont="1" applyBorder="1" applyProtection="1"/>
    <xf numFmtId="0" fontId="29" fillId="0" borderId="0" xfId="20" quotePrefix="1" applyFont="1" applyBorder="1" applyAlignment="1" applyProtection="1"/>
    <xf numFmtId="0" fontId="29" fillId="0" borderId="0" xfId="20" applyFont="1" applyBorder="1" applyAlignment="1" applyProtection="1">
      <alignment horizontal="left"/>
    </xf>
    <xf numFmtId="0" fontId="29" fillId="0" borderId="0" xfId="20" applyFont="1" applyBorder="1" applyAlignment="1" applyProtection="1">
      <alignment horizontal="center"/>
    </xf>
    <xf numFmtId="0" fontId="29" fillId="0" borderId="5" xfId="20" applyFont="1" applyBorder="1" applyAlignment="1" applyProtection="1">
      <alignment horizontal="center"/>
    </xf>
    <xf numFmtId="0" fontId="29" fillId="0" borderId="4" xfId="20" applyFont="1" applyBorder="1" applyProtection="1"/>
    <xf numFmtId="0" fontId="29" fillId="0" borderId="5" xfId="20" applyFont="1" applyBorder="1" applyProtection="1"/>
    <xf numFmtId="0" fontId="29" fillId="0" borderId="0" xfId="20" applyFont="1" applyFill="1" applyBorder="1" applyAlignment="1" applyProtection="1">
      <alignment horizontal="left"/>
      <protection locked="0"/>
    </xf>
    <xf numFmtId="0" fontId="29" fillId="0" borderId="24" xfId="20" applyFont="1" applyBorder="1" applyProtection="1">
      <protection locked="0"/>
    </xf>
    <xf numFmtId="0" fontId="29" fillId="0" borderId="24" xfId="20" applyFont="1" applyBorder="1" applyAlignment="1" applyProtection="1">
      <alignment horizontal="center"/>
      <protection locked="0"/>
    </xf>
    <xf numFmtId="0" fontId="29" fillId="0" borderId="24" xfId="20" applyFont="1" applyBorder="1" applyAlignment="1" applyProtection="1">
      <alignment horizontal="left"/>
      <protection locked="0"/>
    </xf>
    <xf numFmtId="0" fontId="29" fillId="0" borderId="38" xfId="20" applyFont="1" applyBorder="1" applyProtection="1">
      <protection locked="0"/>
    </xf>
    <xf numFmtId="0" fontId="29" fillId="0" borderId="29" xfId="20" applyFont="1" applyBorder="1" applyProtection="1">
      <protection locked="0"/>
    </xf>
    <xf numFmtId="0" fontId="29" fillId="0" borderId="39" xfId="20" applyFont="1" applyBorder="1" applyProtection="1">
      <protection locked="0"/>
    </xf>
    <xf numFmtId="0" fontId="29" fillId="0" borderId="31" xfId="20" applyFont="1" applyBorder="1" applyAlignment="1" applyProtection="1">
      <alignment horizontal="left"/>
      <protection locked="0"/>
    </xf>
    <xf numFmtId="0" fontId="29" fillId="0" borderId="23" xfId="20" applyFont="1" applyBorder="1" applyAlignment="1" applyProtection="1">
      <alignment horizontal="left"/>
      <protection locked="0"/>
    </xf>
    <xf numFmtId="0" fontId="29" fillId="0" borderId="25" xfId="20" applyFont="1" applyBorder="1" applyAlignment="1" applyProtection="1">
      <alignment horizontal="left"/>
      <protection locked="0"/>
    </xf>
    <xf numFmtId="0" fontId="29" fillId="0" borderId="28" xfId="20" applyFont="1" applyBorder="1" applyAlignment="1" applyProtection="1">
      <alignment horizontal="left"/>
      <protection locked="0"/>
    </xf>
    <xf numFmtId="0" fontId="29" fillId="0" borderId="9" xfId="20" applyFont="1" applyBorder="1" applyAlignment="1" applyProtection="1">
      <alignment vertical="top"/>
      <protection locked="0"/>
    </xf>
    <xf numFmtId="0" fontId="29" fillId="0" borderId="5" xfId="20" applyFont="1" applyBorder="1" applyAlignment="1" applyProtection="1">
      <protection locked="0"/>
    </xf>
    <xf numFmtId="0" fontId="29" fillId="0" borderId="8" xfId="20" applyFont="1" applyBorder="1" applyAlignment="1" applyProtection="1">
      <alignment vertical="top"/>
      <protection locked="0"/>
    </xf>
    <xf numFmtId="0" fontId="29" fillId="0" borderId="3" xfId="20" applyFont="1" applyBorder="1" applyAlignment="1" applyProtection="1">
      <alignment horizontal="center" vertical="center"/>
      <protection locked="0"/>
    </xf>
    <xf numFmtId="0" fontId="29" fillId="0" borderId="16" xfId="20" applyFont="1" applyBorder="1" applyProtection="1">
      <protection locked="0"/>
    </xf>
    <xf numFmtId="0" fontId="29" fillId="0" borderId="0" xfId="20" applyFont="1" applyBorder="1" applyAlignment="1" applyProtection="1">
      <alignment horizontal="left" vertical="top"/>
      <protection locked="0"/>
    </xf>
    <xf numFmtId="0" fontId="28" fillId="5" borderId="4" xfId="20" applyFont="1" applyFill="1" applyBorder="1" applyAlignment="1" applyProtection="1">
      <alignment horizontal="center" vertical="center"/>
      <protection locked="0"/>
    </xf>
    <xf numFmtId="0" fontId="28" fillId="5" borderId="7" xfId="20" applyFont="1" applyFill="1" applyBorder="1" applyProtection="1">
      <protection locked="0"/>
    </xf>
    <xf numFmtId="0" fontId="28" fillId="5" borderId="7" xfId="20" applyFont="1" applyFill="1" applyBorder="1" applyAlignment="1" applyProtection="1">
      <alignment vertical="top"/>
      <protection locked="0"/>
    </xf>
    <xf numFmtId="0" fontId="28" fillId="5" borderId="7" xfId="20" applyFont="1" applyFill="1" applyBorder="1" applyAlignment="1" applyProtection="1">
      <alignment horizontal="left" vertical="top"/>
      <protection locked="0"/>
    </xf>
    <xf numFmtId="0" fontId="28" fillId="5" borderId="7" xfId="20" applyFont="1" applyFill="1" applyBorder="1" applyAlignment="1" applyProtection="1">
      <alignment horizontal="center"/>
      <protection locked="0"/>
    </xf>
    <xf numFmtId="0" fontId="33" fillId="5" borderId="7" xfId="20" applyFont="1" applyFill="1" applyBorder="1" applyAlignment="1" applyProtection="1">
      <alignment horizontal="left" vertical="top"/>
      <protection locked="0"/>
    </xf>
    <xf numFmtId="0" fontId="33" fillId="5" borderId="5" xfId="20" applyFont="1" applyFill="1" applyBorder="1" applyAlignment="1" applyProtection="1">
      <alignment horizontal="left" vertical="top"/>
      <protection locked="0"/>
    </xf>
    <xf numFmtId="0" fontId="28" fillId="0" borderId="0" xfId="20" applyFont="1" applyBorder="1" applyProtection="1"/>
    <xf numFmtId="0" fontId="28" fillId="3" borderId="9" xfId="20" applyFont="1" applyFill="1" applyBorder="1" applyAlignment="1" applyProtection="1">
      <protection locked="0"/>
    </xf>
    <xf numFmtId="0" fontId="28" fillId="3" borderId="12" xfId="20" applyFont="1" applyFill="1" applyBorder="1" applyAlignment="1" applyProtection="1">
      <protection locked="0"/>
    </xf>
    <xf numFmtId="0" fontId="28" fillId="0" borderId="4" xfId="20" applyFont="1" applyFill="1" applyBorder="1" applyAlignment="1" applyProtection="1">
      <alignment horizontal="right" vertical="center"/>
      <protection locked="0"/>
    </xf>
    <xf numFmtId="0" fontId="28" fillId="0" borderId="0" xfId="20" applyFont="1" applyFill="1" applyBorder="1" applyAlignment="1" applyProtection="1">
      <alignment horizontal="center"/>
      <protection locked="0"/>
    </xf>
    <xf numFmtId="0" fontId="28" fillId="0" borderId="34" xfId="20" applyFont="1" applyFill="1" applyBorder="1" applyAlignment="1" applyProtection="1">
      <protection locked="0"/>
    </xf>
    <xf numFmtId="0" fontId="28" fillId="0" borderId="40" xfId="20" applyFont="1" applyFill="1" applyBorder="1" applyAlignment="1" applyProtection="1">
      <protection locked="0"/>
    </xf>
    <xf numFmtId="0" fontId="28" fillId="0" borderId="24" xfId="20" applyFont="1" applyFill="1" applyBorder="1" applyAlignment="1" applyProtection="1">
      <protection locked="0"/>
    </xf>
    <xf numFmtId="0" fontId="28" fillId="0" borderId="38" xfId="20" applyFont="1" applyFill="1" applyBorder="1" applyAlignment="1" applyProtection="1">
      <protection locked="0"/>
    </xf>
    <xf numFmtId="0" fontId="29" fillId="0" borderId="6" xfId="20" applyFont="1" applyBorder="1" applyProtection="1">
      <protection locked="0"/>
    </xf>
    <xf numFmtId="0" fontId="29" fillId="0" borderId="22" xfId="20" applyFont="1" applyBorder="1" applyAlignment="1" applyProtection="1">
      <alignment vertical="top"/>
      <protection locked="0"/>
    </xf>
    <xf numFmtId="0" fontId="29" fillId="0" borderId="22" xfId="20" applyFont="1" applyBorder="1" applyAlignment="1" applyProtection="1">
      <alignment horizontal="left" vertical="top" wrapText="1"/>
      <protection locked="0"/>
    </xf>
    <xf numFmtId="0" fontId="29" fillId="0" borderId="22" xfId="20" applyFont="1" applyBorder="1" applyAlignment="1" applyProtection="1">
      <alignment horizontal="center"/>
      <protection locked="0"/>
    </xf>
    <xf numFmtId="0" fontId="32" fillId="0" borderId="22" xfId="20" applyFont="1" applyBorder="1" applyAlignment="1" applyProtection="1">
      <alignment horizontal="left" vertical="top"/>
      <protection locked="0"/>
    </xf>
    <xf numFmtId="0" fontId="29" fillId="0" borderId="0" xfId="20" applyFont="1" applyAlignment="1" applyProtection="1">
      <alignment vertical="top"/>
    </xf>
    <xf numFmtId="0" fontId="29" fillId="0" borderId="10" xfId="20" applyFont="1" applyBorder="1" applyProtection="1"/>
    <xf numFmtId="0" fontId="40" fillId="0" borderId="0" xfId="0" applyFont="1" applyAlignment="1" applyProtection="1">
      <alignment horizontal="center" vertical="center"/>
      <protection locked="0"/>
    </xf>
    <xf numFmtId="0" fontId="40" fillId="0" borderId="0" xfId="0" applyFont="1" applyFill="1" applyAlignment="1" applyProtection="1">
      <alignment horizontal="center" vertical="center"/>
      <protection locked="0"/>
    </xf>
    <xf numFmtId="39" fontId="43" fillId="0" borderId="0" xfId="22" applyNumberFormat="1" applyFont="1" applyBorder="1" applyAlignment="1" applyProtection="1">
      <alignment vertical="center" wrapText="1"/>
      <protection locked="0"/>
    </xf>
    <xf numFmtId="9" fontId="40" fillId="0" borderId="0" xfId="0" applyNumberFormat="1" applyFont="1" applyProtection="1">
      <protection locked="0"/>
    </xf>
    <xf numFmtId="39" fontId="40" fillId="0" borderId="0" xfId="0" applyNumberFormat="1" applyFont="1" applyProtection="1">
      <protection locked="0"/>
    </xf>
    <xf numFmtId="0" fontId="41" fillId="0" borderId="12" xfId="0" applyFont="1" applyBorder="1" applyAlignment="1" applyProtection="1">
      <alignment vertical="center"/>
      <protection locked="0"/>
    </xf>
    <xf numFmtId="0" fontId="41" fillId="6" borderId="8" xfId="0" applyFont="1" applyFill="1" applyBorder="1" applyAlignment="1" applyProtection="1">
      <alignment horizontal="center" vertical="center" wrapText="1"/>
      <protection locked="0"/>
    </xf>
    <xf numFmtId="0" fontId="41" fillId="3" borderId="13" xfId="0" applyFont="1" applyFill="1" applyBorder="1" applyAlignment="1" applyProtection="1">
      <alignment vertical="center" wrapText="1"/>
      <protection locked="0"/>
    </xf>
    <xf numFmtId="170" fontId="41" fillId="3" borderId="13" xfId="0" applyNumberFormat="1" applyFont="1" applyFill="1" applyBorder="1" applyAlignment="1" applyProtection="1">
      <alignment vertical="center" wrapText="1"/>
      <protection locked="0"/>
    </xf>
    <xf numFmtId="177" fontId="48" fillId="3" borderId="13" xfId="0" applyNumberFormat="1" applyFont="1" applyFill="1" applyBorder="1" applyAlignment="1" applyProtection="1">
      <alignment vertical="center" wrapText="1"/>
      <protection locked="0"/>
    </xf>
    <xf numFmtId="2" fontId="41" fillId="3" borderId="13" xfId="0" applyNumberFormat="1" applyFont="1" applyFill="1" applyBorder="1" applyAlignment="1" applyProtection="1">
      <alignment vertical="center" wrapText="1"/>
      <protection locked="0"/>
    </xf>
    <xf numFmtId="0" fontId="40" fillId="6" borderId="14" xfId="0" applyFont="1" applyFill="1" applyBorder="1" applyAlignment="1" applyProtection="1">
      <alignment vertical="center" wrapText="1"/>
      <protection locked="0"/>
    </xf>
    <xf numFmtId="43" fontId="40" fillId="0" borderId="14" xfId="0" applyNumberFormat="1" applyFont="1" applyBorder="1" applyAlignment="1" applyProtection="1">
      <alignment vertical="center" wrapText="1"/>
      <protection locked="0"/>
    </xf>
    <xf numFmtId="2" fontId="40" fillId="0" borderId="14" xfId="0" applyNumberFormat="1" applyFont="1" applyBorder="1" applyAlignment="1" applyProtection="1">
      <alignment vertical="center" wrapText="1"/>
      <protection locked="0"/>
    </xf>
    <xf numFmtId="0" fontId="57" fillId="3" borderId="14" xfId="0" applyFont="1" applyFill="1" applyBorder="1" applyAlignment="1" applyProtection="1">
      <alignment vertical="center" wrapText="1"/>
      <protection locked="0"/>
    </xf>
    <xf numFmtId="43" fontId="57" fillId="3" borderId="14" xfId="0" applyNumberFormat="1" applyFont="1" applyFill="1" applyBorder="1" applyAlignment="1" applyProtection="1">
      <alignment vertical="center" wrapText="1"/>
      <protection locked="0"/>
    </xf>
    <xf numFmtId="2" fontId="40" fillId="0" borderId="0" xfId="0" applyNumberFormat="1" applyFont="1" applyBorder="1" applyAlignment="1" applyProtection="1">
      <alignment vertical="center" wrapText="1"/>
      <protection locked="0"/>
    </xf>
    <xf numFmtId="2" fontId="40" fillId="0" borderId="5" xfId="0" applyNumberFormat="1" applyFont="1" applyBorder="1" applyAlignment="1" applyProtection="1">
      <alignment vertical="center" wrapText="1"/>
      <protection locked="0"/>
    </xf>
    <xf numFmtId="2" fontId="40" fillId="0" borderId="4" xfId="0" applyNumberFormat="1" applyFont="1" applyBorder="1" applyAlignment="1" applyProtection="1">
      <alignment vertical="center" wrapText="1"/>
      <protection locked="0"/>
    </xf>
    <xf numFmtId="0" fontId="40" fillId="3" borderId="14" xfId="0" applyFont="1" applyFill="1" applyBorder="1" applyAlignment="1" applyProtection="1">
      <alignment vertical="center" wrapText="1"/>
      <protection locked="0"/>
    </xf>
    <xf numFmtId="2" fontId="41" fillId="3" borderId="0" xfId="0" applyNumberFormat="1" applyFont="1" applyFill="1" applyBorder="1" applyAlignment="1" applyProtection="1">
      <alignment vertical="center" wrapText="1"/>
      <protection locked="0"/>
    </xf>
    <xf numFmtId="2" fontId="41" fillId="3" borderId="14" xfId="0" applyNumberFormat="1" applyFont="1" applyFill="1" applyBorder="1" applyAlignment="1" applyProtection="1">
      <alignment vertical="center" wrapText="1"/>
      <protection locked="0"/>
    </xf>
    <xf numFmtId="2" fontId="41" fillId="3" borderId="4" xfId="0" applyNumberFormat="1" applyFont="1" applyFill="1" applyBorder="1" applyAlignment="1" applyProtection="1">
      <alignment vertical="center" wrapText="1"/>
      <protection locked="0"/>
    </xf>
    <xf numFmtId="43" fontId="40" fillId="0" borderId="0" xfId="0" applyNumberFormat="1" applyFont="1" applyBorder="1" applyAlignment="1" applyProtection="1">
      <alignment vertical="center" wrapText="1"/>
      <protection locked="0"/>
    </xf>
    <xf numFmtId="43" fontId="40" fillId="3" borderId="0" xfId="0" applyNumberFormat="1" applyFont="1" applyFill="1" applyBorder="1" applyAlignment="1" applyProtection="1">
      <alignment vertical="center" wrapText="1"/>
      <protection locked="0"/>
    </xf>
    <xf numFmtId="43" fontId="40" fillId="3" borderId="14" xfId="0" applyNumberFormat="1" applyFont="1" applyFill="1" applyBorder="1" applyAlignment="1" applyProtection="1">
      <alignment vertical="center" wrapText="1"/>
      <protection locked="0"/>
    </xf>
    <xf numFmtId="43" fontId="40" fillId="3" borderId="4" xfId="0" applyNumberFormat="1" applyFont="1" applyFill="1" applyBorder="1" applyAlignment="1" applyProtection="1">
      <alignment vertical="center" wrapText="1"/>
      <protection locked="0"/>
    </xf>
    <xf numFmtId="0" fontId="41" fillId="3" borderId="14" xfId="0" applyFont="1" applyFill="1" applyBorder="1" applyAlignment="1" applyProtection="1">
      <alignment vertical="center" wrapText="1"/>
      <protection locked="0"/>
    </xf>
    <xf numFmtId="43" fontId="41" fillId="3" borderId="0" xfId="0" applyNumberFormat="1" applyFont="1" applyFill="1" applyBorder="1" applyAlignment="1" applyProtection="1">
      <alignment vertical="center" wrapText="1"/>
      <protection locked="0"/>
    </xf>
    <xf numFmtId="43" fontId="41" fillId="3" borderId="14" xfId="0" applyNumberFormat="1" applyFont="1" applyFill="1" applyBorder="1" applyAlignment="1" applyProtection="1">
      <alignment vertical="center" wrapText="1"/>
      <protection locked="0"/>
    </xf>
    <xf numFmtId="43" fontId="41" fillId="3" borderId="4" xfId="0" applyNumberFormat="1" applyFont="1" applyFill="1" applyBorder="1" applyAlignment="1" applyProtection="1">
      <alignment vertical="center" wrapText="1"/>
      <protection locked="0"/>
    </xf>
    <xf numFmtId="0" fontId="40" fillId="6" borderId="15" xfId="0" applyFont="1" applyFill="1" applyBorder="1" applyAlignment="1" applyProtection="1">
      <alignment vertical="center" wrapText="1"/>
      <protection locked="0"/>
    </xf>
    <xf numFmtId="2" fontId="40" fillId="0" borderId="10" xfId="0" applyNumberFormat="1" applyFont="1" applyBorder="1" applyAlignment="1" applyProtection="1">
      <alignment vertical="center" wrapText="1"/>
      <protection locked="0"/>
    </xf>
    <xf numFmtId="2" fontId="40" fillId="0" borderId="15" xfId="0" applyNumberFormat="1" applyFont="1" applyBorder="1" applyAlignment="1" applyProtection="1">
      <alignment vertical="center" wrapText="1"/>
      <protection locked="0"/>
    </xf>
    <xf numFmtId="2" fontId="40" fillId="0" borderId="6" xfId="0" applyNumberFormat="1" applyFont="1" applyBorder="1" applyAlignment="1" applyProtection="1">
      <alignment vertical="center" wrapText="1"/>
      <protection locked="0"/>
    </xf>
    <xf numFmtId="0" fontId="40" fillId="0" borderId="13" xfId="0" applyFont="1" applyBorder="1" applyAlignment="1" applyProtection="1">
      <alignment vertical="center" wrapText="1"/>
      <protection locked="0"/>
    </xf>
    <xf numFmtId="0" fontId="9" fillId="0" borderId="0" xfId="0" applyFont="1" applyProtection="1">
      <protection hidden="1"/>
    </xf>
    <xf numFmtId="0" fontId="9" fillId="0" borderId="0" xfId="0" applyFont="1" applyFill="1" applyProtection="1">
      <protection hidden="1"/>
    </xf>
    <xf numFmtId="0" fontId="9" fillId="0" borderId="0" xfId="0" applyFont="1" applyAlignment="1" applyProtection="1">
      <alignment horizontal="center" vertical="center"/>
      <protection hidden="1"/>
    </xf>
    <xf numFmtId="0" fontId="9" fillId="0" borderId="0" xfId="0" applyFont="1" applyFill="1" applyBorder="1" applyAlignment="1" applyProtection="1">
      <alignment vertical="center" wrapText="1"/>
      <protection hidden="1"/>
    </xf>
    <xf numFmtId="0" fontId="9" fillId="0" borderId="0" xfId="0" applyFont="1" applyAlignment="1" applyProtection="1">
      <alignment horizontal="center"/>
      <protection hidden="1"/>
    </xf>
    <xf numFmtId="0" fontId="40" fillId="0" borderId="0" xfId="0" applyFont="1" applyAlignment="1" applyProtection="1">
      <alignment horizontal="center"/>
      <protection hidden="1"/>
    </xf>
    <xf numFmtId="0" fontId="40" fillId="14" borderId="8" xfId="0" applyFont="1" applyFill="1" applyBorder="1" applyProtection="1">
      <protection hidden="1"/>
    </xf>
    <xf numFmtId="0" fontId="41" fillId="15" borderId="8" xfId="0" applyFont="1" applyFill="1" applyBorder="1" applyAlignment="1" applyProtection="1">
      <alignment horizontal="center"/>
      <protection hidden="1"/>
    </xf>
    <xf numFmtId="0" fontId="41" fillId="5" borderId="13" xfId="0" applyFont="1" applyFill="1" applyBorder="1" applyAlignment="1" applyProtection="1">
      <alignment horizontal="center" vertical="center"/>
      <protection hidden="1"/>
    </xf>
    <xf numFmtId="0" fontId="41" fillId="0" borderId="13" xfId="0" applyFont="1" applyFill="1" applyBorder="1" applyAlignment="1" applyProtection="1">
      <alignment horizontal="center" vertical="center"/>
      <protection hidden="1"/>
    </xf>
    <xf numFmtId="0" fontId="41" fillId="0" borderId="13" xfId="0" applyFont="1" applyBorder="1" applyAlignment="1" applyProtection="1">
      <alignment horizontal="center" vertical="center"/>
      <protection hidden="1"/>
    </xf>
    <xf numFmtId="0" fontId="41" fillId="5" borderId="8" xfId="0" applyFont="1" applyFill="1" applyBorder="1" applyAlignment="1" applyProtection="1">
      <alignment horizontal="center" vertical="center"/>
      <protection hidden="1"/>
    </xf>
    <xf numFmtId="0" fontId="41" fillId="0" borderId="0" xfId="0" applyFont="1" applyFill="1" applyBorder="1" applyAlignment="1" applyProtection="1">
      <protection hidden="1"/>
    </xf>
    <xf numFmtId="0" fontId="41" fillId="0" borderId="0" xfId="0" applyFont="1" applyBorder="1" applyAlignment="1" applyProtection="1">
      <protection hidden="1"/>
    </xf>
    <xf numFmtId="169" fontId="48" fillId="15" borderId="55" xfId="22" applyNumberFormat="1" applyFont="1" applyFill="1" applyBorder="1" applyAlignment="1" applyProtection="1">
      <alignment horizontal="center" vertical="center"/>
      <protection hidden="1"/>
    </xf>
    <xf numFmtId="168" fontId="45" fillId="0" borderId="57" xfId="22" applyFont="1" applyBorder="1" applyAlignment="1" applyProtection="1">
      <alignment horizontal="center" vertical="center"/>
      <protection hidden="1"/>
    </xf>
    <xf numFmtId="168" fontId="45" fillId="0" borderId="58" xfId="22" applyFont="1" applyBorder="1" applyAlignment="1" applyProtection="1">
      <alignment horizontal="center" vertical="center"/>
      <protection hidden="1"/>
    </xf>
    <xf numFmtId="168" fontId="45" fillId="0" borderId="19" xfId="22" applyFont="1" applyBorder="1" applyAlignment="1" applyProtection="1">
      <alignment horizontal="center" vertical="center"/>
      <protection hidden="1"/>
    </xf>
    <xf numFmtId="168" fontId="48" fillId="0" borderId="59" xfId="22" applyFont="1" applyBorder="1" applyAlignment="1" applyProtection="1">
      <alignment horizontal="center" vertical="center"/>
      <protection hidden="1"/>
    </xf>
    <xf numFmtId="0" fontId="41" fillId="0" borderId="0" xfId="0" applyFont="1" applyBorder="1" applyAlignment="1" applyProtection="1">
      <alignment horizontal="center"/>
      <protection hidden="1"/>
    </xf>
    <xf numFmtId="169" fontId="48" fillId="15" borderId="60" xfId="22" applyNumberFormat="1" applyFont="1" applyFill="1" applyBorder="1" applyAlignment="1" applyProtection="1">
      <alignment horizontal="center" vertical="center"/>
      <protection hidden="1"/>
    </xf>
    <xf numFmtId="168" fontId="45" fillId="0" borderId="6" xfId="22" applyFont="1" applyBorder="1" applyAlignment="1" applyProtection="1">
      <alignment horizontal="center" vertical="center"/>
      <protection hidden="1"/>
    </xf>
    <xf numFmtId="0" fontId="41" fillId="12" borderId="42" xfId="0" applyFont="1" applyFill="1" applyBorder="1" applyAlignment="1" applyProtection="1">
      <alignment vertical="center"/>
      <protection hidden="1"/>
    </xf>
    <xf numFmtId="0" fontId="41" fillId="12" borderId="10" xfId="0" applyFont="1" applyFill="1" applyBorder="1" applyAlignment="1" applyProtection="1">
      <alignment vertical="center"/>
      <protection hidden="1"/>
    </xf>
    <xf numFmtId="168" fontId="45" fillId="0" borderId="9" xfId="22" applyFont="1" applyBorder="1" applyAlignment="1" applyProtection="1">
      <alignment horizontal="center" vertical="center"/>
      <protection hidden="1"/>
    </xf>
    <xf numFmtId="168" fontId="48" fillId="0" borderId="9" xfId="22" applyFont="1" applyBorder="1" applyAlignment="1" applyProtection="1">
      <alignment horizontal="center" vertical="center"/>
      <protection hidden="1"/>
    </xf>
    <xf numFmtId="164" fontId="72" fillId="0" borderId="8" xfId="2" applyFont="1" applyBorder="1" applyAlignment="1" applyProtection="1">
      <alignment vertical="center"/>
      <protection hidden="1"/>
    </xf>
    <xf numFmtId="164" fontId="72" fillId="0" borderId="8" xfId="2" applyFont="1" applyBorder="1" applyAlignment="1" applyProtection="1">
      <alignment horizontal="right" vertical="center" wrapText="1"/>
      <protection hidden="1"/>
    </xf>
    <xf numFmtId="41" fontId="51" fillId="0" borderId="56" xfId="0" applyNumberFormat="1" applyFont="1" applyBorder="1" applyAlignment="1" applyProtection="1">
      <alignment vertical="center"/>
      <protection hidden="1"/>
    </xf>
    <xf numFmtId="169" fontId="48" fillId="15" borderId="61" xfId="22" applyNumberFormat="1" applyFont="1" applyFill="1" applyBorder="1" applyAlignment="1" applyProtection="1">
      <alignment horizontal="center" vertical="center"/>
      <protection hidden="1"/>
    </xf>
    <xf numFmtId="0" fontId="41" fillId="15" borderId="20" xfId="0" applyNumberFormat="1" applyFont="1" applyFill="1" applyBorder="1" applyAlignment="1" applyProtection="1">
      <alignment horizontal="center" vertical="center" wrapText="1"/>
      <protection hidden="1"/>
    </xf>
    <xf numFmtId="0" fontId="40" fillId="0" borderId="42" xfId="0" applyFont="1" applyFill="1" applyBorder="1" applyAlignment="1" applyProtection="1">
      <protection hidden="1"/>
    </xf>
    <xf numFmtId="10" fontId="40" fillId="5" borderId="11" xfId="0" applyNumberFormat="1" applyFont="1" applyFill="1" applyBorder="1" applyAlignment="1" applyProtection="1">
      <alignment horizontal="center" vertical="center"/>
      <protection hidden="1"/>
    </xf>
    <xf numFmtId="10" fontId="40" fillId="5" borderId="15" xfId="0" applyNumberFormat="1" applyFont="1" applyFill="1" applyBorder="1" applyAlignment="1" applyProtection="1">
      <alignment horizontal="center" vertical="center"/>
      <protection hidden="1"/>
    </xf>
    <xf numFmtId="10" fontId="40" fillId="5" borderId="6" xfId="0" applyNumberFormat="1" applyFont="1" applyFill="1" applyBorder="1" applyAlignment="1" applyProtection="1">
      <alignment horizontal="center" vertical="center"/>
      <protection hidden="1"/>
    </xf>
    <xf numFmtId="10" fontId="40" fillId="0" borderId="18" xfId="0" applyNumberFormat="1" applyFont="1" applyBorder="1" applyAlignment="1" applyProtection="1">
      <alignment horizontal="center" vertical="center"/>
      <protection hidden="1"/>
    </xf>
    <xf numFmtId="0" fontId="40" fillId="0" borderId="21" xfId="0" applyFont="1" applyBorder="1" applyAlignment="1" applyProtection="1">
      <alignment horizontal="center" vertical="center"/>
      <protection hidden="1"/>
    </xf>
    <xf numFmtId="0" fontId="40" fillId="0" borderId="21" xfId="0" applyFont="1" applyBorder="1" applyAlignment="1" applyProtection="1">
      <alignment horizontal="center"/>
      <protection hidden="1"/>
    </xf>
    <xf numFmtId="0" fontId="40" fillId="0" borderId="49" xfId="0" applyFont="1" applyBorder="1" applyAlignment="1" applyProtection="1">
      <alignment horizontal="center" vertical="center"/>
      <protection hidden="1"/>
    </xf>
    <xf numFmtId="0" fontId="40" fillId="0" borderId="0" xfId="0" applyFont="1" applyFill="1" applyBorder="1" applyProtection="1">
      <protection hidden="1"/>
    </xf>
    <xf numFmtId="0" fontId="40" fillId="0" borderId="0" xfId="0" applyFont="1" applyBorder="1" applyAlignment="1" applyProtection="1">
      <alignment horizontal="center"/>
      <protection hidden="1"/>
    </xf>
    <xf numFmtId="10" fontId="40" fillId="5" borderId="0" xfId="0" applyNumberFormat="1" applyFont="1" applyFill="1" applyBorder="1" applyAlignment="1" applyProtection="1">
      <alignment horizontal="center" vertical="center"/>
      <protection hidden="1"/>
    </xf>
    <xf numFmtId="10" fontId="40" fillId="0" borderId="0" xfId="0" applyNumberFormat="1" applyFont="1" applyBorder="1" applyAlignment="1" applyProtection="1">
      <alignment horizontal="center" vertical="center"/>
      <protection hidden="1"/>
    </xf>
    <xf numFmtId="0" fontId="40" fillId="0" borderId="0" xfId="0" applyNumberFormat="1" applyFont="1" applyBorder="1" applyAlignment="1" applyProtection="1">
      <alignment horizontal="center" vertical="center"/>
      <protection hidden="1"/>
    </xf>
    <xf numFmtId="10" fontId="40" fillId="0" borderId="0" xfId="0" applyNumberFormat="1" applyFont="1" applyFill="1" applyBorder="1" applyAlignment="1" applyProtection="1">
      <alignment horizontal="center" vertical="center"/>
      <protection hidden="1"/>
    </xf>
    <xf numFmtId="0" fontId="53" fillId="0" borderId="0" xfId="0" applyFont="1" applyAlignment="1" applyProtection="1">
      <alignment vertical="center"/>
      <protection hidden="1"/>
    </xf>
    <xf numFmtId="179" fontId="53" fillId="0" borderId="0" xfId="1" applyNumberFormat="1" applyFont="1" applyAlignment="1" applyProtection="1">
      <alignment vertical="center"/>
      <protection hidden="1"/>
    </xf>
    <xf numFmtId="180" fontId="53" fillId="0" borderId="0" xfId="1" applyNumberFormat="1" applyFont="1" applyAlignment="1" applyProtection="1">
      <alignment vertical="center"/>
      <protection hidden="1"/>
    </xf>
    <xf numFmtId="37" fontId="48" fillId="4" borderId="62" xfId="22" applyNumberFormat="1" applyFont="1" applyFill="1" applyBorder="1" applyAlignment="1" applyProtection="1">
      <alignment vertical="center"/>
      <protection hidden="1"/>
    </xf>
    <xf numFmtId="37" fontId="48" fillId="4" borderId="45" xfId="22" applyNumberFormat="1" applyFont="1" applyFill="1" applyBorder="1" applyAlignment="1" applyProtection="1">
      <alignment vertical="center"/>
      <protection hidden="1"/>
    </xf>
    <xf numFmtId="37" fontId="48" fillId="4" borderId="63" xfId="22" applyNumberFormat="1" applyFont="1" applyFill="1" applyBorder="1" applyAlignment="1" applyProtection="1">
      <alignment vertical="center"/>
      <protection hidden="1"/>
    </xf>
    <xf numFmtId="168" fontId="45" fillId="0" borderId="4" xfId="22" applyFont="1" applyBorder="1" applyAlignment="1" applyProtection="1">
      <alignment vertical="center"/>
      <protection hidden="1"/>
    </xf>
    <xf numFmtId="168" fontId="45" fillId="0" borderId="0" xfId="22" applyFont="1" applyBorder="1" applyAlignment="1" applyProtection="1">
      <alignment vertical="center"/>
      <protection hidden="1"/>
    </xf>
    <xf numFmtId="0" fontId="40" fillId="0" borderId="5" xfId="0" applyFont="1" applyBorder="1" applyProtection="1">
      <protection hidden="1"/>
    </xf>
    <xf numFmtId="168" fontId="48" fillId="0" borderId="4" xfId="22" quotePrefix="1" applyFont="1" applyBorder="1" applyAlignment="1" applyProtection="1">
      <alignment horizontal="left" vertical="center"/>
      <protection hidden="1"/>
    </xf>
    <xf numFmtId="168" fontId="49" fillId="0" borderId="0" xfId="22" quotePrefix="1" applyFont="1" applyBorder="1" applyAlignment="1" applyProtection="1">
      <alignment horizontal="left" vertical="center"/>
      <protection hidden="1"/>
    </xf>
    <xf numFmtId="168" fontId="45" fillId="0" borderId="0" xfId="22" applyFont="1" applyBorder="1" applyAlignment="1" applyProtection="1">
      <alignment horizontal="left" vertical="center"/>
      <protection hidden="1"/>
    </xf>
    <xf numFmtId="37" fontId="43" fillId="0" borderId="0" xfId="22" applyNumberFormat="1" applyFont="1" applyBorder="1" applyAlignment="1" applyProtection="1">
      <alignment horizontal="center" vertical="center"/>
      <protection hidden="1"/>
    </xf>
    <xf numFmtId="168" fontId="45" fillId="0" borderId="0" xfId="22" quotePrefix="1" applyFont="1" applyBorder="1" applyAlignment="1" applyProtection="1">
      <alignment horizontal="left" vertical="center"/>
      <protection hidden="1"/>
    </xf>
    <xf numFmtId="39" fontId="45" fillId="0" borderId="0" xfId="22" applyNumberFormat="1" applyFont="1" applyBorder="1" applyAlignment="1" applyProtection="1">
      <alignment horizontal="fill" vertical="center"/>
      <protection hidden="1"/>
    </xf>
    <xf numFmtId="39" fontId="45" fillId="0" borderId="0" xfId="22" applyNumberFormat="1" applyFont="1" applyBorder="1" applyAlignment="1" applyProtection="1">
      <alignment vertical="center"/>
      <protection hidden="1"/>
    </xf>
    <xf numFmtId="37" fontId="43" fillId="16" borderId="0" xfId="22" applyNumberFormat="1" applyFont="1" applyFill="1" applyBorder="1" applyAlignment="1" applyProtection="1">
      <alignment horizontal="center" vertical="center"/>
      <protection hidden="1"/>
    </xf>
    <xf numFmtId="39" fontId="43" fillId="0" borderId="0" xfId="22" applyNumberFormat="1" applyFont="1" applyBorder="1" applyAlignment="1" applyProtection="1">
      <alignment horizontal="fill" vertical="center"/>
      <protection hidden="1"/>
    </xf>
    <xf numFmtId="39" fontId="43" fillId="0" borderId="0" xfId="22" applyNumberFormat="1" applyFont="1" applyBorder="1" applyAlignment="1" applyProtection="1">
      <alignment vertical="center"/>
      <protection hidden="1"/>
    </xf>
    <xf numFmtId="168" fontId="48" fillId="0" borderId="4" xfId="22" applyFont="1" applyBorder="1" applyAlignment="1" applyProtection="1">
      <alignment horizontal="left" vertical="center"/>
      <protection hidden="1"/>
    </xf>
    <xf numFmtId="168" fontId="45" fillId="0" borderId="4" xfId="22" quotePrefix="1" applyFont="1" applyBorder="1" applyAlignment="1" applyProtection="1">
      <alignment horizontal="left" vertical="center"/>
      <protection hidden="1"/>
    </xf>
    <xf numFmtId="168" fontId="45" fillId="0" borderId="0" xfId="22" applyFont="1" applyBorder="1" applyAlignment="1" applyProtection="1">
      <alignment horizontal="right" vertical="center"/>
      <protection hidden="1"/>
    </xf>
    <xf numFmtId="39" fontId="43" fillId="0" borderId="0" xfId="22" applyNumberFormat="1" applyFont="1" applyBorder="1" applyAlignment="1" applyProtection="1">
      <alignment horizontal="right" vertical="center"/>
      <protection hidden="1"/>
    </xf>
    <xf numFmtId="0" fontId="43" fillId="0" borderId="0" xfId="0" applyFont="1" applyBorder="1" applyProtection="1">
      <protection hidden="1"/>
    </xf>
    <xf numFmtId="168" fontId="45" fillId="0" borderId="5" xfId="22" applyFont="1" applyBorder="1" applyAlignment="1" applyProtection="1">
      <alignment vertical="center"/>
      <protection hidden="1"/>
    </xf>
    <xf numFmtId="39" fontId="50" fillId="0" borderId="64" xfId="22" applyNumberFormat="1" applyFont="1" applyBorder="1" applyAlignment="1" applyProtection="1">
      <alignment horizontal="right" vertical="center"/>
      <protection hidden="1"/>
    </xf>
    <xf numFmtId="0" fontId="50" fillId="0" borderId="0" xfId="0" applyFont="1" applyBorder="1" applyProtection="1">
      <protection hidden="1"/>
    </xf>
    <xf numFmtId="168" fontId="45" fillId="0" borderId="5" xfId="22" quotePrefix="1" applyFont="1" applyBorder="1" applyAlignment="1" applyProtection="1">
      <alignment horizontal="left" vertical="center"/>
      <protection hidden="1"/>
    </xf>
    <xf numFmtId="168" fontId="45" fillId="0" borderId="10" xfId="22" applyFont="1" applyBorder="1" applyAlignment="1" applyProtection="1">
      <alignment vertical="center"/>
      <protection hidden="1"/>
    </xf>
    <xf numFmtId="0" fontId="40" fillId="0" borderId="10" xfId="0" applyFont="1" applyBorder="1" applyProtection="1">
      <protection hidden="1"/>
    </xf>
    <xf numFmtId="168" fontId="45" fillId="0" borderId="11" xfId="22" applyFont="1" applyBorder="1" applyAlignment="1" applyProtection="1">
      <alignment vertical="center"/>
      <protection hidden="1"/>
    </xf>
    <xf numFmtId="168" fontId="45" fillId="0" borderId="3" xfId="22" quotePrefix="1" applyFont="1" applyBorder="1" applyAlignment="1" applyProtection="1">
      <alignment horizontal="left" vertical="center"/>
      <protection hidden="1"/>
    </xf>
    <xf numFmtId="168" fontId="45" fillId="0" borderId="7" xfId="22" applyFont="1" applyBorder="1" applyAlignment="1" applyProtection="1">
      <alignment horizontal="fill" vertical="center"/>
      <protection hidden="1"/>
    </xf>
    <xf numFmtId="168" fontId="45" fillId="0" borderId="0" xfId="22" applyFont="1" applyBorder="1" applyAlignment="1" applyProtection="1">
      <alignment horizontal="fill" vertical="center"/>
      <protection hidden="1"/>
    </xf>
    <xf numFmtId="168" fontId="45" fillId="0" borderId="0" xfId="22" applyFont="1" applyBorder="1" applyAlignment="1" applyProtection="1">
      <alignment horizontal="center" vertical="center"/>
      <protection hidden="1"/>
    </xf>
    <xf numFmtId="168" fontId="45" fillId="0" borderId="0" xfId="22" quotePrefix="1" applyFont="1" applyBorder="1" applyAlignment="1" applyProtection="1">
      <alignment horizontal="right" vertical="center"/>
      <protection hidden="1"/>
    </xf>
    <xf numFmtId="168" fontId="45" fillId="0" borderId="5" xfId="22" applyFont="1" applyBorder="1" applyAlignment="1" applyProtection="1">
      <alignment horizontal="fill" vertical="center"/>
      <protection hidden="1"/>
    </xf>
    <xf numFmtId="39" fontId="45" fillId="0" borderId="5" xfId="22" applyNumberFormat="1" applyFont="1" applyBorder="1" applyAlignment="1" applyProtection="1">
      <alignment vertical="center"/>
      <protection hidden="1"/>
    </xf>
    <xf numFmtId="37" fontId="45" fillId="0" borderId="0" xfId="22" applyNumberFormat="1" applyFont="1" applyBorder="1" applyAlignment="1" applyProtection="1">
      <alignment horizontal="left" vertical="center"/>
      <protection hidden="1"/>
    </xf>
    <xf numFmtId="39" fontId="45" fillId="0" borderId="5" xfId="22" applyNumberFormat="1" applyFont="1" applyBorder="1" applyAlignment="1" applyProtection="1">
      <alignment horizontal="right" vertical="center"/>
      <protection hidden="1"/>
    </xf>
    <xf numFmtId="39" fontId="45" fillId="0" borderId="0" xfId="22" applyNumberFormat="1" applyFont="1" applyBorder="1" applyAlignment="1" applyProtection="1">
      <alignment horizontal="right" vertical="center"/>
      <protection hidden="1"/>
    </xf>
    <xf numFmtId="37" fontId="43" fillId="0" borderId="0" xfId="22" applyNumberFormat="1" applyFont="1" applyBorder="1" applyAlignment="1" applyProtection="1">
      <alignment vertical="center"/>
      <protection hidden="1"/>
    </xf>
    <xf numFmtId="168" fontId="54" fillId="26" borderId="50" xfId="22" applyFont="1" applyFill="1" applyBorder="1" applyAlignment="1" applyProtection="1">
      <alignment horizontal="left" vertical="center"/>
      <protection hidden="1"/>
    </xf>
    <xf numFmtId="168" fontId="45" fillId="26" borderId="52" xfId="22" applyFont="1" applyFill="1" applyBorder="1" applyAlignment="1" applyProtection="1">
      <alignment horizontal="fill" vertical="center"/>
      <protection hidden="1"/>
    </xf>
    <xf numFmtId="168" fontId="45" fillId="26" borderId="52" xfId="22" applyFont="1" applyFill="1" applyBorder="1" applyAlignment="1" applyProtection="1">
      <alignment vertical="center"/>
      <protection hidden="1"/>
    </xf>
    <xf numFmtId="0" fontId="45" fillId="26" borderId="0" xfId="0" applyFont="1" applyFill="1" applyBorder="1" applyAlignment="1" applyProtection="1">
      <alignment vertical="center"/>
      <protection hidden="1"/>
    </xf>
    <xf numFmtId="168" fontId="45" fillId="26" borderId="66" xfId="22" applyFont="1" applyFill="1" applyBorder="1" applyAlignment="1" applyProtection="1">
      <alignment vertical="center"/>
      <protection hidden="1"/>
    </xf>
    <xf numFmtId="168" fontId="45" fillId="26" borderId="0" xfId="22" applyFont="1" applyFill="1" applyBorder="1" applyAlignment="1" applyProtection="1">
      <alignment vertical="center"/>
      <protection hidden="1"/>
    </xf>
    <xf numFmtId="0" fontId="45" fillId="26" borderId="47" xfId="0" applyFont="1" applyFill="1" applyBorder="1" applyAlignment="1" applyProtection="1">
      <alignment vertical="center"/>
      <protection hidden="1"/>
    </xf>
    <xf numFmtId="168" fontId="45" fillId="26" borderId="66" xfId="22" applyFont="1" applyFill="1" applyBorder="1" applyAlignment="1" applyProtection="1">
      <alignment horizontal="center" vertical="top"/>
      <protection hidden="1"/>
    </xf>
    <xf numFmtId="0" fontId="45" fillId="26" borderId="0" xfId="0" applyFont="1" applyFill="1" applyBorder="1" applyAlignment="1" applyProtection="1">
      <alignment vertical="justify"/>
      <protection hidden="1"/>
    </xf>
    <xf numFmtId="0" fontId="45" fillId="26" borderId="47" xfId="0" applyFont="1" applyFill="1" applyBorder="1" applyAlignment="1" applyProtection="1">
      <alignment vertical="justify"/>
      <protection hidden="1"/>
    </xf>
    <xf numFmtId="168" fontId="45" fillId="26" borderId="67" xfId="22" applyFont="1" applyFill="1" applyBorder="1" applyAlignment="1" applyProtection="1">
      <alignment vertical="center"/>
      <protection hidden="1"/>
    </xf>
    <xf numFmtId="0" fontId="45" fillId="26" borderId="64" xfId="0" applyFont="1" applyFill="1" applyBorder="1" applyAlignment="1" applyProtection="1">
      <alignment vertical="justify"/>
      <protection hidden="1"/>
    </xf>
    <xf numFmtId="0" fontId="45" fillId="26" borderId="68" xfId="0" applyFont="1" applyFill="1" applyBorder="1" applyAlignment="1" applyProtection="1">
      <alignment vertical="justify"/>
      <protection hidden="1"/>
    </xf>
    <xf numFmtId="0" fontId="55" fillId="0" borderId="0" xfId="0" applyFont="1" applyFill="1" applyBorder="1" applyAlignment="1" applyProtection="1">
      <alignment vertical="center" wrapText="1"/>
      <protection hidden="1"/>
    </xf>
    <xf numFmtId="0" fontId="56" fillId="0" borderId="0" xfId="0" applyFont="1" applyFill="1" applyBorder="1" applyAlignment="1" applyProtection="1">
      <alignment vertical="center" wrapText="1"/>
      <protection hidden="1"/>
    </xf>
    <xf numFmtId="0" fontId="48" fillId="0" borderId="0" xfId="27" applyFont="1" applyFill="1" applyBorder="1" applyAlignment="1" applyProtection="1">
      <alignment vertical="center" wrapText="1"/>
      <protection hidden="1"/>
    </xf>
    <xf numFmtId="49" fontId="41" fillId="0" borderId="0" xfId="0" applyNumberFormat="1" applyFont="1" applyFill="1" applyBorder="1" applyAlignment="1" applyProtection="1">
      <alignment vertical="center" wrapText="1"/>
      <protection hidden="1"/>
    </xf>
    <xf numFmtId="0" fontId="41" fillId="0" borderId="0" xfId="0" applyFont="1" applyFill="1" applyBorder="1" applyAlignment="1" applyProtection="1">
      <alignment vertical="center" wrapText="1"/>
      <protection hidden="1"/>
    </xf>
    <xf numFmtId="0" fontId="55" fillId="0" borderId="0" xfId="0" applyFont="1" applyAlignment="1" applyProtection="1">
      <alignment vertical="center" wrapText="1"/>
      <protection hidden="1"/>
    </xf>
    <xf numFmtId="0" fontId="56" fillId="0" borderId="0" xfId="0" applyFont="1" applyBorder="1" applyAlignment="1" applyProtection="1">
      <alignment vertical="center" wrapText="1"/>
      <protection hidden="1"/>
    </xf>
    <xf numFmtId="0" fontId="48" fillId="0" borderId="10" xfId="27" applyFont="1" applyBorder="1" applyAlignment="1" applyProtection="1">
      <alignment vertical="center" wrapText="1"/>
      <protection hidden="1"/>
    </xf>
    <xf numFmtId="49" fontId="41" fillId="0" borderId="9" xfId="0" applyNumberFormat="1" applyFont="1" applyBorder="1" applyAlignment="1" applyProtection="1">
      <alignment vertical="center" wrapText="1"/>
      <protection hidden="1"/>
    </xf>
    <xf numFmtId="49" fontId="41" fillId="0" borderId="22" xfId="0" applyNumberFormat="1" applyFont="1" applyBorder="1" applyAlignment="1" applyProtection="1">
      <alignment vertical="center" wrapText="1"/>
      <protection hidden="1"/>
    </xf>
    <xf numFmtId="0" fontId="41" fillId="0" borderId="16" xfId="0" applyFont="1" applyBorder="1" applyAlignment="1" applyProtection="1">
      <alignment vertical="center" wrapText="1"/>
      <protection hidden="1"/>
    </xf>
    <xf numFmtId="0" fontId="41" fillId="0" borderId="9" xfId="0" applyFont="1" applyBorder="1" applyAlignment="1" applyProtection="1">
      <alignment vertical="center"/>
      <protection hidden="1"/>
    </xf>
    <xf numFmtId="0" fontId="41" fillId="0" borderId="22" xfId="0" applyFont="1" applyBorder="1" applyAlignment="1" applyProtection="1">
      <alignment vertical="center"/>
      <protection hidden="1"/>
    </xf>
    <xf numFmtId="0" fontId="41" fillId="0" borderId="9" xfId="0" applyFont="1" applyBorder="1" applyAlignment="1" applyProtection="1">
      <alignment vertical="center" wrapText="1"/>
      <protection hidden="1"/>
    </xf>
    <xf numFmtId="0" fontId="41" fillId="0" borderId="22" xfId="0" applyFont="1" applyBorder="1" applyAlignment="1" applyProtection="1">
      <alignment vertical="center" wrapText="1"/>
      <protection hidden="1"/>
    </xf>
    <xf numFmtId="0" fontId="41" fillId="6" borderId="9" xfId="0" applyFont="1" applyFill="1" applyBorder="1" applyAlignment="1" applyProtection="1">
      <alignment vertical="center" wrapText="1"/>
      <protection hidden="1"/>
    </xf>
    <xf numFmtId="0" fontId="41" fillId="6" borderId="12" xfId="0" applyFont="1" applyFill="1" applyBorder="1" applyAlignment="1" applyProtection="1">
      <alignment vertical="center" wrapText="1"/>
      <protection hidden="1"/>
    </xf>
    <xf numFmtId="0" fontId="41" fillId="6" borderId="22" xfId="0" applyFont="1" applyFill="1" applyBorder="1" applyAlignment="1" applyProtection="1">
      <alignment vertical="center" wrapText="1"/>
      <protection hidden="1"/>
    </xf>
    <xf numFmtId="0" fontId="41" fillId="3" borderId="3" xfId="0" applyFont="1" applyFill="1" applyBorder="1" applyAlignment="1" applyProtection="1">
      <alignment vertical="center" wrapText="1"/>
      <protection hidden="1"/>
    </xf>
    <xf numFmtId="0" fontId="41" fillId="3" borderId="7" xfId="0" applyFont="1" applyFill="1" applyBorder="1" applyAlignment="1" applyProtection="1">
      <alignment vertical="center" wrapText="1"/>
      <protection hidden="1"/>
    </xf>
    <xf numFmtId="0" fontId="41" fillId="3" borderId="16" xfId="0" applyFont="1" applyFill="1" applyBorder="1" applyAlignment="1" applyProtection="1">
      <alignment vertical="center" wrapText="1"/>
      <protection hidden="1"/>
    </xf>
    <xf numFmtId="43" fontId="41" fillId="3" borderId="3" xfId="0" applyNumberFormat="1" applyFont="1" applyFill="1" applyBorder="1" applyAlignment="1" applyProtection="1">
      <alignment vertical="center" wrapText="1"/>
      <protection hidden="1"/>
    </xf>
    <xf numFmtId="43" fontId="41" fillId="3" borderId="16" xfId="0" applyNumberFormat="1" applyFont="1" applyFill="1" applyBorder="1" applyAlignment="1" applyProtection="1">
      <alignment vertical="center" wrapText="1"/>
      <protection hidden="1"/>
    </xf>
    <xf numFmtId="9" fontId="40" fillId="0" borderId="0" xfId="0" applyNumberFormat="1" applyFont="1" applyBorder="1" applyAlignment="1" applyProtection="1">
      <alignment vertical="center" wrapText="1"/>
      <protection hidden="1"/>
    </xf>
    <xf numFmtId="0" fontId="41" fillId="0" borderId="0" xfId="0" applyFont="1" applyBorder="1" applyAlignment="1" applyProtection="1">
      <alignment horizontal="right" vertical="center" wrapText="1"/>
      <protection hidden="1"/>
    </xf>
    <xf numFmtId="0" fontId="40" fillId="6" borderId="4" xfId="0" applyFont="1" applyFill="1" applyBorder="1" applyAlignment="1" applyProtection="1">
      <alignment vertical="center" wrapText="1"/>
      <protection hidden="1"/>
    </xf>
    <xf numFmtId="0" fontId="40" fillId="6" borderId="5" xfId="0" applyFont="1" applyFill="1" applyBorder="1" applyAlignment="1" applyProtection="1">
      <alignment vertical="center" wrapText="1"/>
      <protection hidden="1"/>
    </xf>
    <xf numFmtId="0" fontId="40" fillId="6" borderId="0" xfId="0" applyFont="1" applyFill="1" applyBorder="1" applyAlignment="1" applyProtection="1">
      <alignment vertical="center" wrapText="1"/>
      <protection hidden="1"/>
    </xf>
    <xf numFmtId="9" fontId="41" fillId="0" borderId="0" xfId="0" applyNumberFormat="1" applyFont="1" applyBorder="1" applyAlignment="1" applyProtection="1">
      <alignment vertical="center" wrapText="1"/>
      <protection hidden="1"/>
    </xf>
    <xf numFmtId="0" fontId="57" fillId="3" borderId="4" xfId="0" applyFont="1" applyFill="1" applyBorder="1" applyAlignment="1" applyProtection="1">
      <alignment vertical="center" wrapText="1"/>
      <protection hidden="1"/>
    </xf>
    <xf numFmtId="0" fontId="57" fillId="3" borderId="0" xfId="0" applyFont="1" applyFill="1" applyBorder="1" applyAlignment="1" applyProtection="1">
      <alignment vertical="center" wrapText="1"/>
      <protection hidden="1"/>
    </xf>
    <xf numFmtId="0" fontId="57" fillId="3" borderId="5" xfId="0" applyFont="1" applyFill="1" applyBorder="1" applyAlignment="1" applyProtection="1">
      <alignment vertical="center" wrapText="1"/>
      <protection hidden="1"/>
    </xf>
    <xf numFmtId="0" fontId="40" fillId="3" borderId="4" xfId="0" applyFont="1" applyFill="1" applyBorder="1" applyAlignment="1" applyProtection="1">
      <alignment vertical="center" wrapText="1"/>
      <protection hidden="1"/>
    </xf>
    <xf numFmtId="0" fontId="40" fillId="3" borderId="5" xfId="0" applyFont="1" applyFill="1" applyBorder="1" applyAlignment="1" applyProtection="1">
      <alignment vertical="center" wrapText="1"/>
      <protection hidden="1"/>
    </xf>
    <xf numFmtId="0" fontId="40" fillId="3" borderId="0" xfId="0" applyFont="1" applyFill="1" applyBorder="1" applyAlignment="1" applyProtection="1">
      <alignment vertical="center" wrapText="1"/>
      <protection hidden="1"/>
    </xf>
    <xf numFmtId="0" fontId="41" fillId="3" borderId="4" xfId="0" applyFont="1" applyFill="1" applyBorder="1" applyAlignment="1" applyProtection="1">
      <alignment vertical="center" wrapText="1"/>
      <protection hidden="1"/>
    </xf>
    <xf numFmtId="0" fontId="41" fillId="3" borderId="0" xfId="0" applyFont="1" applyFill="1" applyBorder="1" applyAlignment="1" applyProtection="1">
      <alignment vertical="center" wrapText="1"/>
      <protection hidden="1"/>
    </xf>
    <xf numFmtId="0" fontId="41" fillId="3" borderId="5" xfId="0" applyFont="1" applyFill="1" applyBorder="1" applyAlignment="1" applyProtection="1">
      <alignment vertical="center" wrapText="1"/>
      <protection hidden="1"/>
    </xf>
    <xf numFmtId="0" fontId="40" fillId="6" borderId="6" xfId="0" applyFont="1" applyFill="1" applyBorder="1" applyAlignment="1" applyProtection="1">
      <alignment vertical="center" wrapText="1"/>
      <protection hidden="1"/>
    </xf>
    <xf numFmtId="0" fontId="40" fillId="6" borderId="11" xfId="0" applyFont="1" applyFill="1" applyBorder="1" applyAlignment="1" applyProtection="1">
      <alignment vertical="center" wrapText="1"/>
      <protection hidden="1"/>
    </xf>
    <xf numFmtId="0" fontId="40" fillId="6" borderId="10" xfId="0" applyFont="1" applyFill="1" applyBorder="1" applyAlignment="1" applyProtection="1">
      <alignment vertical="center" wrapText="1"/>
      <protection hidden="1"/>
    </xf>
    <xf numFmtId="0" fontId="40" fillId="6" borderId="3" xfId="0" applyFont="1" applyFill="1" applyBorder="1" applyAlignment="1" applyProtection="1">
      <alignment vertical="center" wrapText="1"/>
      <protection hidden="1"/>
    </xf>
    <xf numFmtId="0" fontId="40" fillId="6" borderId="16" xfId="0" applyFont="1" applyFill="1" applyBorder="1" applyAlignment="1" applyProtection="1">
      <alignment vertical="center" wrapText="1"/>
      <protection hidden="1"/>
    </xf>
    <xf numFmtId="0" fontId="40" fillId="6" borderId="7" xfId="0" applyFont="1" applyFill="1" applyBorder="1" applyAlignment="1" applyProtection="1">
      <alignment vertical="center" wrapText="1"/>
      <protection hidden="1"/>
    </xf>
    <xf numFmtId="0" fontId="41" fillId="0" borderId="0" xfId="0" applyFont="1" applyProtection="1">
      <protection hidden="1"/>
    </xf>
    <xf numFmtId="0" fontId="8" fillId="0" borderId="0" xfId="0" applyFont="1" applyBorder="1" applyAlignment="1" applyProtection="1">
      <alignment horizontal="center" vertical="center" wrapText="1"/>
      <protection locked="0"/>
    </xf>
    <xf numFmtId="0" fontId="8" fillId="0" borderId="0" xfId="0" applyFont="1" applyBorder="1" applyAlignment="1" applyProtection="1">
      <alignment vertical="top" wrapText="1"/>
      <protection locked="0"/>
    </xf>
    <xf numFmtId="0" fontId="6" fillId="0" borderId="0" xfId="0" applyFont="1" applyBorder="1" applyAlignment="1" applyProtection="1">
      <alignment vertical="center"/>
      <protection locked="0"/>
    </xf>
    <xf numFmtId="0" fontId="6" fillId="0" borderId="0" xfId="0" applyFont="1" applyBorder="1" applyAlignment="1" applyProtection="1">
      <alignment horizontal="center" vertical="center"/>
      <protection locked="0"/>
    </xf>
    <xf numFmtId="0" fontId="9" fillId="0" borderId="4" xfId="0" applyFont="1" applyBorder="1" applyAlignment="1" applyProtection="1">
      <alignment vertical="center" wrapText="1"/>
      <protection locked="0"/>
    </xf>
    <xf numFmtId="0" fontId="9" fillId="0" borderId="0" xfId="0" applyFont="1" applyBorder="1" applyAlignment="1" applyProtection="1">
      <alignment horizontal="center" vertical="center" wrapText="1"/>
      <protection locked="0"/>
    </xf>
    <xf numFmtId="0" fontId="19" fillId="0" borderId="0" xfId="0" applyFont="1" applyBorder="1" applyAlignment="1" applyProtection="1">
      <protection locked="0"/>
    </xf>
    <xf numFmtId="0" fontId="19" fillId="0" borderId="0" xfId="0" applyFont="1" applyBorder="1" applyAlignment="1" applyProtection="1">
      <alignment horizontal="center" vertical="center"/>
      <protection locked="0"/>
    </xf>
    <xf numFmtId="2" fontId="19" fillId="0" borderId="0" xfId="0" applyNumberFormat="1" applyFont="1" applyBorder="1" applyAlignment="1" applyProtection="1">
      <alignment wrapText="1"/>
      <protection locked="0"/>
    </xf>
    <xf numFmtId="2" fontId="19" fillId="0" borderId="0" xfId="0" applyNumberFormat="1" applyFont="1" applyBorder="1" applyAlignment="1" applyProtection="1">
      <alignment horizontal="center" vertical="center" wrapText="1"/>
      <protection locked="0"/>
    </xf>
    <xf numFmtId="2" fontId="19" fillId="0" borderId="0" xfId="0" applyNumberFormat="1" applyFont="1" applyBorder="1" applyAlignment="1" applyProtection="1">
      <alignment horizont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vertical="center" wrapText="1"/>
      <protection locked="0"/>
    </xf>
    <xf numFmtId="0" fontId="7" fillId="0" borderId="0" xfId="0" applyFont="1" applyAlignment="1" applyProtection="1">
      <alignment vertical="center" wrapText="1"/>
      <protection locked="0"/>
    </xf>
    <xf numFmtId="0" fontId="13" fillId="0" borderId="0" xfId="0" applyFont="1" applyAlignment="1" applyProtection="1">
      <alignment horizontal="center" vertical="center" wrapText="1"/>
      <protection locked="0"/>
    </xf>
    <xf numFmtId="0" fontId="13" fillId="0" borderId="0" xfId="0" applyFont="1" applyAlignment="1" applyProtection="1">
      <alignment vertical="center" wrapText="1"/>
      <protection locked="0"/>
    </xf>
    <xf numFmtId="0" fontId="13" fillId="0" borderId="0" xfId="0" applyFont="1" applyFill="1" applyBorder="1" applyAlignment="1" applyProtection="1">
      <alignment vertical="center" wrapText="1"/>
      <protection locked="0"/>
    </xf>
    <xf numFmtId="0" fontId="9" fillId="0" borderId="0" xfId="0" applyFont="1" applyFill="1" applyBorder="1" applyAlignment="1" applyProtection="1">
      <alignment horizontal="center" vertical="center" wrapText="1"/>
      <protection locked="0"/>
    </xf>
    <xf numFmtId="0" fontId="9" fillId="0" borderId="0" xfId="0" applyFont="1" applyFill="1" applyBorder="1" applyAlignment="1" applyProtection="1">
      <alignment vertical="center" wrapText="1"/>
      <protection locked="0"/>
    </xf>
    <xf numFmtId="0" fontId="10" fillId="0" borderId="0" xfId="0" applyFont="1" applyFill="1" applyBorder="1" applyAlignment="1" applyProtection="1">
      <protection locked="0"/>
    </xf>
    <xf numFmtId="167" fontId="14" fillId="0" borderId="0" xfId="0" applyNumberFormat="1" applyFont="1" applyBorder="1" applyAlignment="1" applyProtection="1">
      <protection locked="0"/>
    </xf>
    <xf numFmtId="2" fontId="14" fillId="0" borderId="0" xfId="0" applyNumberFormat="1" applyFont="1" applyBorder="1" applyAlignment="1" applyProtection="1">
      <protection locked="0"/>
    </xf>
    <xf numFmtId="0" fontId="6" fillId="0" borderId="0" xfId="0" applyFont="1" applyAlignment="1" applyProtection="1">
      <alignment horizontal="center" vertical="center"/>
      <protection locked="0"/>
    </xf>
    <xf numFmtId="0" fontId="6" fillId="0" borderId="0" xfId="0" applyFont="1" applyAlignment="1" applyProtection="1">
      <protection locked="0"/>
    </xf>
    <xf numFmtId="0" fontId="6" fillId="0" borderId="0" xfId="0" applyFont="1" applyFill="1" applyAlignment="1" applyProtection="1">
      <protection locked="0"/>
    </xf>
    <xf numFmtId="0" fontId="9" fillId="0" borderId="0" xfId="0" applyFont="1" applyFill="1" applyAlignment="1" applyProtection="1">
      <alignment horizontal="center" vertical="center" wrapText="1"/>
      <protection locked="0"/>
    </xf>
    <xf numFmtId="0" fontId="9" fillId="0" borderId="0" xfId="0" applyFont="1" applyFill="1" applyAlignment="1" applyProtection="1">
      <alignment vertical="center" wrapText="1"/>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wrapText="1"/>
      <protection locked="0"/>
    </xf>
    <xf numFmtId="0" fontId="12" fillId="0" borderId="0" xfId="0" applyFont="1" applyBorder="1" applyAlignment="1" applyProtection="1">
      <protection locked="0"/>
    </xf>
    <xf numFmtId="0" fontId="12" fillId="0" borderId="0" xfId="0" applyFont="1" applyBorder="1" applyAlignment="1" applyProtection="1">
      <alignment horizontal="center" vertical="center"/>
      <protection locked="0"/>
    </xf>
    <xf numFmtId="0" fontId="8" fillId="0" borderId="4" xfId="0" applyFont="1" applyBorder="1" applyAlignment="1" applyProtection="1">
      <protection locked="0"/>
    </xf>
    <xf numFmtId="0" fontId="8" fillId="0" borderId="0" xfId="0" applyFont="1" applyBorder="1" applyAlignment="1" applyProtection="1">
      <protection locked="0"/>
    </xf>
    <xf numFmtId="0" fontId="8" fillId="0" borderId="4" xfId="0" applyFont="1" applyBorder="1" applyProtection="1">
      <protection locked="0"/>
    </xf>
    <xf numFmtId="0" fontId="8" fillId="0" borderId="0" xfId="0" applyFont="1" applyAlignment="1" applyProtection="1">
      <alignment horizontal="center" vertical="center"/>
      <protection locked="0"/>
    </xf>
    <xf numFmtId="0" fontId="6" fillId="0" borderId="0" xfId="0" applyFont="1" applyFill="1" applyBorder="1" applyProtection="1">
      <protection locked="0"/>
    </xf>
    <xf numFmtId="0" fontId="6" fillId="0" borderId="0" xfId="0" applyFont="1" applyFill="1" applyBorder="1" applyAlignment="1" applyProtection="1">
      <alignment horizontal="center" vertical="center"/>
      <protection locked="0"/>
    </xf>
    <xf numFmtId="0" fontId="9" fillId="0" borderId="0" xfId="0" applyFont="1" applyBorder="1" applyProtection="1">
      <protection locked="0"/>
    </xf>
    <xf numFmtId="0" fontId="9" fillId="0" borderId="0" xfId="0" applyFont="1" applyBorder="1" applyAlignment="1" applyProtection="1">
      <alignment horizontal="center" vertical="center"/>
      <protection locked="0"/>
    </xf>
    <xf numFmtId="0" fontId="6" fillId="0" borderId="0" xfId="0" applyFont="1" applyBorder="1" applyAlignment="1" applyProtection="1">
      <alignment vertical="top"/>
      <protection locked="0"/>
    </xf>
    <xf numFmtId="0" fontId="5" fillId="0" borderId="0" xfId="0" applyFont="1" applyBorder="1" applyProtection="1">
      <protection locked="0"/>
    </xf>
    <xf numFmtId="0" fontId="5" fillId="0" borderId="0" xfId="0" applyFont="1" applyBorder="1" applyAlignment="1" applyProtection="1">
      <alignment horizontal="center" vertical="center"/>
      <protection locked="0"/>
    </xf>
    <xf numFmtId="0" fontId="8" fillId="0" borderId="0" xfId="0" applyFont="1" applyProtection="1">
      <protection locked="0" hidden="1"/>
    </xf>
    <xf numFmtId="0" fontId="8" fillId="0" borderId="0" xfId="0" applyFont="1" applyAlignment="1" applyProtection="1">
      <alignment horizontal="center" vertical="center"/>
      <protection locked="0" hidden="1"/>
    </xf>
    <xf numFmtId="0" fontId="9" fillId="0" borderId="0" xfId="0" applyFont="1" applyAlignment="1" applyProtection="1">
      <alignment vertical="center" wrapText="1"/>
      <protection locked="0" hidden="1"/>
    </xf>
    <xf numFmtId="0" fontId="13" fillId="0" borderId="0" xfId="0" applyFont="1" applyAlignment="1" applyProtection="1">
      <alignment vertical="center" wrapText="1"/>
      <protection locked="0" hidden="1"/>
    </xf>
    <xf numFmtId="0" fontId="9" fillId="0" borderId="0" xfId="0" applyFont="1" applyFill="1" applyBorder="1" applyAlignment="1" applyProtection="1">
      <alignment vertical="center" wrapText="1"/>
      <protection locked="0" hidden="1"/>
    </xf>
    <xf numFmtId="0" fontId="10" fillId="0" borderId="0" xfId="0" applyFont="1" applyFill="1" applyBorder="1" applyAlignment="1" applyProtection="1">
      <alignment horizontal="center" vertical="center"/>
      <protection locked="0" hidden="1"/>
    </xf>
    <xf numFmtId="0" fontId="9" fillId="0" borderId="0" xfId="0" applyFont="1" applyFill="1" applyAlignment="1" applyProtection="1">
      <alignment vertical="center" wrapText="1"/>
      <protection locked="0" hidden="1"/>
    </xf>
    <xf numFmtId="0" fontId="9" fillId="0" borderId="0" xfId="0" applyFont="1" applyAlignment="1" applyProtection="1">
      <alignment horizontal="center" vertical="center" wrapText="1"/>
      <protection locked="0" hidden="1"/>
    </xf>
    <xf numFmtId="0" fontId="8" fillId="0" borderId="0" xfId="0" quotePrefix="1" applyFont="1" applyAlignment="1" applyProtection="1">
      <alignment horizontal="center" vertical="center"/>
      <protection locked="0" hidden="1"/>
    </xf>
    <xf numFmtId="0" fontId="8" fillId="0" borderId="0" xfId="0" applyFont="1" applyBorder="1" applyProtection="1">
      <protection locked="0" hidden="1"/>
    </xf>
    <xf numFmtId="0" fontId="8" fillId="0" borderId="0" xfId="0" applyFont="1" applyBorder="1" applyAlignment="1" applyProtection="1">
      <alignment horizontal="center" vertical="center"/>
      <protection locked="0" hidden="1"/>
    </xf>
    <xf numFmtId="0" fontId="6" fillId="0" borderId="0" xfId="0" applyFont="1" applyFill="1" applyBorder="1" applyProtection="1">
      <protection locked="0" hidden="1"/>
    </xf>
    <xf numFmtId="0" fontId="6" fillId="0" borderId="0" xfId="0" applyFont="1" applyBorder="1" applyProtection="1">
      <protection locked="0" hidden="1"/>
    </xf>
    <xf numFmtId="0" fontId="6" fillId="0" borderId="0" xfId="0" applyFont="1" applyBorder="1" applyAlignment="1" applyProtection="1">
      <alignment horizontal="center" vertical="center"/>
      <protection locked="0" hidden="1"/>
    </xf>
    <xf numFmtId="0" fontId="9" fillId="0" borderId="0" xfId="0" applyFont="1" applyBorder="1" applyProtection="1">
      <protection locked="0" hidden="1"/>
    </xf>
    <xf numFmtId="0" fontId="6" fillId="0" borderId="0" xfId="0" applyFont="1" applyBorder="1" applyAlignment="1" applyProtection="1">
      <alignment vertical="top"/>
      <protection locked="0" hidden="1"/>
    </xf>
    <xf numFmtId="0" fontId="5" fillId="0" borderId="0" xfId="0" applyFont="1" applyBorder="1" applyProtection="1">
      <protection locked="0" hidden="1"/>
    </xf>
    <xf numFmtId="0" fontId="6" fillId="0" borderId="0" xfId="0" applyFont="1" applyBorder="1" applyProtection="1">
      <protection hidden="1"/>
    </xf>
    <xf numFmtId="0" fontId="41" fillId="0" borderId="0" xfId="0" applyFont="1" applyAlignment="1" applyProtection="1">
      <alignment horizontal="left" vertical="top"/>
      <protection hidden="1"/>
    </xf>
    <xf numFmtId="0" fontId="41" fillId="0" borderId="0" xfId="0" applyFont="1" applyAlignment="1" applyProtection="1">
      <alignment horizontal="left" vertical="top" wrapText="1"/>
      <protection hidden="1"/>
    </xf>
    <xf numFmtId="0" fontId="41" fillId="0" borderId="0" xfId="0" quotePrefix="1" applyNumberFormat="1" applyFont="1" applyAlignment="1" applyProtection="1">
      <alignment horizontal="right"/>
      <protection hidden="1"/>
    </xf>
    <xf numFmtId="0" fontId="41" fillId="0" borderId="15" xfId="0" applyFont="1" applyBorder="1" applyAlignment="1" applyProtection="1">
      <alignment horizontal="center" vertical="center" wrapText="1"/>
      <protection hidden="1"/>
    </xf>
    <xf numFmtId="0" fontId="41" fillId="0" borderId="0" xfId="0" applyFont="1" applyAlignment="1" applyProtection="1">
      <alignment horizontal="left" wrapText="1"/>
      <protection hidden="1"/>
    </xf>
    <xf numFmtId="168" fontId="48" fillId="0" borderId="0" xfId="22" applyFont="1" applyBorder="1" applyAlignment="1" applyProtection="1">
      <alignment horizontal="left" vertical="center"/>
      <protection hidden="1"/>
    </xf>
    <xf numFmtId="0" fontId="41" fillId="0" borderId="0" xfId="0" applyFont="1" applyAlignment="1" applyProtection="1">
      <alignment vertical="center" wrapText="1"/>
      <protection hidden="1"/>
    </xf>
    <xf numFmtId="167" fontId="46" fillId="0" borderId="0" xfId="0" applyNumberFormat="1" applyFont="1" applyBorder="1" applyProtection="1">
      <protection hidden="1"/>
    </xf>
    <xf numFmtId="167" fontId="46" fillId="0" borderId="0" xfId="0" applyNumberFormat="1" applyFont="1" applyBorder="1" applyAlignment="1" applyProtection="1">
      <alignment vertical="center"/>
      <protection hidden="1"/>
    </xf>
    <xf numFmtId="167" fontId="46" fillId="0" borderId="0" xfId="0" applyNumberFormat="1" applyFont="1" applyBorder="1" applyAlignment="1" applyProtection="1">
      <protection hidden="1"/>
    </xf>
    <xf numFmtId="0" fontId="40" fillId="0" borderId="0" xfId="0" applyFont="1" applyBorder="1" applyAlignment="1" applyProtection="1">
      <protection hidden="1"/>
    </xf>
    <xf numFmtId="0" fontId="41" fillId="0" borderId="3" xfId="0" applyFont="1" applyBorder="1" applyAlignment="1" applyProtection="1">
      <alignment horizontal="center" vertical="center"/>
      <protection hidden="1"/>
    </xf>
    <xf numFmtId="0" fontId="44" fillId="0" borderId="0" xfId="0" applyFont="1" applyBorder="1" applyAlignment="1" applyProtection="1">
      <alignment vertical="center"/>
      <protection hidden="1"/>
    </xf>
    <xf numFmtId="0" fontId="44" fillId="0" borderId="0" xfId="0" applyFont="1" applyBorder="1" applyAlignment="1" applyProtection="1">
      <protection hidden="1"/>
    </xf>
    <xf numFmtId="0" fontId="40" fillId="0" borderId="0" xfId="0" applyFont="1" applyAlignment="1" applyProtection="1">
      <alignment vertical="center"/>
      <protection hidden="1"/>
    </xf>
    <xf numFmtId="0" fontId="47" fillId="0" borderId="0" xfId="0" applyFont="1" applyAlignment="1" applyProtection="1">
      <alignment horizontal="left" vertical="top"/>
      <protection hidden="1"/>
    </xf>
    <xf numFmtId="0" fontId="41" fillId="0" borderId="4" xfId="0" applyFont="1" applyBorder="1" applyProtection="1">
      <protection hidden="1"/>
    </xf>
    <xf numFmtId="0" fontId="41" fillId="0" borderId="0" xfId="0" applyFont="1" applyBorder="1" applyAlignment="1" applyProtection="1">
      <alignment horizontal="center" vertical="top"/>
      <protection hidden="1"/>
    </xf>
    <xf numFmtId="0" fontId="41" fillId="0" borderId="11" xfId="0" applyFont="1" applyBorder="1" applyAlignment="1" applyProtection="1">
      <alignment horizontal="left" vertical="top"/>
      <protection hidden="1"/>
    </xf>
    <xf numFmtId="0" fontId="40" fillId="0" borderId="4" xfId="0" applyFont="1" applyBorder="1" applyAlignment="1" applyProtection="1">
      <alignment vertical="top"/>
      <protection hidden="1"/>
    </xf>
    <xf numFmtId="0" fontId="40" fillId="0" borderId="9" xfId="0" applyFont="1" applyBorder="1" applyProtection="1">
      <protection hidden="1"/>
    </xf>
    <xf numFmtId="0" fontId="41" fillId="0" borderId="22" xfId="0" applyFont="1" applyFill="1" applyBorder="1" applyAlignment="1" applyProtection="1">
      <alignment horizontal="left"/>
      <protection hidden="1"/>
    </xf>
    <xf numFmtId="0" fontId="40" fillId="0" borderId="22" xfId="0" applyFont="1" applyBorder="1" applyAlignment="1" applyProtection="1">
      <alignment vertical="center"/>
      <protection hidden="1"/>
    </xf>
    <xf numFmtId="0" fontId="40" fillId="0" borderId="16" xfId="0" applyFont="1" applyBorder="1" applyAlignment="1" applyProtection="1">
      <alignment vertical="center"/>
      <protection hidden="1"/>
    </xf>
    <xf numFmtId="0" fontId="41" fillId="0" borderId="5" xfId="0" applyFont="1" applyBorder="1" applyProtection="1">
      <protection hidden="1"/>
    </xf>
    <xf numFmtId="0" fontId="40" fillId="0" borderId="11" xfId="0" applyFont="1" applyBorder="1" applyAlignment="1" applyProtection="1">
      <alignment vertical="center"/>
      <protection hidden="1"/>
    </xf>
    <xf numFmtId="0" fontId="40" fillId="0" borderId="15" xfId="0" applyFont="1" applyBorder="1" applyAlignment="1" applyProtection="1">
      <alignment vertical="center"/>
      <protection hidden="1"/>
    </xf>
    <xf numFmtId="0" fontId="40" fillId="0" borderId="0" xfId="0" applyFont="1" applyBorder="1" applyAlignment="1" applyProtection="1">
      <alignment vertical="top"/>
      <protection hidden="1"/>
    </xf>
    <xf numFmtId="0" fontId="40" fillId="0" borderId="0" xfId="0" applyFont="1" applyBorder="1" applyAlignment="1" applyProtection="1">
      <alignment horizontal="center" vertical="top"/>
      <protection hidden="1"/>
    </xf>
    <xf numFmtId="0" fontId="40" fillId="0" borderId="7" xfId="0" applyFont="1" applyBorder="1" applyAlignment="1" applyProtection="1">
      <alignment horizontal="center"/>
      <protection hidden="1"/>
    </xf>
    <xf numFmtId="0" fontId="41" fillId="0" borderId="7" xfId="0" applyFont="1" applyFill="1" applyBorder="1" applyAlignment="1" applyProtection="1">
      <alignment horizontal="left"/>
      <protection hidden="1"/>
    </xf>
    <xf numFmtId="0" fontId="40" fillId="0" borderId="12" xfId="0" applyFont="1" applyBorder="1" applyAlignment="1" applyProtection="1">
      <alignment vertical="center"/>
      <protection hidden="1"/>
    </xf>
    <xf numFmtId="0" fontId="41" fillId="0" borderId="0" xfId="0" applyFont="1" applyBorder="1" applyAlignment="1" applyProtection="1">
      <alignment horizontal="left" vertical="top" wrapText="1"/>
      <protection hidden="1"/>
    </xf>
    <xf numFmtId="0" fontId="41" fillId="0" borderId="10" xfId="0" applyFont="1" applyFill="1" applyBorder="1" applyAlignment="1" applyProtection="1">
      <alignment vertical="top" wrapText="1"/>
      <protection hidden="1"/>
    </xf>
    <xf numFmtId="0" fontId="40" fillId="0" borderId="6" xfId="0" applyFont="1" applyBorder="1" applyAlignment="1" applyProtection="1">
      <alignment vertical="center"/>
      <protection hidden="1"/>
    </xf>
    <xf numFmtId="0" fontId="41" fillId="0" borderId="0" xfId="0" applyFont="1" applyFill="1" applyBorder="1" applyAlignment="1" applyProtection="1">
      <alignment horizontal="right" vertical="top" wrapText="1"/>
      <protection hidden="1"/>
    </xf>
    <xf numFmtId="0" fontId="40" fillId="0" borderId="0" xfId="0" applyFont="1" applyBorder="1" applyAlignment="1" applyProtection="1">
      <alignment horizontal="center" vertical="top" wrapText="1"/>
      <protection hidden="1"/>
    </xf>
    <xf numFmtId="0" fontId="41" fillId="0" borderId="8" xfId="0" applyFont="1" applyBorder="1" applyAlignment="1" applyProtection="1">
      <alignment horizontal="center"/>
      <protection hidden="1"/>
    </xf>
    <xf numFmtId="0" fontId="41" fillId="0" borderId="13" xfId="0" applyFont="1" applyBorder="1" applyAlignment="1" applyProtection="1">
      <alignment horizontal="center"/>
      <protection hidden="1"/>
    </xf>
    <xf numFmtId="0" fontId="41" fillId="0" borderId="9" xfId="0" applyFont="1" applyBorder="1" applyAlignment="1" applyProtection="1">
      <alignment horizontal="center"/>
      <protection hidden="1"/>
    </xf>
    <xf numFmtId="0" fontId="41" fillId="0" borderId="7" xfId="0" applyFont="1" applyBorder="1" applyAlignment="1" applyProtection="1">
      <alignment horizontal="center" vertical="top"/>
      <protection hidden="1"/>
    </xf>
    <xf numFmtId="0" fontId="41" fillId="0" borderId="12" xfId="0" applyFont="1" applyBorder="1" applyAlignment="1" applyProtection="1">
      <alignment horizontal="center" vertical="top" wrapText="1"/>
      <protection hidden="1"/>
    </xf>
    <xf numFmtId="0" fontId="40" fillId="0" borderId="5" xfId="0" applyFont="1" applyBorder="1" applyAlignment="1" applyProtection="1">
      <alignment horizontal="center"/>
      <protection hidden="1"/>
    </xf>
    <xf numFmtId="0" fontId="41" fillId="0" borderId="11" xfId="0" applyFont="1" applyBorder="1" applyAlignment="1" applyProtection="1">
      <alignment horizontal="left" vertical="center"/>
      <protection hidden="1"/>
    </xf>
    <xf numFmtId="0" fontId="40" fillId="2" borderId="6" xfId="0" applyFont="1" applyFill="1" applyBorder="1" applyProtection="1">
      <protection hidden="1"/>
    </xf>
    <xf numFmtId="0" fontId="40" fillId="2" borderId="10" xfId="0" applyFont="1" applyFill="1" applyBorder="1" applyAlignment="1" applyProtection="1">
      <alignment horizontal="center"/>
      <protection hidden="1"/>
    </xf>
    <xf numFmtId="178" fontId="40" fillId="0" borderId="0" xfId="9" applyNumberFormat="1" applyFont="1" applyBorder="1" applyAlignment="1" applyProtection="1">
      <alignment vertical="center" wrapText="1"/>
      <protection locked="0"/>
    </xf>
    <xf numFmtId="9" fontId="41" fillId="0" borderId="9" xfId="25" applyFont="1" applyBorder="1" applyAlignment="1" applyProtection="1">
      <alignment horizontal="center" vertical="center" wrapText="1"/>
      <protection locked="0"/>
    </xf>
    <xf numFmtId="43" fontId="46" fillId="0" borderId="12" xfId="0" applyNumberFormat="1" applyFont="1" applyBorder="1" applyAlignment="1" applyProtection="1">
      <alignment vertical="center" wrapText="1"/>
      <protection locked="0"/>
    </xf>
    <xf numFmtId="9" fontId="40" fillId="0" borderId="9" xfId="25" applyFont="1" applyBorder="1" applyAlignment="1" applyProtection="1">
      <alignment horizontal="center" vertical="top" wrapText="1"/>
      <protection locked="0"/>
    </xf>
    <xf numFmtId="0" fontId="40" fillId="0" borderId="12" xfId="0" applyFont="1" applyBorder="1" applyAlignment="1" applyProtection="1">
      <alignment vertical="top" wrapText="1"/>
      <protection locked="0"/>
    </xf>
    <xf numFmtId="164" fontId="43" fillId="0" borderId="8" xfId="6" applyFont="1" applyBorder="1" applyAlignment="1" applyProtection="1">
      <alignment vertical="top" wrapText="1"/>
      <protection locked="0"/>
    </xf>
    <xf numFmtId="9" fontId="40" fillId="0" borderId="9" xfId="0" applyNumberFormat="1" applyFont="1" applyBorder="1" applyAlignment="1" applyProtection="1">
      <alignment horizontal="center" vertical="top" wrapText="1"/>
      <protection locked="0"/>
    </xf>
    <xf numFmtId="164" fontId="43" fillId="0" borderId="0" xfId="0" applyNumberFormat="1" applyFont="1" applyBorder="1" applyAlignment="1" applyProtection="1">
      <alignment vertical="top" wrapText="1"/>
      <protection locked="0"/>
    </xf>
    <xf numFmtId="0" fontId="6" fillId="0" borderId="0" xfId="19" applyFont="1" applyAlignment="1" applyProtection="1">
      <alignment horizontal="center" vertical="center" wrapText="1"/>
      <protection locked="0"/>
    </xf>
    <xf numFmtId="0" fontId="40" fillId="0" borderId="4" xfId="19" applyFont="1" applyFill="1" applyBorder="1" applyAlignment="1" applyProtection="1">
      <alignment vertical="center" wrapText="1"/>
      <protection hidden="1"/>
    </xf>
    <xf numFmtId="0" fontId="40" fillId="0" borderId="7" xfId="19" applyFont="1" applyBorder="1" applyAlignment="1" applyProtection="1">
      <alignment vertical="center" wrapText="1"/>
      <protection hidden="1"/>
    </xf>
    <xf numFmtId="0" fontId="40" fillId="0" borderId="0" xfId="19" applyFont="1" applyBorder="1" applyProtection="1">
      <alignment vertical="center" wrapText="1"/>
      <protection hidden="1"/>
    </xf>
    <xf numFmtId="0" fontId="40" fillId="0" borderId="5" xfId="19" applyFont="1" applyBorder="1" applyProtection="1">
      <alignment vertical="center" wrapText="1"/>
      <protection hidden="1"/>
    </xf>
    <xf numFmtId="0" fontId="40" fillId="0" borderId="0" xfId="19" applyFont="1" applyFill="1" applyBorder="1" applyAlignment="1" applyProtection="1">
      <alignment vertical="center" wrapText="1"/>
      <protection hidden="1"/>
    </xf>
    <xf numFmtId="0" fontId="40" fillId="0" borderId="0" xfId="19" applyFont="1" applyBorder="1" applyAlignment="1" applyProtection="1">
      <alignment vertical="center" wrapText="1"/>
      <protection hidden="1"/>
    </xf>
    <xf numFmtId="0" fontId="6" fillId="0" borderId="0" xfId="19" applyFont="1" applyProtection="1">
      <alignment vertical="center" wrapText="1"/>
      <protection hidden="1"/>
    </xf>
    <xf numFmtId="0" fontId="5" fillId="0" borderId="0" xfId="19" applyFont="1" applyProtection="1">
      <alignment vertical="center" wrapText="1"/>
      <protection hidden="1"/>
    </xf>
    <xf numFmtId="0" fontId="6" fillId="0" borderId="0" xfId="19" applyFont="1" applyAlignment="1" applyProtection="1">
      <alignment vertical="center" wrapText="1"/>
      <protection hidden="1"/>
    </xf>
    <xf numFmtId="0" fontId="6" fillId="0" borderId="0" xfId="19" applyFont="1" applyAlignment="1" applyProtection="1">
      <alignment vertical="center"/>
      <protection hidden="1"/>
    </xf>
    <xf numFmtId="0" fontId="6" fillId="0" borderId="0" xfId="19" applyFont="1" applyBorder="1" applyProtection="1">
      <alignment vertical="center" wrapText="1"/>
      <protection hidden="1"/>
    </xf>
    <xf numFmtId="0" fontId="5" fillId="0" borderId="0" xfId="19" applyFont="1" applyBorder="1" applyProtection="1">
      <alignment vertical="center" wrapText="1"/>
      <protection hidden="1"/>
    </xf>
    <xf numFmtId="0" fontId="40" fillId="0" borderId="0" xfId="19" applyFont="1" applyAlignment="1" applyProtection="1">
      <alignment horizontal="left" vertical="center" wrapText="1"/>
      <protection hidden="1"/>
    </xf>
    <xf numFmtId="0" fontId="41" fillId="0" borderId="0" xfId="19" applyFont="1" applyBorder="1" applyAlignment="1" applyProtection="1">
      <alignment horizontal="left" vertical="center" wrapText="1"/>
      <protection hidden="1"/>
    </xf>
    <xf numFmtId="0" fontId="41" fillId="0" borderId="0" xfId="19" applyFont="1" applyBorder="1" applyProtection="1">
      <alignment vertical="center" wrapText="1"/>
      <protection hidden="1"/>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0" fontId="40" fillId="0" borderId="3" xfId="0" applyFont="1" applyBorder="1" applyAlignment="1" applyProtection="1">
      <alignment vertical="center" wrapText="1"/>
      <protection locked="0"/>
    </xf>
    <xf numFmtId="0" fontId="40" fillId="17" borderId="9" xfId="0" applyFont="1" applyFill="1" applyBorder="1" applyAlignment="1" applyProtection="1">
      <alignment vertical="center" wrapText="1"/>
      <protection locked="0"/>
    </xf>
    <xf numFmtId="0" fontId="40" fillId="17" borderId="22" xfId="0" applyFont="1" applyFill="1" applyBorder="1" applyAlignment="1" applyProtection="1">
      <alignment vertical="center" wrapText="1"/>
      <protection locked="0"/>
    </xf>
    <xf numFmtId="0" fontId="40" fillId="17" borderId="12" xfId="0" applyFont="1" applyFill="1" applyBorder="1" applyAlignment="1" applyProtection="1">
      <alignment vertical="center" wrapText="1"/>
      <protection locked="0"/>
    </xf>
    <xf numFmtId="0" fontId="8" fillId="0" borderId="0" xfId="0" applyFont="1" applyFill="1" applyAlignment="1" applyProtection="1">
      <alignment horizontal="center"/>
      <protection locked="0"/>
    </xf>
    <xf numFmtId="0" fontId="45" fillId="0" borderId="0" xfId="0" applyFont="1" applyBorder="1" applyAlignment="1" applyProtection="1">
      <alignment horizontal="center" vertical="top" wrapText="1"/>
      <protection locked="0"/>
    </xf>
    <xf numFmtId="0" fontId="61" fillId="0" borderId="0" xfId="0" applyFont="1" applyBorder="1" applyAlignment="1" applyProtection="1">
      <alignment horizontal="center"/>
      <protection locked="0"/>
    </xf>
    <xf numFmtId="0" fontId="8" fillId="0" borderId="0" xfId="0" applyFont="1" applyFill="1" applyProtection="1">
      <protection locked="0"/>
    </xf>
    <xf numFmtId="0" fontId="8" fillId="0" borderId="0" xfId="0" applyFont="1" applyFill="1" applyBorder="1" applyProtection="1">
      <protection locked="0"/>
    </xf>
    <xf numFmtId="0" fontId="8" fillId="0" borderId="0" xfId="0" applyFont="1" applyAlignment="1" applyProtection="1">
      <alignment horizontal="left" vertical="center"/>
      <protection locked="0"/>
    </xf>
    <xf numFmtId="0" fontId="21" fillId="0" borderId="0" xfId="0" applyFont="1" applyFill="1" applyBorder="1" applyAlignment="1" applyProtection="1">
      <alignment vertical="center" wrapText="1"/>
      <protection locked="0"/>
    </xf>
    <xf numFmtId="0" fontId="18" fillId="0" borderId="0" xfId="0" applyFont="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61" fillId="0" borderId="0" xfId="0" applyFont="1" applyBorder="1" applyAlignment="1" applyProtection="1">
      <alignment vertical="center" wrapText="1"/>
      <protection hidden="1"/>
    </xf>
    <xf numFmtId="164" fontId="61" fillId="0" borderId="0" xfId="0" applyNumberFormat="1" applyFont="1" applyBorder="1" applyAlignment="1" applyProtection="1">
      <alignment vertical="center" wrapText="1"/>
      <protection hidden="1"/>
    </xf>
    <xf numFmtId="0" fontId="40" fillId="0" borderId="0" xfId="0" applyNumberFormat="1" applyFont="1" applyBorder="1" applyAlignment="1" applyProtection="1">
      <alignment vertical="center"/>
      <protection hidden="1"/>
    </xf>
    <xf numFmtId="0" fontId="40" fillId="0" borderId="4" xfId="0" applyFont="1" applyBorder="1" applyAlignment="1" applyProtection="1">
      <alignment vertical="top" wrapText="1"/>
      <protection hidden="1"/>
    </xf>
    <xf numFmtId="0" fontId="40" fillId="0" borderId="0" xfId="0" quotePrefix="1" applyFont="1" applyBorder="1" applyProtection="1">
      <protection hidden="1"/>
    </xf>
    <xf numFmtId="0" fontId="40" fillId="5" borderId="0" xfId="0" quotePrefix="1" applyFont="1" applyFill="1" applyBorder="1" applyProtection="1">
      <protection hidden="1"/>
    </xf>
    <xf numFmtId="0" fontId="40" fillId="5" borderId="0" xfId="0" applyFont="1" applyFill="1" applyBorder="1" applyProtection="1">
      <protection hidden="1"/>
    </xf>
    <xf numFmtId="39" fontId="46" fillId="5" borderId="0" xfId="0" applyNumberFormat="1" applyFont="1" applyFill="1" applyBorder="1" applyAlignment="1" applyProtection="1">
      <alignment vertical="top"/>
      <protection hidden="1"/>
    </xf>
    <xf numFmtId="0" fontId="46" fillId="5" borderId="0" xfId="0" applyFont="1" applyFill="1" applyBorder="1" applyAlignment="1" applyProtection="1">
      <alignment vertical="top"/>
      <protection hidden="1"/>
    </xf>
    <xf numFmtId="0" fontId="46" fillId="5" borderId="0" xfId="0" applyFont="1" applyFill="1" applyBorder="1" applyProtection="1">
      <protection hidden="1"/>
    </xf>
    <xf numFmtId="165" fontId="46" fillId="5" borderId="0" xfId="9" applyNumberFormat="1" applyFont="1" applyFill="1" applyBorder="1" applyAlignment="1" applyProtection="1">
      <alignment vertical="top"/>
      <protection hidden="1"/>
    </xf>
    <xf numFmtId="39" fontId="8" fillId="0" borderId="0" xfId="0" applyNumberFormat="1" applyFont="1" applyProtection="1">
      <protection hidden="1"/>
    </xf>
    <xf numFmtId="39" fontId="58" fillId="0" borderId="0" xfId="0" applyNumberFormat="1" applyFont="1" applyBorder="1" applyAlignment="1" applyProtection="1">
      <alignment vertical="top"/>
      <protection hidden="1"/>
    </xf>
    <xf numFmtId="0" fontId="58" fillId="0" borderId="0" xfId="0" applyFont="1" applyBorder="1" applyAlignment="1" applyProtection="1">
      <alignment vertical="top"/>
      <protection hidden="1"/>
    </xf>
    <xf numFmtId="0" fontId="41" fillId="0" borderId="6" xfId="0" applyFont="1" applyBorder="1" applyProtection="1">
      <protection hidden="1"/>
    </xf>
    <xf numFmtId="0" fontId="40" fillId="0" borderId="11" xfId="0" applyFont="1" applyBorder="1" applyProtection="1">
      <protection hidden="1"/>
    </xf>
    <xf numFmtId="0" fontId="46" fillId="0" borderId="0" xfId="0" applyFont="1" applyBorder="1" applyAlignment="1" applyProtection="1">
      <alignment horizontal="left" vertical="top" wrapText="1"/>
      <protection hidden="1"/>
    </xf>
    <xf numFmtId="0" fontId="40" fillId="0" borderId="0" xfId="18" applyFont="1" applyBorder="1" applyAlignment="1" applyProtection="1">
      <alignment vertical="center" wrapText="1"/>
      <protection hidden="1"/>
    </xf>
    <xf numFmtId="0" fontId="43" fillId="0" borderId="0" xfId="18" applyFont="1" applyBorder="1" applyAlignment="1" applyProtection="1">
      <alignment vertical="center" wrapText="1"/>
      <protection hidden="1"/>
    </xf>
    <xf numFmtId="0" fontId="40" fillId="0" borderId="0" xfId="18" applyFont="1" applyBorder="1" applyAlignment="1" applyProtection="1">
      <alignment horizontal="left" vertical="center" wrapText="1"/>
      <protection hidden="1"/>
    </xf>
    <xf numFmtId="0" fontId="41" fillId="0" borderId="5" xfId="0" applyFont="1" applyBorder="1" applyAlignment="1" applyProtection="1">
      <alignment horizontal="left" vertical="top" wrapText="1"/>
      <protection hidden="1"/>
    </xf>
    <xf numFmtId="0" fontId="40" fillId="0" borderId="0" xfId="0" applyFont="1" applyBorder="1" applyAlignment="1" applyProtection="1">
      <alignment horizontal="left" vertical="top" wrapText="1"/>
      <protection hidden="1"/>
    </xf>
    <xf numFmtId="0" fontId="38" fillId="9" borderId="8" xfId="0" applyFont="1" applyFill="1" applyBorder="1" applyAlignment="1" applyProtection="1">
      <alignment horizontal="left" vertical="center"/>
      <protection locked="0"/>
    </xf>
    <xf numFmtId="0" fontId="46" fillId="0" borderId="0" xfId="0" quotePrefix="1" applyFont="1" applyBorder="1" applyAlignment="1" applyProtection="1">
      <alignment horizontal="left" vertical="top" wrapText="1"/>
      <protection hidden="1"/>
    </xf>
    <xf numFmtId="0" fontId="157" fillId="20" borderId="9" xfId="21" applyFont="1" applyFill="1" applyBorder="1" applyAlignment="1" applyProtection="1">
      <protection hidden="1"/>
    </xf>
    <xf numFmtId="0" fontId="157" fillId="20" borderId="22" xfId="21" applyFont="1" applyFill="1" applyBorder="1" applyAlignment="1" applyProtection="1">
      <protection hidden="1"/>
    </xf>
    <xf numFmtId="0" fontId="157" fillId="20" borderId="12" xfId="21" applyFont="1" applyFill="1" applyBorder="1" applyAlignment="1" applyProtection="1">
      <protection hidden="1"/>
    </xf>
    <xf numFmtId="187" fontId="158" fillId="20" borderId="9" xfId="21" applyNumberFormat="1" applyFont="1" applyFill="1" applyBorder="1" applyAlignment="1" applyProtection="1">
      <alignment horizontal="left"/>
      <protection hidden="1"/>
    </xf>
    <xf numFmtId="0" fontId="158" fillId="20" borderId="22" xfId="21" applyFont="1" applyFill="1" applyBorder="1" applyAlignment="1" applyProtection="1">
      <protection hidden="1"/>
    </xf>
    <xf numFmtId="0" fontId="158" fillId="20" borderId="12" xfId="21" applyFont="1" applyFill="1" applyBorder="1" applyAlignment="1" applyProtection="1">
      <protection hidden="1"/>
    </xf>
    <xf numFmtId="9" fontId="160" fillId="0" borderId="0" xfId="24" applyFont="1" applyBorder="1" applyAlignment="1" applyProtection="1">
      <protection hidden="1"/>
    </xf>
    <xf numFmtId="10" fontId="160" fillId="0" borderId="0" xfId="21" applyNumberFormat="1" applyFont="1" applyBorder="1" applyAlignment="1" applyProtection="1">
      <protection hidden="1"/>
    </xf>
    <xf numFmtId="167" fontId="161" fillId="20" borderId="8" xfId="21" applyNumberFormat="1" applyFont="1" applyFill="1" applyBorder="1" applyAlignment="1" applyProtection="1">
      <alignment horizontal="right"/>
      <protection locked="0"/>
    </xf>
    <xf numFmtId="167" fontId="161" fillId="20" borderId="15" xfId="21" applyNumberFormat="1" applyFont="1" applyFill="1" applyBorder="1" applyAlignment="1" applyProtection="1">
      <alignment horizontal="right"/>
      <protection locked="0"/>
    </xf>
    <xf numFmtId="0" fontId="41" fillId="27" borderId="62" xfId="0" applyFont="1" applyFill="1" applyBorder="1" applyAlignment="1" applyProtection="1">
      <alignment vertical="center"/>
      <protection hidden="1"/>
    </xf>
    <xf numFmtId="0" fontId="41" fillId="27" borderId="72" xfId="0" applyFont="1" applyFill="1" applyBorder="1" applyAlignment="1" applyProtection="1">
      <alignment horizontal="center" vertical="center"/>
      <protection hidden="1"/>
    </xf>
    <xf numFmtId="0" fontId="146" fillId="0" borderId="8" xfId="0" applyFont="1" applyFill="1" applyBorder="1" applyAlignment="1" applyProtection="1">
      <alignment horizontal="center" vertical="center" wrapText="1"/>
      <protection hidden="1"/>
    </xf>
    <xf numFmtId="0" fontId="145" fillId="0" borderId="8" xfId="0" applyFont="1" applyFill="1" applyBorder="1" applyAlignment="1" applyProtection="1">
      <alignment horizontal="center" vertical="center"/>
      <protection hidden="1"/>
    </xf>
    <xf numFmtId="0" fontId="145" fillId="0" borderId="0" xfId="0" applyFont="1" applyFill="1" applyAlignment="1" applyProtection="1">
      <alignment horizontal="left"/>
      <protection locked="0"/>
    </xf>
    <xf numFmtId="0" fontId="0" fillId="0" borderId="0" xfId="0" applyProtection="1">
      <protection locked="0"/>
    </xf>
    <xf numFmtId="0" fontId="0" fillId="0" borderId="0" xfId="0"/>
    <xf numFmtId="0" fontId="38" fillId="0" borderId="0" xfId="0" applyFont="1" applyAlignment="1" applyProtection="1">
      <alignment vertical="center"/>
      <protection locked="0"/>
    </xf>
    <xf numFmtId="1" fontId="38" fillId="9" borderId="8" xfId="0" quotePrefix="1" applyNumberFormat="1" applyFont="1" applyFill="1" applyBorder="1" applyAlignment="1" applyProtection="1">
      <alignment horizontal="left" vertical="center"/>
      <protection locked="0"/>
    </xf>
    <xf numFmtId="181" fontId="38" fillId="9" borderId="8" xfId="0" applyNumberFormat="1" applyFont="1" applyFill="1" applyBorder="1" applyAlignment="1" applyProtection="1">
      <alignment horizontal="left" vertical="center"/>
      <protection locked="0"/>
    </xf>
    <xf numFmtId="0" fontId="38" fillId="9" borderId="8" xfId="0" quotePrefix="1" applyFont="1" applyFill="1" applyBorder="1" applyAlignment="1" applyProtection="1">
      <alignment horizontal="left" vertical="center"/>
      <protection locked="0"/>
    </xf>
    <xf numFmtId="182" fontId="38" fillId="9" borderId="8" xfId="0" applyNumberFormat="1" applyFont="1" applyFill="1" applyBorder="1" applyAlignment="1" applyProtection="1">
      <alignment horizontal="left" vertical="center"/>
      <protection locked="0"/>
    </xf>
    <xf numFmtId="176" fontId="38" fillId="9" borderId="8" xfId="0" applyNumberFormat="1" applyFont="1" applyFill="1" applyBorder="1" applyAlignment="1" applyProtection="1">
      <alignment horizontal="left" vertical="center"/>
      <protection locked="0"/>
    </xf>
    <xf numFmtId="167" fontId="38" fillId="9" borderId="8" xfId="0" applyNumberFormat="1" applyFont="1" applyFill="1" applyBorder="1" applyAlignment="1" applyProtection="1">
      <alignment horizontal="left" vertical="center"/>
      <protection locked="0"/>
    </xf>
    <xf numFmtId="0" fontId="167" fillId="0" borderId="7" xfId="0" applyFont="1" applyFill="1" applyBorder="1" applyAlignment="1" applyProtection="1">
      <alignment vertical="center" wrapText="1"/>
      <protection locked="0"/>
    </xf>
    <xf numFmtId="0" fontId="145" fillId="0" borderId="7" xfId="0" applyFont="1" applyFill="1" applyBorder="1" applyAlignment="1" applyProtection="1">
      <protection locked="0"/>
    </xf>
    <xf numFmtId="0" fontId="167" fillId="0" borderId="0" xfId="0" applyFont="1" applyFill="1" applyAlignment="1" applyProtection="1">
      <alignment vertical="center" wrapText="1"/>
      <protection locked="0"/>
    </xf>
    <xf numFmtId="0" fontId="145" fillId="0" borderId="0" xfId="0" applyFont="1" applyFill="1" applyBorder="1" applyAlignment="1" applyProtection="1">
      <protection locked="0"/>
    </xf>
    <xf numFmtId="0" fontId="145" fillId="0" borderId="7" xfId="0" applyFont="1" applyFill="1" applyBorder="1" applyAlignment="1" applyProtection="1">
      <alignment wrapText="1"/>
      <protection locked="0"/>
    </xf>
    <xf numFmtId="0" fontId="145" fillId="0" borderId="0" xfId="0" applyFont="1" applyFill="1" applyAlignment="1" applyProtection="1">
      <alignment wrapText="1"/>
      <protection locked="0"/>
    </xf>
    <xf numFmtId="37" fontId="43" fillId="29" borderId="0" xfId="22" applyNumberFormat="1" applyFont="1" applyFill="1" applyBorder="1" applyAlignment="1" applyProtection="1">
      <alignment horizontal="center" vertical="center"/>
      <protection hidden="1"/>
    </xf>
    <xf numFmtId="0" fontId="147" fillId="0" borderId="15" xfId="0" applyFont="1" applyFill="1" applyBorder="1" applyAlignment="1" applyProtection="1">
      <alignment horizontal="center" vertical="center" wrapText="1"/>
      <protection locked="0"/>
    </xf>
    <xf numFmtId="0" fontId="168" fillId="30" borderId="8" xfId="0" quotePrefix="1" applyFont="1" applyFill="1" applyBorder="1" applyAlignment="1">
      <alignment horizontal="left"/>
    </xf>
    <xf numFmtId="0" fontId="164" fillId="31" borderId="8" xfId="0" quotePrefix="1" applyFont="1" applyFill="1" applyBorder="1" applyAlignment="1">
      <alignment horizontal="left"/>
    </xf>
    <xf numFmtId="0" fontId="38" fillId="9" borderId="8" xfId="0" quotePrefix="1" applyNumberFormat="1" applyFont="1" applyFill="1" applyBorder="1" applyAlignment="1" applyProtection="1">
      <alignment horizontal="left" vertical="center"/>
      <protection locked="0"/>
    </xf>
    <xf numFmtId="10" fontId="80" fillId="3" borderId="96" xfId="25" applyNumberFormat="1" applyFont="1" applyFill="1" applyBorder="1" applyProtection="1">
      <protection hidden="1"/>
    </xf>
    <xf numFmtId="10" fontId="80" fillId="3" borderId="96" xfId="25" applyNumberFormat="1" applyFont="1" applyFill="1" applyBorder="1" applyProtection="1">
      <protection locked="0"/>
    </xf>
    <xf numFmtId="10" fontId="85" fillId="10" borderId="96" xfId="25" applyNumberFormat="1" applyFont="1" applyFill="1" applyBorder="1" applyProtection="1">
      <protection hidden="1"/>
    </xf>
    <xf numFmtId="10" fontId="80" fillId="3" borderId="96" xfId="25" applyNumberFormat="1" applyFont="1" applyFill="1" applyBorder="1" applyAlignment="1" applyProtection="1">
      <alignment vertical="center"/>
      <protection locked="0"/>
    </xf>
    <xf numFmtId="10" fontId="80" fillId="10" borderId="96" xfId="25" applyNumberFormat="1" applyFont="1" applyFill="1" applyBorder="1" applyProtection="1">
      <protection hidden="1"/>
    </xf>
    <xf numFmtId="10" fontId="80" fillId="3" borderId="96" xfId="25" applyNumberFormat="1" applyFont="1" applyFill="1" applyBorder="1" applyAlignment="1" applyProtection="1">
      <alignment vertical="center"/>
      <protection hidden="1"/>
    </xf>
    <xf numFmtId="10" fontId="80" fillId="3" borderId="96" xfId="25" applyNumberFormat="1" applyFont="1" applyFill="1" applyBorder="1" applyAlignment="1" applyProtection="1">
      <alignment vertical="top"/>
      <protection hidden="1"/>
    </xf>
    <xf numFmtId="172" fontId="85" fillId="10" borderId="96" xfId="25" applyNumberFormat="1" applyFont="1" applyFill="1" applyBorder="1" applyProtection="1">
      <protection hidden="1"/>
    </xf>
    <xf numFmtId="172" fontId="80" fillId="3" borderId="96" xfId="25" applyNumberFormat="1" applyFont="1" applyFill="1" applyBorder="1" applyProtection="1">
      <protection hidden="1"/>
    </xf>
    <xf numFmtId="172" fontId="80" fillId="10" borderId="96" xfId="25" applyNumberFormat="1" applyFont="1" applyFill="1" applyBorder="1" applyProtection="1">
      <protection hidden="1"/>
    </xf>
    <xf numFmtId="9" fontId="85" fillId="10" borderId="96" xfId="25" applyFont="1" applyFill="1" applyBorder="1" applyAlignment="1" applyProtection="1">
      <protection hidden="1"/>
    </xf>
    <xf numFmtId="39" fontId="45" fillId="0" borderId="0" xfId="22" applyNumberFormat="1" applyFont="1" applyBorder="1" applyAlignment="1" applyProtection="1">
      <alignment horizontal="fill" vertical="center"/>
      <protection locked="0"/>
    </xf>
    <xf numFmtId="168" fontId="45" fillId="26" borderId="47" xfId="22" applyFont="1" applyFill="1" applyBorder="1" applyAlignment="1" applyProtection="1">
      <alignment vertical="center"/>
      <protection hidden="1"/>
    </xf>
    <xf numFmtId="0" fontId="3" fillId="0" borderId="84" xfId="21" applyFont="1" applyBorder="1" applyAlignment="1" applyProtection="1">
      <alignment horizontal="center" vertical="center"/>
      <protection hidden="1"/>
    </xf>
    <xf numFmtId="0" fontId="3" fillId="0" borderId="58" xfId="21" applyFont="1" applyBorder="1" applyAlignment="1" applyProtection="1">
      <alignment horizontal="center" vertical="center"/>
      <protection hidden="1"/>
    </xf>
    <xf numFmtId="41" fontId="3" fillId="0" borderId="8" xfId="21" applyNumberFormat="1" applyFont="1" applyBorder="1" applyAlignment="1" applyProtection="1">
      <alignment horizontal="center" vertical="center"/>
      <protection hidden="1"/>
    </xf>
    <xf numFmtId="10" fontId="139" fillId="9" borderId="8" xfId="24" applyNumberFormat="1" applyFont="1" applyFill="1" applyBorder="1" applyAlignment="1" applyProtection="1">
      <alignment horizontal="center" vertical="center"/>
      <protection hidden="1"/>
    </xf>
    <xf numFmtId="41" fontId="3" fillId="0" borderId="98" xfId="21" applyNumberFormat="1" applyFont="1" applyBorder="1" applyAlignment="1" applyProtection="1">
      <alignment horizontal="center" vertical="center"/>
      <protection hidden="1"/>
    </xf>
    <xf numFmtId="10" fontId="139" fillId="9" borderId="12" xfId="24" applyNumberFormat="1" applyFont="1" applyFill="1" applyBorder="1" applyAlignment="1" applyProtection="1">
      <alignment horizontal="center" vertical="center"/>
      <protection hidden="1"/>
    </xf>
    <xf numFmtId="0" fontId="3" fillId="0" borderId="85" xfId="21" applyFont="1" applyBorder="1" applyAlignment="1" applyProtection="1">
      <alignment horizontal="center" vertical="center"/>
      <protection hidden="1"/>
    </xf>
    <xf numFmtId="0" fontId="3" fillId="0" borderId="0" xfId="21" applyFont="1" applyAlignment="1" applyProtection="1">
      <alignment horizontal="center" vertical="center"/>
      <protection hidden="1"/>
    </xf>
    <xf numFmtId="0" fontId="3" fillId="0" borderId="0" xfId="21" applyFont="1" applyAlignment="1">
      <alignment horizontal="center" vertical="center"/>
    </xf>
    <xf numFmtId="0" fontId="3" fillId="0" borderId="8" xfId="21" applyFont="1" applyBorder="1" applyAlignment="1" applyProtection="1">
      <alignment horizontal="left" vertical="center" wrapText="1"/>
      <protection hidden="1"/>
    </xf>
    <xf numFmtId="0" fontId="100" fillId="0" borderId="13" xfId="0" applyFont="1" applyBorder="1" applyAlignment="1">
      <alignment horizontal="center"/>
    </xf>
    <xf numFmtId="0" fontId="40" fillId="0" borderId="18" xfId="0" applyFont="1" applyBorder="1" applyAlignment="1" applyProtection="1">
      <alignment horizontal="center" vertical="center"/>
    </xf>
    <xf numFmtId="0" fontId="40" fillId="0" borderId="18" xfId="0" applyFont="1" applyBorder="1" applyAlignment="1" applyProtection="1">
      <alignment vertical="center" wrapText="1"/>
    </xf>
    <xf numFmtId="39" fontId="45" fillId="0" borderId="10" xfId="22" applyNumberFormat="1" applyFont="1" applyBorder="1" applyAlignment="1" applyProtection="1">
      <alignment horizontal="right" vertical="center"/>
      <protection hidden="1"/>
    </xf>
    <xf numFmtId="165" fontId="0" fillId="0" borderId="0" xfId="1" applyFont="1" applyAlignment="1">
      <alignment vertical="center" wrapText="1"/>
    </xf>
    <xf numFmtId="165" fontId="15" fillId="0" borderId="0" xfId="1" applyFont="1" applyAlignment="1">
      <alignment vertical="center" wrapText="1"/>
    </xf>
    <xf numFmtId="178" fontId="43" fillId="29" borderId="0" xfId="1" applyNumberFormat="1" applyFont="1" applyFill="1" applyBorder="1" applyAlignment="1" applyProtection="1">
      <alignment horizontal="left" vertical="center"/>
      <protection hidden="1"/>
    </xf>
    <xf numFmtId="0" fontId="72" fillId="33" borderId="8" xfId="0" applyFont="1" applyFill="1" applyBorder="1" applyAlignment="1" applyProtection="1">
      <alignment horizontal="center" vertical="center"/>
      <protection hidden="1"/>
    </xf>
    <xf numFmtId="165" fontId="170" fillId="0" borderId="0" xfId="1" applyFont="1" applyAlignment="1">
      <alignment vertical="center" wrapText="1"/>
    </xf>
    <xf numFmtId="10" fontId="40" fillId="0" borderId="0" xfId="0" applyNumberFormat="1" applyFont="1" applyFill="1" applyBorder="1" applyAlignment="1" applyProtection="1">
      <alignment horizontal="left"/>
      <protection locked="0"/>
    </xf>
    <xf numFmtId="164" fontId="40" fillId="0" borderId="10" xfId="0" applyNumberFormat="1" applyFont="1" applyFill="1" applyBorder="1" applyAlignment="1" applyProtection="1">
      <protection locked="0"/>
    </xf>
    <xf numFmtId="43" fontId="40" fillId="0" borderId="10" xfId="0" applyNumberFormat="1" applyFont="1" applyFill="1" applyBorder="1" applyAlignment="1" applyProtection="1">
      <protection locked="0"/>
    </xf>
    <xf numFmtId="164" fontId="72" fillId="0" borderId="0" xfId="18" applyNumberFormat="1" applyFont="1" applyBorder="1" applyAlignment="1" applyProtection="1">
      <alignment vertical="center" wrapText="1"/>
      <protection hidden="1"/>
    </xf>
    <xf numFmtId="0" fontId="0" fillId="0" borderId="0" xfId="0" applyBorder="1" applyProtection="1">
      <protection locked="0"/>
    </xf>
    <xf numFmtId="0" fontId="0" fillId="0" borderId="5" xfId="0" applyBorder="1" applyProtection="1">
      <protection locked="0"/>
    </xf>
    <xf numFmtId="0" fontId="146" fillId="0" borderId="8" xfId="0" applyFont="1" applyFill="1" applyBorder="1" applyAlignment="1" applyProtection="1">
      <alignment horizontal="center" vertical="center" wrapText="1"/>
      <protection hidden="1"/>
    </xf>
    <xf numFmtId="0" fontId="148" fillId="0" borderId="8" xfId="0" applyFont="1" applyBorder="1" applyProtection="1">
      <protection hidden="1"/>
    </xf>
    <xf numFmtId="0" fontId="165" fillId="0" borderId="8" xfId="0" applyFont="1" applyFill="1" applyBorder="1" applyAlignment="1" applyProtection="1">
      <alignment horizontal="center" vertical="center"/>
      <protection hidden="1"/>
    </xf>
    <xf numFmtId="0" fontId="166" fillId="0" borderId="8" xfId="0" applyFont="1" applyBorder="1" applyProtection="1">
      <protection hidden="1"/>
    </xf>
    <xf numFmtId="0" fontId="145" fillId="0" borderId="7" xfId="0" applyFont="1" applyFill="1" applyBorder="1" applyAlignment="1" applyProtection="1">
      <alignment horizontal="left" vertical="center" wrapText="1"/>
      <protection locked="0"/>
    </xf>
    <xf numFmtId="0" fontId="145" fillId="0" borderId="0" xfId="0" applyFont="1" applyFill="1" applyAlignment="1" applyProtection="1">
      <alignment horizontal="left" vertical="center" wrapText="1"/>
      <protection locked="0"/>
    </xf>
    <xf numFmtId="0" fontId="145" fillId="0" borderId="0" xfId="0" applyFont="1" applyFill="1" applyBorder="1" applyAlignment="1" applyProtection="1">
      <alignment horizontal="center" vertical="center"/>
      <protection locked="0"/>
    </xf>
    <xf numFmtId="0" fontId="145" fillId="0" borderId="8" xfId="0" applyFont="1" applyFill="1" applyBorder="1" applyAlignment="1" applyProtection="1">
      <alignment horizontal="left" vertical="center" wrapText="1"/>
      <protection hidden="1"/>
    </xf>
    <xf numFmtId="0" fontId="145" fillId="0" borderId="8" xfId="0" applyFont="1" applyFill="1" applyBorder="1" applyAlignment="1" applyProtection="1">
      <alignment horizontal="center" vertical="center"/>
      <protection hidden="1"/>
    </xf>
    <xf numFmtId="0" fontId="146" fillId="0" borderId="8" xfId="0" applyFont="1" applyFill="1" applyBorder="1" applyAlignment="1" applyProtection="1">
      <alignment horizontal="left" vertical="center" wrapText="1"/>
      <protection hidden="1"/>
    </xf>
    <xf numFmtId="0" fontId="145" fillId="23" borderId="13" xfId="0" applyFont="1" applyFill="1" applyBorder="1" applyAlignment="1" applyProtection="1">
      <alignment horizontal="left" vertical="center"/>
      <protection hidden="1"/>
    </xf>
    <xf numFmtId="0" fontId="148" fillId="0" borderId="13" xfId="0" applyFont="1" applyBorder="1" applyProtection="1">
      <protection hidden="1"/>
    </xf>
    <xf numFmtId="0" fontId="150" fillId="0" borderId="15" xfId="0" applyFont="1" applyBorder="1" applyAlignment="1" applyProtection="1">
      <alignment horizontal="left" vertical="center" wrapText="1"/>
      <protection hidden="1"/>
    </xf>
    <xf numFmtId="0" fontId="148" fillId="0" borderId="15" xfId="0" applyFont="1" applyBorder="1" applyProtection="1">
      <protection hidden="1"/>
    </xf>
    <xf numFmtId="0" fontId="145" fillId="23" borderId="8" xfId="0" applyFont="1" applyFill="1" applyBorder="1" applyAlignment="1" applyProtection="1">
      <alignment horizontal="left" vertical="center" wrapText="1"/>
      <protection hidden="1"/>
    </xf>
    <xf numFmtId="0" fontId="145" fillId="23" borderId="14" xfId="0" applyFont="1" applyFill="1" applyBorder="1" applyAlignment="1" applyProtection="1">
      <alignment horizontal="left" vertical="center" wrapText="1"/>
      <protection hidden="1"/>
    </xf>
    <xf numFmtId="0" fontId="148" fillId="0" borderId="14" xfId="0" applyFont="1" applyBorder="1" applyProtection="1">
      <protection hidden="1"/>
    </xf>
    <xf numFmtId="0" fontId="145" fillId="0" borderId="15" xfId="0" applyFont="1" applyFill="1" applyBorder="1" applyAlignment="1" applyProtection="1">
      <alignment horizontal="left" vertical="center" wrapText="1"/>
      <protection hidden="1"/>
    </xf>
    <xf numFmtId="0" fontId="148" fillId="0" borderId="0" xfId="0" applyFont="1" applyFill="1" applyBorder="1" applyAlignment="1" applyProtection="1">
      <alignment horizontal="left" vertical="center"/>
      <protection hidden="1"/>
    </xf>
    <xf numFmtId="0" fontId="148" fillId="0" borderId="0" xfId="0" applyFont="1" applyFill="1" applyBorder="1" applyAlignment="1" applyProtection="1">
      <alignment horizontal="left" vertical="top" wrapText="1"/>
      <protection hidden="1"/>
    </xf>
    <xf numFmtId="0" fontId="148" fillId="0" borderId="0" xfId="0" applyFont="1" applyFill="1" applyBorder="1" applyAlignment="1" applyProtection="1">
      <alignment horizontal="left" wrapText="1"/>
      <protection hidden="1"/>
    </xf>
    <xf numFmtId="0" fontId="148" fillId="0" borderId="0" xfId="0" applyFont="1" applyFill="1" applyBorder="1" applyAlignment="1" applyProtection="1">
      <alignment horizontal="left" vertical="center"/>
      <protection locked="0"/>
    </xf>
    <xf numFmtId="0" fontId="145" fillId="0" borderId="9" xfId="0" applyFont="1" applyFill="1" applyBorder="1" applyAlignment="1" applyProtection="1">
      <alignment horizontal="left" vertical="center" wrapText="1"/>
      <protection hidden="1"/>
    </xf>
    <xf numFmtId="0" fontId="145" fillId="0" borderId="12" xfId="0" applyFont="1" applyFill="1" applyBorder="1" applyAlignment="1" applyProtection="1">
      <alignment horizontal="left" vertical="center" wrapText="1"/>
      <protection hidden="1"/>
    </xf>
    <xf numFmtId="0" fontId="146" fillId="23" borderId="8" xfId="0" applyFont="1" applyFill="1" applyBorder="1" applyAlignment="1" applyProtection="1">
      <alignment horizontal="left" vertical="center" wrapText="1"/>
      <protection hidden="1"/>
    </xf>
    <xf numFmtId="0" fontId="146" fillId="23" borderId="12" xfId="0" applyFont="1" applyFill="1" applyBorder="1" applyAlignment="1" applyProtection="1">
      <alignment horizontal="left" vertical="center" wrapText="1"/>
      <protection hidden="1"/>
    </xf>
    <xf numFmtId="0" fontId="146" fillId="23" borderId="3" xfId="0" applyFont="1" applyFill="1" applyBorder="1" applyAlignment="1" applyProtection="1">
      <alignment horizontal="left" vertical="center" wrapText="1"/>
      <protection hidden="1"/>
    </xf>
    <xf numFmtId="0" fontId="146" fillId="23" borderId="16" xfId="0" applyFont="1" applyFill="1" applyBorder="1" applyAlignment="1" applyProtection="1">
      <alignment horizontal="left" vertical="center" wrapText="1"/>
      <protection hidden="1"/>
    </xf>
    <xf numFmtId="0" fontId="146" fillId="0" borderId="9" xfId="0" applyFont="1" applyFill="1" applyBorder="1" applyAlignment="1" applyProtection="1">
      <alignment horizontal="left" vertical="center" wrapText="1"/>
      <protection hidden="1"/>
    </xf>
    <xf numFmtId="0" fontId="146" fillId="0" borderId="12" xfId="0" applyFont="1" applyFill="1" applyBorder="1" applyAlignment="1" applyProtection="1">
      <alignment horizontal="left" vertical="center" wrapText="1"/>
      <protection hidden="1"/>
    </xf>
    <xf numFmtId="0" fontId="146" fillId="0" borderId="9" xfId="0" applyFont="1" applyFill="1" applyBorder="1" applyAlignment="1" applyProtection="1">
      <alignment horizontal="center" vertical="center" wrapText="1"/>
      <protection hidden="1"/>
    </xf>
    <xf numFmtId="0" fontId="146" fillId="0" borderId="12" xfId="0" applyFont="1" applyFill="1" applyBorder="1" applyAlignment="1" applyProtection="1">
      <alignment horizontal="center" vertical="center" wrapText="1"/>
      <protection hidden="1"/>
    </xf>
    <xf numFmtId="0" fontId="151" fillId="0" borderId="10" xfId="0" applyFont="1" applyFill="1" applyBorder="1" applyAlignment="1" applyProtection="1">
      <alignment horizontal="center" vertical="center"/>
      <protection locked="0"/>
    </xf>
    <xf numFmtId="0" fontId="145" fillId="0" borderId="8" xfId="0" applyFont="1" applyFill="1" applyBorder="1" applyAlignment="1" applyProtection="1">
      <alignment horizontal="justify" vertical="justify" wrapText="1"/>
      <protection hidden="1"/>
    </xf>
    <xf numFmtId="0" fontId="145" fillId="0" borderId="9" xfId="0" applyFont="1" applyFill="1" applyBorder="1" applyAlignment="1" applyProtection="1">
      <alignment horizontal="justify" vertical="justify"/>
      <protection hidden="1"/>
    </xf>
    <xf numFmtId="0" fontId="145" fillId="0" borderId="22" xfId="0" applyFont="1" applyFill="1" applyBorder="1" applyAlignment="1" applyProtection="1">
      <alignment horizontal="justify" vertical="justify"/>
      <protection hidden="1"/>
    </xf>
    <xf numFmtId="0" fontId="146" fillId="0" borderId="8" xfId="0" applyFont="1" applyFill="1" applyBorder="1" applyAlignment="1" applyProtection="1">
      <alignment horizontal="justify" vertical="justify" wrapText="1"/>
      <protection hidden="1"/>
    </xf>
    <xf numFmtId="0" fontId="145" fillId="23" borderId="8" xfId="0" applyFont="1" applyFill="1" applyBorder="1" applyAlignment="1" applyProtection="1">
      <alignment horizontal="justify" vertical="justify" wrapText="1"/>
      <protection hidden="1"/>
    </xf>
    <xf numFmtId="0" fontId="150" fillId="0" borderId="8" xfId="0" applyFont="1" applyBorder="1" applyAlignment="1" applyProtection="1">
      <alignment horizontal="justify" vertical="justify" wrapText="1"/>
      <protection hidden="1"/>
    </xf>
    <xf numFmtId="0" fontId="145" fillId="23" borderId="12" xfId="0" applyFont="1" applyFill="1" applyBorder="1" applyAlignment="1" applyProtection="1">
      <alignment horizontal="justify" vertical="justify" wrapText="1"/>
      <protection hidden="1"/>
    </xf>
    <xf numFmtId="0" fontId="148" fillId="0" borderId="0" xfId="0" applyFont="1" applyFill="1" applyBorder="1" applyAlignment="1" applyProtection="1">
      <alignment horizontal="left" vertical="justify"/>
      <protection hidden="1"/>
    </xf>
    <xf numFmtId="0" fontId="148" fillId="0" borderId="0" xfId="0" applyFont="1" applyFill="1" applyAlignment="1" applyProtection="1">
      <alignment horizontal="justify" vertical="justify" wrapText="1"/>
      <protection hidden="1"/>
    </xf>
    <xf numFmtId="0" fontId="148" fillId="0" borderId="0" xfId="0" applyFont="1" applyFill="1" applyBorder="1" applyAlignment="1">
      <alignment horizontal="left" vertical="justify"/>
    </xf>
    <xf numFmtId="0" fontId="145" fillId="0" borderId="9" xfId="0" applyFont="1" applyFill="1" applyBorder="1" applyAlignment="1" applyProtection="1">
      <alignment horizontal="justify" vertical="justify" wrapText="1"/>
      <protection hidden="1"/>
    </xf>
    <xf numFmtId="0" fontId="145" fillId="0" borderId="12" xfId="0" applyFont="1" applyFill="1" applyBorder="1" applyAlignment="1" applyProtection="1">
      <alignment horizontal="justify" vertical="justify" wrapText="1"/>
      <protection hidden="1"/>
    </xf>
    <xf numFmtId="0" fontId="146" fillId="23" borderId="8" xfId="0" applyFont="1" applyFill="1" applyBorder="1" applyAlignment="1" applyProtection="1">
      <alignment horizontal="justify" vertical="justify" wrapText="1"/>
      <protection hidden="1"/>
    </xf>
    <xf numFmtId="0" fontId="146" fillId="23" borderId="3" xfId="0" applyFont="1" applyFill="1" applyBorder="1" applyAlignment="1" applyProtection="1">
      <alignment horizontal="justify" vertical="justify" wrapText="1"/>
      <protection hidden="1"/>
    </xf>
    <xf numFmtId="0" fontId="146" fillId="23" borderId="16" xfId="0" applyFont="1" applyFill="1" applyBorder="1" applyAlignment="1" applyProtection="1">
      <alignment horizontal="justify" vertical="justify" wrapText="1"/>
      <protection hidden="1"/>
    </xf>
    <xf numFmtId="0" fontId="146" fillId="0" borderId="9" xfId="0" applyFont="1" applyFill="1" applyBorder="1" applyAlignment="1" applyProtection="1">
      <alignment horizontal="justify" vertical="justify" wrapText="1"/>
      <protection hidden="1"/>
    </xf>
    <xf numFmtId="0" fontId="146" fillId="0" borderId="12" xfId="0" applyFont="1" applyFill="1" applyBorder="1" applyAlignment="1" applyProtection="1">
      <alignment horizontal="justify" vertical="justify" wrapText="1"/>
      <protection hidden="1"/>
    </xf>
    <xf numFmtId="0" fontId="39" fillId="10" borderId="9" xfId="0" applyFont="1" applyFill="1" applyBorder="1" applyAlignment="1" applyProtection="1">
      <alignment horizontal="center" vertical="center"/>
      <protection hidden="1"/>
    </xf>
    <xf numFmtId="0" fontId="39" fillId="10" borderId="12" xfId="0" applyFont="1" applyFill="1" applyBorder="1" applyAlignment="1" applyProtection="1">
      <alignment horizontal="center" vertical="center"/>
      <protection hidden="1"/>
    </xf>
    <xf numFmtId="0" fontId="71" fillId="0" borderId="13" xfId="0" applyFont="1" applyBorder="1" applyAlignment="1" applyProtection="1">
      <alignment horizontal="center" vertical="center"/>
      <protection hidden="1"/>
    </xf>
    <xf numFmtId="0" fontId="71" fillId="0" borderId="15" xfId="0" applyFont="1" applyBorder="1" applyAlignment="1" applyProtection="1">
      <alignment horizontal="center" vertical="center"/>
      <protection hidden="1"/>
    </xf>
    <xf numFmtId="0" fontId="71" fillId="0" borderId="14" xfId="0" applyFont="1" applyBorder="1" applyAlignment="1" applyProtection="1">
      <alignment horizontal="center" vertical="center"/>
      <protection hidden="1"/>
    </xf>
    <xf numFmtId="0" fontId="39" fillId="0" borderId="0" xfId="0" applyFont="1" applyAlignment="1" applyProtection="1">
      <alignment horizontal="left" vertical="center"/>
      <protection hidden="1"/>
    </xf>
    <xf numFmtId="0" fontId="71" fillId="0" borderId="0" xfId="0" applyFont="1" applyAlignment="1" applyProtection="1">
      <alignment horizontal="left" vertical="top" wrapText="1"/>
      <protection hidden="1"/>
    </xf>
    <xf numFmtId="0" fontId="39" fillId="0" borderId="0" xfId="0" applyFont="1" applyAlignment="1" applyProtection="1">
      <alignment horizontal="center" vertical="center"/>
      <protection hidden="1"/>
    </xf>
    <xf numFmtId="180" fontId="159" fillId="20" borderId="3" xfId="8" applyNumberFormat="1" applyFont="1" applyFill="1" applyBorder="1" applyAlignment="1" applyProtection="1">
      <alignment horizontal="center" vertical="center"/>
      <protection hidden="1"/>
    </xf>
    <xf numFmtId="180" fontId="159" fillId="20" borderId="7" xfId="8" applyNumberFormat="1" applyFont="1" applyFill="1" applyBorder="1" applyAlignment="1" applyProtection="1">
      <alignment horizontal="center" vertical="center"/>
      <protection hidden="1"/>
    </xf>
    <xf numFmtId="180" fontId="159" fillId="20" borderId="16" xfId="8" applyNumberFormat="1" applyFont="1" applyFill="1" applyBorder="1" applyAlignment="1" applyProtection="1">
      <alignment horizontal="center" vertical="center"/>
      <protection hidden="1"/>
    </xf>
    <xf numFmtId="180" fontId="159" fillId="20" borderId="6" xfId="8" applyNumberFormat="1" applyFont="1" applyFill="1" applyBorder="1" applyAlignment="1" applyProtection="1">
      <alignment horizontal="center" vertical="center"/>
      <protection hidden="1"/>
    </xf>
    <xf numFmtId="180" fontId="159" fillId="20" borderId="10" xfId="8" applyNumberFormat="1" applyFont="1" applyFill="1" applyBorder="1" applyAlignment="1" applyProtection="1">
      <alignment horizontal="center" vertical="center"/>
      <protection hidden="1"/>
    </xf>
    <xf numFmtId="180" fontId="159" fillId="20" borderId="11" xfId="8" applyNumberFormat="1" applyFont="1" applyFill="1" applyBorder="1" applyAlignment="1" applyProtection="1">
      <alignment horizontal="center" vertical="center"/>
      <protection hidden="1"/>
    </xf>
    <xf numFmtId="180" fontId="78" fillId="20" borderId="3" xfId="8" applyNumberFormat="1" applyFont="1" applyFill="1" applyBorder="1" applyAlignment="1" applyProtection="1">
      <alignment horizontal="center" vertical="center"/>
      <protection locked="0"/>
    </xf>
    <xf numFmtId="180" fontId="78" fillId="20" borderId="7" xfId="8" applyNumberFormat="1" applyFont="1" applyFill="1" applyBorder="1" applyAlignment="1" applyProtection="1">
      <alignment horizontal="center" vertical="center"/>
      <protection locked="0"/>
    </xf>
    <xf numFmtId="180" fontId="78" fillId="20" borderId="16" xfId="8" applyNumberFormat="1" applyFont="1" applyFill="1" applyBorder="1" applyAlignment="1" applyProtection="1">
      <alignment horizontal="center" vertical="center"/>
      <protection locked="0"/>
    </xf>
    <xf numFmtId="180" fontId="78" fillId="20" borderId="6" xfId="8" applyNumberFormat="1" applyFont="1" applyFill="1" applyBorder="1" applyAlignment="1" applyProtection="1">
      <alignment horizontal="center" vertical="center"/>
      <protection locked="0"/>
    </xf>
    <xf numFmtId="180" fontId="78" fillId="20" borderId="10" xfId="8" applyNumberFormat="1" applyFont="1" applyFill="1" applyBorder="1" applyAlignment="1" applyProtection="1">
      <alignment horizontal="center" vertical="center"/>
      <protection locked="0"/>
    </xf>
    <xf numFmtId="180" fontId="78" fillId="20" borderId="11" xfId="8" applyNumberFormat="1" applyFont="1" applyFill="1" applyBorder="1" applyAlignment="1" applyProtection="1">
      <alignment horizontal="center" vertical="center"/>
      <protection locked="0"/>
    </xf>
    <xf numFmtId="0" fontId="80" fillId="0" borderId="4" xfId="21" quotePrefix="1" applyFont="1" applyBorder="1" applyAlignment="1" applyProtection="1">
      <alignment horizontal="left" vertical="justify" wrapText="1"/>
      <protection hidden="1"/>
    </xf>
    <xf numFmtId="0" fontId="78" fillId="0" borderId="0" xfId="21" applyFont="1" applyBorder="1" applyAlignment="1" applyProtection="1">
      <alignment wrapText="1"/>
      <protection hidden="1"/>
    </xf>
    <xf numFmtId="0" fontId="80" fillId="0" borderId="4" xfId="21" quotePrefix="1" applyFont="1" applyBorder="1" applyAlignment="1" applyProtection="1">
      <alignment horizontal="left" vertical="justify"/>
      <protection hidden="1"/>
    </xf>
    <xf numFmtId="0" fontId="78" fillId="0" borderId="0" xfId="21" applyFont="1" applyBorder="1" applyAlignment="1" applyProtection="1">
      <protection hidden="1"/>
    </xf>
    <xf numFmtId="188" fontId="85" fillId="10" borderId="9" xfId="21" applyNumberFormat="1" applyFont="1" applyFill="1" applyBorder="1" applyAlignment="1" applyProtection="1">
      <alignment horizontal="center"/>
      <protection hidden="1"/>
    </xf>
    <xf numFmtId="188" fontId="85" fillId="10" borderId="12" xfId="21" applyNumberFormat="1" applyFont="1" applyFill="1" applyBorder="1" applyAlignment="1" applyProtection="1">
      <alignment horizontal="center"/>
      <protection hidden="1"/>
    </xf>
    <xf numFmtId="0" fontId="85" fillId="10" borderId="3" xfId="21" applyFont="1" applyFill="1" applyBorder="1" applyAlignment="1" applyProtection="1">
      <alignment horizontal="center" vertical="top"/>
      <protection hidden="1"/>
    </xf>
    <xf numFmtId="0" fontId="85" fillId="10" borderId="7" xfId="21" applyFont="1" applyFill="1" applyBorder="1" applyAlignment="1" applyProtection="1">
      <alignment horizontal="center" vertical="top"/>
      <protection hidden="1"/>
    </xf>
    <xf numFmtId="0" fontId="85" fillId="10" borderId="16" xfId="21" applyFont="1" applyFill="1" applyBorder="1" applyAlignment="1" applyProtection="1">
      <alignment horizontal="center" vertical="top"/>
      <protection hidden="1"/>
    </xf>
    <xf numFmtId="0" fontId="85" fillId="10" borderId="13" xfId="21" applyFont="1" applyFill="1" applyBorder="1" applyAlignment="1" applyProtection="1">
      <alignment horizontal="center" vertical="top" wrapText="1"/>
      <protection hidden="1"/>
    </xf>
    <xf numFmtId="0" fontId="85" fillId="10" borderId="15" xfId="21" applyFont="1" applyFill="1" applyBorder="1" applyAlignment="1" applyProtection="1">
      <alignment horizontal="center" vertical="top" wrapText="1"/>
      <protection hidden="1"/>
    </xf>
    <xf numFmtId="188" fontId="85" fillId="10" borderId="9" xfId="21" applyNumberFormat="1" applyFont="1" applyFill="1" applyBorder="1" applyAlignment="1" applyProtection="1">
      <alignment horizontal="center"/>
      <protection locked="0"/>
    </xf>
    <xf numFmtId="188" fontId="85" fillId="10" borderId="12" xfId="21" applyNumberFormat="1" applyFont="1" applyFill="1" applyBorder="1" applyAlignment="1" applyProtection="1">
      <alignment horizontal="center"/>
      <protection locked="0"/>
    </xf>
    <xf numFmtId="0" fontId="80" fillId="0" borderId="97" xfId="21" applyFont="1" applyBorder="1" applyAlignment="1" applyProtection="1">
      <alignment wrapText="1"/>
      <protection hidden="1"/>
    </xf>
    <xf numFmtId="0" fontId="78" fillId="0" borderId="24" xfId="21" applyFont="1" applyBorder="1" applyAlignment="1" applyProtection="1">
      <alignment wrapText="1"/>
      <protection hidden="1"/>
    </xf>
    <xf numFmtId="0" fontId="78" fillId="0" borderId="38" xfId="21" applyFont="1" applyBorder="1" applyAlignment="1" applyProtection="1">
      <alignment wrapText="1"/>
      <protection hidden="1"/>
    </xf>
    <xf numFmtId="0" fontId="85" fillId="0" borderId="0" xfId="21" applyFont="1" applyFill="1" applyBorder="1" applyAlignment="1" applyProtection="1">
      <alignment horizontal="left"/>
      <protection hidden="1"/>
    </xf>
    <xf numFmtId="0" fontId="85" fillId="10" borderId="13" xfId="21" applyFont="1" applyFill="1" applyBorder="1" applyAlignment="1" applyProtection="1">
      <alignment horizontal="center" vertical="center" wrapText="1"/>
      <protection hidden="1"/>
    </xf>
    <xf numFmtId="0" fontId="85" fillId="10" borderId="15" xfId="21" applyFont="1" applyFill="1" applyBorder="1" applyAlignment="1" applyProtection="1">
      <alignment horizontal="center" vertical="center" wrapText="1"/>
      <protection hidden="1"/>
    </xf>
    <xf numFmtId="188" fontId="85" fillId="10" borderId="22" xfId="21" applyNumberFormat="1" applyFont="1" applyFill="1" applyBorder="1" applyAlignment="1" applyProtection="1">
      <alignment horizontal="center"/>
      <protection hidden="1"/>
    </xf>
    <xf numFmtId="180" fontId="78" fillId="0" borderId="62" xfId="8" applyNumberFormat="1" applyFont="1" applyBorder="1" applyAlignment="1" applyProtection="1">
      <alignment horizontal="center"/>
      <protection hidden="1"/>
    </xf>
    <xf numFmtId="180" fontId="78" fillId="0" borderId="63" xfId="8" applyNumberFormat="1" applyFont="1" applyBorder="1" applyAlignment="1" applyProtection="1">
      <alignment horizontal="center"/>
      <protection hidden="1"/>
    </xf>
    <xf numFmtId="0" fontId="78" fillId="0" borderId="129" xfId="21" applyFont="1" applyBorder="1" applyAlignment="1" applyProtection="1">
      <alignment horizontal="left"/>
      <protection locked="0"/>
    </xf>
    <xf numFmtId="0" fontId="78" fillId="0" borderId="130" xfId="21" applyFont="1" applyBorder="1" applyAlignment="1" applyProtection="1">
      <alignment horizontal="left"/>
      <protection locked="0"/>
    </xf>
    <xf numFmtId="0" fontId="78" fillId="0" borderId="131" xfId="21" applyFont="1" applyBorder="1" applyAlignment="1" applyProtection="1">
      <alignment horizontal="left"/>
      <protection locked="0"/>
    </xf>
    <xf numFmtId="0" fontId="85" fillId="10" borderId="9" xfId="21" applyFont="1" applyFill="1" applyBorder="1" applyAlignment="1" applyProtection="1">
      <alignment horizontal="left"/>
      <protection hidden="1"/>
    </xf>
    <xf numFmtId="0" fontId="85" fillId="10" borderId="22" xfId="21" applyFont="1" applyFill="1" applyBorder="1" applyAlignment="1" applyProtection="1">
      <alignment horizontal="left"/>
      <protection hidden="1"/>
    </xf>
    <xf numFmtId="0" fontId="85" fillId="10" borderId="12" xfId="21" applyFont="1" applyFill="1" applyBorder="1" applyAlignment="1" applyProtection="1">
      <alignment horizontal="left"/>
      <protection hidden="1"/>
    </xf>
    <xf numFmtId="188" fontId="85" fillId="10" borderId="3" xfId="21" applyNumberFormat="1" applyFont="1" applyFill="1" applyBorder="1" applyAlignment="1" applyProtection="1">
      <alignment horizontal="center"/>
      <protection hidden="1"/>
    </xf>
    <xf numFmtId="188" fontId="85" fillId="10" borderId="7" xfId="21" applyNumberFormat="1" applyFont="1" applyFill="1" applyBorder="1" applyAlignment="1" applyProtection="1">
      <alignment horizontal="center"/>
      <protection hidden="1"/>
    </xf>
    <xf numFmtId="188" fontId="85" fillId="10" borderId="16" xfId="21" applyNumberFormat="1" applyFont="1" applyFill="1" applyBorder="1" applyAlignment="1" applyProtection="1">
      <alignment horizontal="center"/>
      <protection hidden="1"/>
    </xf>
    <xf numFmtId="0" fontId="85" fillId="10" borderId="97" xfId="21" applyFont="1" applyFill="1" applyBorder="1" applyAlignment="1" applyProtection="1">
      <alignment horizontal="justify" vertical="top" wrapText="1"/>
      <protection hidden="1"/>
    </xf>
    <xf numFmtId="0" fontId="85" fillId="10" borderId="24" xfId="21" applyFont="1" applyFill="1" applyBorder="1" applyAlignment="1" applyProtection="1">
      <alignment horizontal="justify" vertical="top" wrapText="1"/>
      <protection hidden="1"/>
    </xf>
    <xf numFmtId="0" fontId="85" fillId="10" borderId="38" xfId="21" applyFont="1" applyFill="1" applyBorder="1" applyAlignment="1" applyProtection="1">
      <alignment horizontal="justify" vertical="top" wrapText="1"/>
      <protection hidden="1"/>
    </xf>
    <xf numFmtId="10" fontId="81" fillId="5" borderId="0" xfId="24" applyNumberFormat="1" applyFont="1" applyFill="1" applyBorder="1" applyAlignment="1" applyProtection="1">
      <alignment horizontal="center"/>
      <protection hidden="1"/>
    </xf>
    <xf numFmtId="0" fontId="80" fillId="0" borderId="97" xfId="21" applyFont="1" applyFill="1" applyBorder="1" applyAlignment="1" applyProtection="1">
      <alignment horizontal="left"/>
      <protection hidden="1"/>
    </xf>
    <xf numFmtId="0" fontId="80" fillId="0" borderId="24" xfId="21" applyFont="1" applyFill="1" applyBorder="1" applyAlignment="1" applyProtection="1">
      <alignment horizontal="left"/>
      <protection hidden="1"/>
    </xf>
    <xf numFmtId="0" fontId="78" fillId="0" borderId="137" xfId="21" applyFont="1" applyBorder="1" applyAlignment="1" applyProtection="1">
      <alignment horizontal="left"/>
      <protection hidden="1"/>
    </xf>
    <xf numFmtId="0" fontId="78" fillId="0" borderId="1" xfId="21" applyFont="1" applyBorder="1" applyAlignment="1" applyProtection="1">
      <alignment horizontal="left"/>
      <protection hidden="1"/>
    </xf>
    <xf numFmtId="0" fontId="78" fillId="0" borderId="138" xfId="21" applyFont="1" applyBorder="1" applyAlignment="1" applyProtection="1">
      <alignment horizontal="left"/>
      <protection hidden="1"/>
    </xf>
    <xf numFmtId="0" fontId="83" fillId="0" borderId="3" xfId="21" applyFont="1" applyBorder="1" applyAlignment="1" applyProtection="1">
      <alignment horizontal="center" vertical="center"/>
      <protection hidden="1"/>
    </xf>
    <xf numFmtId="0" fontId="83" fillId="0" borderId="7" xfId="21" applyFont="1" applyBorder="1" applyAlignment="1" applyProtection="1">
      <alignment horizontal="center" vertical="center"/>
      <protection hidden="1"/>
    </xf>
    <xf numFmtId="0" fontId="83" fillId="0" borderId="16" xfId="21" applyFont="1" applyBorder="1" applyAlignment="1" applyProtection="1">
      <alignment horizontal="center" vertical="center"/>
      <protection hidden="1"/>
    </xf>
    <xf numFmtId="0" fontId="83" fillId="0" borderId="6" xfId="21" applyFont="1" applyBorder="1" applyAlignment="1" applyProtection="1">
      <alignment horizontal="center" vertical="center"/>
      <protection hidden="1"/>
    </xf>
    <xf numFmtId="0" fontId="83" fillId="0" borderId="10" xfId="21" applyFont="1" applyBorder="1" applyAlignment="1" applyProtection="1">
      <alignment horizontal="center" vertical="center"/>
      <protection hidden="1"/>
    </xf>
    <xf numFmtId="0" fontId="83" fillId="0" borderId="11" xfId="21" applyFont="1" applyBorder="1" applyAlignment="1" applyProtection="1">
      <alignment horizontal="center" vertical="center"/>
      <protection hidden="1"/>
    </xf>
    <xf numFmtId="0" fontId="78" fillId="0" borderId="139" xfId="21" applyFont="1" applyBorder="1" applyAlignment="1" applyProtection="1">
      <alignment horizontal="left"/>
      <protection hidden="1"/>
    </xf>
    <xf numFmtId="0" fontId="78" fillId="0" borderId="140" xfId="21" applyFont="1" applyBorder="1" applyAlignment="1" applyProtection="1">
      <alignment horizontal="left"/>
      <protection hidden="1"/>
    </xf>
    <xf numFmtId="0" fontId="78" fillId="0" borderId="141" xfId="21" applyFont="1" applyBorder="1" applyAlignment="1" applyProtection="1">
      <alignment horizontal="left"/>
      <protection hidden="1"/>
    </xf>
    <xf numFmtId="0" fontId="78" fillId="0" borderId="137" xfId="21" applyFont="1" applyBorder="1" applyAlignment="1" applyProtection="1">
      <alignment horizontal="left" vertical="center"/>
      <protection hidden="1"/>
    </xf>
    <xf numFmtId="0" fontId="78" fillId="0" borderId="1" xfId="21" applyFont="1" applyBorder="1" applyAlignment="1" applyProtection="1">
      <alignment horizontal="left" vertical="center"/>
      <protection hidden="1"/>
    </xf>
    <xf numFmtId="0" fontId="78" fillId="0" borderId="138" xfId="21" applyFont="1" applyBorder="1" applyAlignment="1" applyProtection="1">
      <alignment horizontal="left" vertical="center"/>
      <protection hidden="1"/>
    </xf>
    <xf numFmtId="0" fontId="158" fillId="20" borderId="9" xfId="21" applyFont="1" applyFill="1" applyBorder="1" applyAlignment="1" applyProtection="1">
      <alignment horizontal="left" vertical="center" wrapText="1"/>
      <protection hidden="1"/>
    </xf>
    <xf numFmtId="0" fontId="158" fillId="20" borderId="22" xfId="21" applyFont="1" applyFill="1" applyBorder="1" applyAlignment="1" applyProtection="1">
      <alignment horizontal="left" vertical="center" wrapText="1"/>
      <protection hidden="1"/>
    </xf>
    <xf numFmtId="0" fontId="158" fillId="20" borderId="12" xfId="21" applyFont="1" applyFill="1" applyBorder="1" applyAlignment="1" applyProtection="1">
      <alignment horizontal="left" vertical="center" wrapText="1"/>
      <protection hidden="1"/>
    </xf>
    <xf numFmtId="0" fontId="158" fillId="20" borderId="9" xfId="21" applyFont="1" applyFill="1" applyBorder="1" applyAlignment="1" applyProtection="1">
      <alignment horizontal="left"/>
      <protection hidden="1"/>
    </xf>
    <xf numFmtId="0" fontId="158" fillId="20" borderId="22" xfId="21" applyFont="1" applyFill="1" applyBorder="1" applyAlignment="1" applyProtection="1">
      <alignment horizontal="left"/>
      <protection hidden="1"/>
    </xf>
    <xf numFmtId="0" fontId="158" fillId="20" borderId="12" xfId="21" applyFont="1" applyFill="1" applyBorder="1" applyAlignment="1" applyProtection="1">
      <alignment horizontal="left"/>
      <protection hidden="1"/>
    </xf>
    <xf numFmtId="0" fontId="78" fillId="0" borderId="86" xfId="21" applyFont="1" applyBorder="1" applyAlignment="1" applyProtection="1">
      <alignment horizontal="left"/>
      <protection locked="0"/>
    </xf>
    <xf numFmtId="0" fontId="78" fillId="0" borderId="87" xfId="21" applyFont="1" applyBorder="1" applyAlignment="1" applyProtection="1">
      <alignment horizontal="left"/>
      <protection locked="0"/>
    </xf>
    <xf numFmtId="0" fontId="80" fillId="0" borderId="99" xfId="21" applyFont="1" applyBorder="1" applyAlignment="1" applyProtection="1">
      <alignment horizontal="left" vertical="center" wrapText="1"/>
      <protection hidden="1"/>
    </xf>
    <xf numFmtId="0" fontId="80" fillId="0" borderId="14" xfId="21" applyFont="1" applyBorder="1" applyAlignment="1" applyProtection="1">
      <alignment horizontal="left" vertical="center" wrapText="1"/>
      <protection hidden="1"/>
    </xf>
    <xf numFmtId="0" fontId="80" fillId="0" borderId="115" xfId="21" applyFont="1" applyBorder="1" applyAlignment="1" applyProtection="1">
      <alignment horizontal="left" vertical="center" wrapText="1"/>
      <protection hidden="1"/>
    </xf>
    <xf numFmtId="0" fontId="83" fillId="0" borderId="132" xfId="21" applyFont="1" applyBorder="1" applyAlignment="1" applyProtection="1">
      <alignment horizontal="center"/>
      <protection hidden="1"/>
    </xf>
    <xf numFmtId="0" fontId="83" fillId="0" borderId="34" xfId="21" applyFont="1" applyBorder="1" applyAlignment="1" applyProtection="1">
      <alignment horizontal="center"/>
      <protection hidden="1"/>
    </xf>
    <xf numFmtId="0" fontId="78" fillId="0" borderId="133" xfId="21" applyFont="1" applyBorder="1" applyAlignment="1" applyProtection="1">
      <alignment horizontal="left"/>
      <protection locked="0"/>
    </xf>
    <xf numFmtId="0" fontId="78" fillId="0" borderId="31" xfId="21" applyFont="1" applyBorder="1" applyAlignment="1" applyProtection="1">
      <alignment horizontal="left"/>
      <protection locked="0"/>
    </xf>
    <xf numFmtId="0" fontId="78" fillId="0" borderId="23" xfId="21" applyFont="1" applyBorder="1" applyAlignment="1" applyProtection="1">
      <alignment horizontal="left"/>
      <protection locked="0"/>
    </xf>
    <xf numFmtId="0" fontId="78" fillId="0" borderId="134" xfId="21" applyFont="1" applyBorder="1" applyAlignment="1" applyProtection="1">
      <alignment horizontal="left"/>
      <protection locked="0"/>
    </xf>
    <xf numFmtId="0" fontId="78" fillId="0" borderId="135" xfId="21" applyFont="1" applyBorder="1" applyAlignment="1" applyProtection="1">
      <alignment horizontal="left"/>
      <protection locked="0"/>
    </xf>
    <xf numFmtId="0" fontId="78" fillId="0" borderId="136" xfId="21" applyFont="1" applyBorder="1" applyAlignment="1" applyProtection="1">
      <alignment horizontal="left"/>
      <protection locked="0"/>
    </xf>
    <xf numFmtId="0" fontId="78" fillId="0" borderId="0" xfId="21" applyFont="1" applyBorder="1" applyAlignment="1" applyProtection="1">
      <alignment horizontal="left"/>
      <protection locked="0"/>
    </xf>
    <xf numFmtId="0" fontId="89" fillId="14" borderId="0" xfId="21" applyFont="1" applyFill="1" applyBorder="1" applyAlignment="1" applyProtection="1">
      <alignment horizontal="center" vertical="center"/>
      <protection hidden="1"/>
    </xf>
    <xf numFmtId="0" fontId="83" fillId="0" borderId="3" xfId="21" applyFont="1" applyBorder="1" applyAlignment="1" applyProtection="1">
      <alignment horizontal="center"/>
      <protection hidden="1"/>
    </xf>
    <xf numFmtId="0" fontId="83" fillId="0" borderId="7" xfId="21" applyFont="1" applyBorder="1" applyAlignment="1" applyProtection="1">
      <alignment horizontal="center"/>
      <protection hidden="1"/>
    </xf>
    <xf numFmtId="0" fontId="83" fillId="0" borderId="16" xfId="21" applyFont="1" applyBorder="1" applyAlignment="1" applyProtection="1">
      <alignment horizontal="center"/>
      <protection hidden="1"/>
    </xf>
    <xf numFmtId="0" fontId="83" fillId="0" borderId="4" xfId="21" applyFont="1" applyBorder="1" applyAlignment="1" applyProtection="1">
      <alignment horizontal="center"/>
      <protection hidden="1"/>
    </xf>
    <xf numFmtId="0" fontId="83" fillId="0" borderId="0" xfId="21" applyFont="1" applyBorder="1" applyAlignment="1" applyProtection="1">
      <alignment horizontal="center"/>
      <protection hidden="1"/>
    </xf>
    <xf numFmtId="0" fontId="83" fillId="0" borderId="5" xfId="21" applyFont="1" applyBorder="1" applyAlignment="1" applyProtection="1">
      <alignment horizontal="center"/>
      <protection hidden="1"/>
    </xf>
    <xf numFmtId="0" fontId="83" fillId="0" borderId="4" xfId="21" applyFont="1" applyBorder="1" applyAlignment="1" applyProtection="1">
      <alignment horizontal="center"/>
      <protection locked="0"/>
    </xf>
    <xf numFmtId="0" fontId="83" fillId="0" borderId="0" xfId="21" applyFont="1" applyBorder="1" applyAlignment="1" applyProtection="1">
      <alignment horizontal="center"/>
      <protection locked="0"/>
    </xf>
    <xf numFmtId="0" fontId="83" fillId="0" borderId="5" xfId="21" applyFont="1" applyBorder="1" applyAlignment="1" applyProtection="1">
      <alignment horizontal="center"/>
      <protection locked="0"/>
    </xf>
    <xf numFmtId="0" fontId="83" fillId="0" borderId="6" xfId="21" applyFont="1" applyBorder="1" applyAlignment="1" applyProtection="1">
      <alignment horizontal="center"/>
      <protection locked="0"/>
    </xf>
    <xf numFmtId="0" fontId="83" fillId="0" borderId="10" xfId="21" applyFont="1" applyBorder="1" applyAlignment="1" applyProtection="1">
      <alignment horizontal="center"/>
      <protection locked="0"/>
    </xf>
    <xf numFmtId="0" fontId="83" fillId="0" borderId="11" xfId="21" applyFont="1" applyBorder="1" applyAlignment="1" applyProtection="1">
      <alignment horizontal="center"/>
      <protection locked="0"/>
    </xf>
    <xf numFmtId="0" fontId="83" fillId="0" borderId="4" xfId="21" applyFont="1" applyBorder="1" applyAlignment="1" applyProtection="1">
      <alignment horizontal="center" vertical="center"/>
      <protection hidden="1"/>
    </xf>
    <xf numFmtId="0" fontId="83" fillId="0" borderId="0" xfId="21" applyFont="1" applyBorder="1" applyAlignment="1" applyProtection="1">
      <alignment horizontal="center" vertical="center"/>
      <protection hidden="1"/>
    </xf>
    <xf numFmtId="0" fontId="83" fillId="0" borderId="5" xfId="21" applyFont="1" applyBorder="1" applyAlignment="1" applyProtection="1">
      <alignment horizontal="center" vertical="center"/>
      <protection hidden="1"/>
    </xf>
    <xf numFmtId="0" fontId="83" fillId="0" borderId="4" xfId="21" applyFont="1" applyBorder="1" applyAlignment="1" applyProtection="1">
      <alignment horizontal="center" vertical="center"/>
      <protection locked="0"/>
    </xf>
    <xf numFmtId="0" fontId="83" fillId="0" borderId="0" xfId="21" applyFont="1" applyBorder="1" applyAlignment="1" applyProtection="1">
      <alignment horizontal="center" vertical="center"/>
      <protection locked="0"/>
    </xf>
    <xf numFmtId="0" fontId="83" fillId="0" borderId="5" xfId="21" applyFont="1" applyBorder="1" applyAlignment="1" applyProtection="1">
      <alignment horizontal="center" vertical="center"/>
      <protection locked="0"/>
    </xf>
    <xf numFmtId="0" fontId="83" fillId="0" borderId="6" xfId="21" applyFont="1" applyBorder="1" applyAlignment="1" applyProtection="1">
      <alignment horizontal="center" vertical="center"/>
      <protection locked="0"/>
    </xf>
    <xf numFmtId="0" fontId="83" fillId="0" borderId="10" xfId="21" applyFont="1" applyBorder="1" applyAlignment="1" applyProtection="1">
      <alignment horizontal="center" vertical="center"/>
      <protection locked="0"/>
    </xf>
    <xf numFmtId="0" fontId="83" fillId="0" borderId="11" xfId="21" applyFont="1" applyBorder="1" applyAlignment="1" applyProtection="1">
      <alignment horizontal="center" vertical="center"/>
      <protection locked="0"/>
    </xf>
    <xf numFmtId="0" fontId="41" fillId="5" borderId="0" xfId="0" applyFont="1" applyFill="1" applyBorder="1" applyAlignment="1" applyProtection="1">
      <alignment horizontal="center" vertical="center" wrapText="1"/>
    </xf>
    <xf numFmtId="0" fontId="41" fillId="5" borderId="0" xfId="0" applyFont="1" applyFill="1" applyBorder="1" applyAlignment="1" applyProtection="1">
      <alignment horizontal="left" vertical="center"/>
    </xf>
    <xf numFmtId="0" fontId="41" fillId="0" borderId="0" xfId="20" applyFont="1" applyBorder="1" applyAlignment="1">
      <alignment horizontal="center"/>
    </xf>
    <xf numFmtId="0" fontId="52" fillId="0" borderId="52" xfId="0" applyFont="1" applyBorder="1" applyAlignment="1" applyProtection="1">
      <alignment horizontal="right" vertical="center" wrapText="1"/>
    </xf>
    <xf numFmtId="0" fontId="40" fillId="0" borderId="0" xfId="0" applyFont="1" applyAlignment="1" applyProtection="1">
      <alignment horizontal="left" vertical="center" wrapText="1"/>
    </xf>
    <xf numFmtId="0" fontId="68" fillId="5" borderId="0" xfId="0" applyFont="1" applyFill="1" applyBorder="1" applyAlignment="1" applyProtection="1">
      <alignment horizontal="center" vertical="center"/>
    </xf>
    <xf numFmtId="0" fontId="41" fillId="5" borderId="0" xfId="0" applyFont="1" applyFill="1" applyBorder="1" applyAlignment="1" applyProtection="1">
      <alignment vertical="center"/>
    </xf>
    <xf numFmtId="10" fontId="52" fillId="0" borderId="19" xfId="0" applyNumberFormat="1" applyFont="1" applyBorder="1" applyAlignment="1" applyProtection="1">
      <alignment horizontal="right" vertical="center" wrapText="1"/>
    </xf>
    <xf numFmtId="0" fontId="41" fillId="12" borderId="0" xfId="0" applyFont="1" applyFill="1" applyBorder="1" applyAlignment="1" applyProtection="1">
      <alignment horizontal="center" vertical="center" wrapText="1"/>
    </xf>
    <xf numFmtId="43" fontId="41" fillId="5" borderId="0" xfId="1" applyNumberFormat="1" applyFont="1" applyFill="1" applyBorder="1" applyAlignment="1" applyProtection="1">
      <alignment horizontal="center" vertical="center" wrapText="1"/>
    </xf>
    <xf numFmtId="43" fontId="41" fillId="5" borderId="0" xfId="0" applyNumberFormat="1" applyFont="1" applyFill="1" applyBorder="1" applyAlignment="1" applyProtection="1">
      <alignment horizontal="center" vertical="center"/>
    </xf>
    <xf numFmtId="41" fontId="52" fillId="0" borderId="21" xfId="0" applyNumberFormat="1" applyFont="1" applyBorder="1" applyAlignment="1" applyProtection="1">
      <alignment horizontal="left" vertical="center" wrapText="1"/>
    </xf>
    <xf numFmtId="41" fontId="52" fillId="0" borderId="22" xfId="0" applyNumberFormat="1" applyFont="1" applyBorder="1" applyAlignment="1" applyProtection="1">
      <alignment horizontal="left" vertical="center" wrapText="1"/>
    </xf>
    <xf numFmtId="0" fontId="40" fillId="5" borderId="0" xfId="0" applyFont="1" applyFill="1" applyBorder="1" applyAlignment="1" applyProtection="1">
      <alignment horizontal="left" vertical="center" wrapText="1"/>
    </xf>
    <xf numFmtId="180" fontId="40" fillId="5" borderId="0" xfId="0" applyNumberFormat="1" applyFont="1" applyFill="1" applyBorder="1" applyAlignment="1" applyProtection="1">
      <alignment horizontal="center" vertical="center"/>
    </xf>
    <xf numFmtId="180" fontId="41" fillId="5" borderId="0" xfId="1" applyNumberFormat="1" applyFont="1" applyFill="1" applyBorder="1" applyAlignment="1" applyProtection="1">
      <alignment horizontal="center" vertical="center" wrapText="1"/>
    </xf>
    <xf numFmtId="10" fontId="48" fillId="5" borderId="10" xfId="0" applyNumberFormat="1" applyFont="1" applyFill="1" applyBorder="1" applyAlignment="1" applyProtection="1">
      <alignment horizontal="center" vertical="center"/>
    </xf>
    <xf numFmtId="10" fontId="48" fillId="5" borderId="11" xfId="0" applyNumberFormat="1" applyFont="1" applyFill="1" applyBorder="1" applyAlignment="1" applyProtection="1">
      <alignment horizontal="center" vertical="center"/>
    </xf>
    <xf numFmtId="0" fontId="68" fillId="5" borderId="0" xfId="0" applyFont="1" applyFill="1" applyBorder="1" applyAlignment="1" applyProtection="1">
      <alignment horizontal="center" vertical="center" wrapText="1"/>
    </xf>
    <xf numFmtId="180" fontId="41" fillId="5" borderId="0" xfId="1" applyNumberFormat="1" applyFont="1" applyFill="1" applyBorder="1" applyAlignment="1" applyProtection="1">
      <alignment horizontal="center" vertical="center"/>
    </xf>
    <xf numFmtId="0" fontId="41" fillId="5" borderId="0" xfId="0" applyFont="1" applyFill="1" applyBorder="1" applyAlignment="1" applyProtection="1">
      <alignment horizontal="center" vertical="center"/>
    </xf>
    <xf numFmtId="0" fontId="40" fillId="11" borderId="49" xfId="0" applyFont="1" applyFill="1" applyBorder="1" applyAlignment="1" applyProtection="1">
      <alignment horizontal="left" vertical="center"/>
    </xf>
    <xf numFmtId="0" fontId="40" fillId="11" borderId="118" xfId="0" applyFont="1" applyFill="1" applyBorder="1" applyAlignment="1" applyProtection="1">
      <alignment horizontal="left" vertical="center"/>
    </xf>
    <xf numFmtId="0" fontId="41" fillId="0" borderId="49" xfId="0" applyFont="1" applyBorder="1" applyAlignment="1" applyProtection="1">
      <alignment horizontal="left" vertical="center"/>
    </xf>
    <xf numFmtId="0" fontId="41" fillId="0" borderId="48" xfId="0" applyFont="1" applyBorder="1" applyAlignment="1" applyProtection="1">
      <alignment horizontal="left" vertical="center"/>
    </xf>
    <xf numFmtId="0" fontId="41" fillId="0" borderId="118" xfId="0" applyFont="1" applyBorder="1" applyAlignment="1" applyProtection="1">
      <alignment horizontal="left" vertical="center"/>
    </xf>
    <xf numFmtId="0" fontId="41" fillId="32" borderId="62" xfId="0" applyFont="1" applyFill="1" applyBorder="1"/>
    <xf numFmtId="0" fontId="41" fillId="32" borderId="63" xfId="0" applyFont="1" applyFill="1" applyBorder="1"/>
    <xf numFmtId="0" fontId="41" fillId="11" borderId="21" xfId="0" applyFont="1" applyFill="1" applyBorder="1" applyAlignment="1" applyProtection="1">
      <alignment horizontal="left" vertical="center"/>
    </xf>
    <xf numFmtId="0" fontId="41" fillId="11" borderId="44" xfId="0" applyFont="1" applyFill="1" applyBorder="1" applyAlignment="1" applyProtection="1">
      <alignment horizontal="left" vertical="center"/>
    </xf>
    <xf numFmtId="0" fontId="41" fillId="11" borderId="8" xfId="0" applyFont="1" applyFill="1" applyBorder="1" applyAlignment="1" applyProtection="1">
      <alignment horizontal="left" vertical="center"/>
    </xf>
    <xf numFmtId="10" fontId="40" fillId="5" borderId="21" xfId="0" applyNumberFormat="1" applyFont="1" applyFill="1" applyBorder="1" applyAlignment="1" applyProtection="1">
      <alignment horizontal="center" vertical="center"/>
    </xf>
    <xf numFmtId="10" fontId="40" fillId="5" borderId="44" xfId="0" applyNumberFormat="1" applyFont="1" applyFill="1" applyBorder="1" applyAlignment="1" applyProtection="1">
      <alignment horizontal="center" vertical="center"/>
    </xf>
    <xf numFmtId="0" fontId="68" fillId="0" borderId="0" xfId="0" applyFont="1" applyBorder="1" applyAlignment="1" applyProtection="1">
      <alignment horizontal="left" vertical="center"/>
    </xf>
    <xf numFmtId="0" fontId="68" fillId="0" borderId="5" xfId="0" applyFont="1" applyBorder="1" applyAlignment="1" applyProtection="1">
      <alignment horizontal="left" vertical="center"/>
    </xf>
    <xf numFmtId="0" fontId="67" fillId="0" borderId="0" xfId="0" applyFont="1" applyBorder="1" applyAlignment="1" applyProtection="1">
      <alignment horizontal="left" vertical="center"/>
    </xf>
    <xf numFmtId="0" fontId="48" fillId="0" borderId="3" xfId="0" applyFont="1" applyBorder="1" applyAlignment="1" applyProtection="1">
      <alignment horizontal="center" vertical="center" wrapText="1"/>
    </xf>
    <xf numFmtId="0" fontId="48" fillId="0" borderId="16" xfId="0" applyFont="1" applyBorder="1" applyAlignment="1" applyProtection="1">
      <alignment horizontal="center" vertical="center" wrapText="1"/>
    </xf>
    <xf numFmtId="10" fontId="48" fillId="0" borderId="3" xfId="0" applyNumberFormat="1" applyFont="1" applyBorder="1" applyAlignment="1" applyProtection="1">
      <alignment horizontal="center" vertical="center" wrapText="1"/>
    </xf>
    <xf numFmtId="10" fontId="48" fillId="0" borderId="7" xfId="0" applyNumberFormat="1" applyFont="1" applyBorder="1" applyAlignment="1" applyProtection="1">
      <alignment horizontal="center" vertical="center" wrapText="1"/>
    </xf>
    <xf numFmtId="10" fontId="48" fillId="0" borderId="16" xfId="0" applyNumberFormat="1" applyFont="1" applyBorder="1" applyAlignment="1" applyProtection="1">
      <alignment horizontal="center" vertical="center" wrapText="1"/>
    </xf>
    <xf numFmtId="0" fontId="40" fillId="11" borderId="50" xfId="0" applyFont="1" applyFill="1" applyBorder="1" applyAlignment="1" applyProtection="1">
      <alignment horizontal="center" vertical="center"/>
    </xf>
    <xf numFmtId="0" fontId="40" fillId="11" borderId="41" xfId="0" applyFont="1" applyFill="1" applyBorder="1" applyAlignment="1" applyProtection="1">
      <alignment horizontal="center" vertical="center"/>
    </xf>
    <xf numFmtId="0" fontId="48" fillId="5" borderId="6" xfId="0" applyFont="1" applyFill="1" applyBorder="1" applyAlignment="1" applyProtection="1">
      <alignment horizontal="center" vertical="center"/>
    </xf>
    <xf numFmtId="0" fontId="48" fillId="5" borderId="11" xfId="0" applyFont="1" applyFill="1" applyBorder="1" applyAlignment="1" applyProtection="1">
      <alignment horizontal="center" vertical="center"/>
    </xf>
    <xf numFmtId="10" fontId="48" fillId="5" borderId="6" xfId="0" applyNumberFormat="1" applyFont="1" applyFill="1" applyBorder="1" applyAlignment="1" applyProtection="1">
      <alignment horizontal="center" vertical="center"/>
    </xf>
    <xf numFmtId="0" fontId="40" fillId="11" borderId="21" xfId="0" applyFont="1" applyFill="1" applyBorder="1" applyAlignment="1" applyProtection="1">
      <alignment horizontal="left"/>
    </xf>
    <xf numFmtId="0" fontId="40" fillId="11" borderId="44" xfId="0" applyFont="1" applyFill="1" applyBorder="1" applyAlignment="1" applyProtection="1">
      <alignment horizontal="left"/>
    </xf>
    <xf numFmtId="184" fontId="41" fillId="0" borderId="21" xfId="0" applyNumberFormat="1" applyFont="1" applyBorder="1" applyAlignment="1" applyProtection="1">
      <alignment horizontal="center" vertical="center"/>
    </xf>
    <xf numFmtId="184" fontId="41" fillId="0" borderId="22" xfId="0" applyNumberFormat="1" applyFont="1" applyBorder="1" applyAlignment="1" applyProtection="1">
      <alignment horizontal="center" vertical="center"/>
    </xf>
    <xf numFmtId="0" fontId="41" fillId="0" borderId="21" xfId="0" applyFont="1" applyBorder="1" applyAlignment="1" applyProtection="1">
      <alignment horizontal="left" vertical="center"/>
    </xf>
    <xf numFmtId="0" fontId="41" fillId="0" borderId="22" xfId="0" applyFont="1" applyBorder="1"/>
    <xf numFmtId="0" fontId="40" fillId="11" borderId="21" xfId="0" applyFont="1" applyFill="1" applyBorder="1" applyAlignment="1" applyProtection="1">
      <alignment horizontal="left" vertical="center"/>
    </xf>
    <xf numFmtId="0" fontId="40" fillId="11" borderId="44" xfId="0" applyFont="1" applyFill="1" applyBorder="1" applyAlignment="1" applyProtection="1">
      <alignment horizontal="left" vertical="center"/>
    </xf>
    <xf numFmtId="0" fontId="41" fillId="0" borderId="22" xfId="0" applyFont="1" applyBorder="1" applyAlignment="1" applyProtection="1">
      <alignment horizontal="left" vertical="center"/>
    </xf>
    <xf numFmtId="0" fontId="41" fillId="0" borderId="44" xfId="0" applyFont="1" applyBorder="1" applyAlignment="1" applyProtection="1">
      <alignment horizontal="left" vertical="center"/>
    </xf>
    <xf numFmtId="0" fontId="41" fillId="0" borderId="0" xfId="0" applyFont="1" applyAlignment="1" applyProtection="1">
      <alignment horizontal="center" vertical="center"/>
    </xf>
    <xf numFmtId="0" fontId="41" fillId="0" borderId="0" xfId="0" applyFont="1" applyBorder="1" applyAlignment="1" applyProtection="1">
      <alignment horizontal="center" vertical="center" wrapText="1"/>
    </xf>
    <xf numFmtId="0" fontId="41" fillId="3" borderId="46" xfId="0" applyFont="1" applyFill="1" applyBorder="1" applyAlignment="1" applyProtection="1">
      <alignment horizontal="center" vertical="center" wrapText="1"/>
    </xf>
    <xf numFmtId="0" fontId="41" fillId="3" borderId="18" xfId="0" applyFont="1" applyFill="1" applyBorder="1" applyAlignment="1" applyProtection="1">
      <alignment horizontal="center" vertical="center" wrapText="1"/>
    </xf>
    <xf numFmtId="0" fontId="40" fillId="11" borderId="53" xfId="0" applyFont="1" applyFill="1" applyBorder="1" applyAlignment="1" applyProtection="1">
      <alignment horizontal="left" vertical="center"/>
    </xf>
    <xf numFmtId="0" fontId="40" fillId="11" borderId="117" xfId="0" applyFont="1" applyFill="1" applyBorder="1" applyAlignment="1" applyProtection="1">
      <alignment horizontal="left" vertical="center"/>
    </xf>
    <xf numFmtId="0" fontId="41" fillId="0" borderId="53" xfId="0" applyFont="1" applyBorder="1" applyAlignment="1" applyProtection="1">
      <alignment horizontal="left" vertical="center"/>
    </xf>
    <xf numFmtId="0" fontId="41" fillId="0" borderId="41" xfId="0" applyFont="1" applyBorder="1" applyAlignment="1" applyProtection="1">
      <alignment horizontal="left" vertical="center"/>
    </xf>
    <xf numFmtId="0" fontId="41" fillId="0" borderId="117" xfId="0" applyFont="1" applyBorder="1" applyAlignment="1" applyProtection="1">
      <alignment horizontal="left" vertical="center"/>
    </xf>
    <xf numFmtId="10" fontId="139" fillId="0" borderId="21" xfId="24" applyNumberFormat="1" applyFont="1" applyFill="1" applyBorder="1" applyAlignment="1">
      <alignment horizontal="center"/>
    </xf>
    <xf numFmtId="10" fontId="139" fillId="0" borderId="22" xfId="24" applyNumberFormat="1" applyFont="1" applyFill="1" applyBorder="1" applyAlignment="1">
      <alignment horizontal="center"/>
    </xf>
    <xf numFmtId="10" fontId="139" fillId="0" borderId="44" xfId="24" applyNumberFormat="1" applyFont="1" applyFill="1" applyBorder="1" applyAlignment="1">
      <alignment horizontal="center"/>
    </xf>
    <xf numFmtId="0" fontId="80" fillId="0" borderId="0" xfId="21" applyFont="1" applyFill="1" applyBorder="1" applyAlignment="1" applyProtection="1">
      <alignment horizontal="justify" vertical="justify" wrapText="1"/>
    </xf>
    <xf numFmtId="0" fontId="78" fillId="0" borderId="0" xfId="21" applyFont="1" applyFill="1" applyBorder="1" applyAlignment="1" applyProtection="1">
      <alignment horizontal="justify" vertical="justify" wrapText="1"/>
    </xf>
    <xf numFmtId="0" fontId="80" fillId="0" borderId="8" xfId="21" applyFont="1" applyBorder="1" applyAlignment="1" applyProtection="1">
      <alignment horizontal="center" vertical="justify" wrapText="1"/>
    </xf>
    <xf numFmtId="0" fontId="85" fillId="0" borderId="0" xfId="21" applyFont="1" applyFill="1" applyBorder="1" applyAlignment="1" applyProtection="1">
      <alignment horizontal="left" vertical="center"/>
    </xf>
    <xf numFmtId="0" fontId="85" fillId="0" borderId="0" xfId="21" applyFont="1" applyFill="1" applyBorder="1" applyAlignment="1" applyProtection="1">
      <alignment horizontal="center" vertical="center" wrapText="1"/>
    </xf>
    <xf numFmtId="0" fontId="85" fillId="0" borderId="0" xfId="21" applyFont="1" applyFill="1" applyBorder="1" applyAlignment="1" applyProtection="1">
      <alignment horizontal="center" vertical="top" wrapText="1"/>
    </xf>
    <xf numFmtId="0" fontId="78" fillId="0" borderId="0" xfId="21" applyFont="1" applyFill="1" applyBorder="1" applyAlignment="1" applyProtection="1">
      <alignment horizontal="center" vertical="top" wrapText="1"/>
    </xf>
    <xf numFmtId="0" fontId="101" fillId="0" borderId="0" xfId="21" applyFont="1" applyFill="1" applyBorder="1" applyAlignment="1" applyProtection="1">
      <alignment horizontal="center"/>
    </xf>
    <xf numFmtId="0" fontId="85" fillId="2" borderId="9" xfId="21" applyFont="1" applyFill="1" applyBorder="1" applyAlignment="1" applyProtection="1">
      <alignment horizontal="left"/>
    </xf>
    <xf numFmtId="0" fontId="85" fillId="2" borderId="12" xfId="21" applyFont="1" applyFill="1" applyBorder="1" applyAlignment="1" applyProtection="1">
      <alignment horizontal="left"/>
    </xf>
    <xf numFmtId="0" fontId="80" fillId="0" borderId="99" xfId="21" applyFont="1" applyBorder="1" applyAlignment="1" applyProtection="1">
      <alignment horizontal="center" vertical="justify" wrapText="1"/>
    </xf>
    <xf numFmtId="0" fontId="80" fillId="0" borderId="14" xfId="21" applyFont="1" applyBorder="1" applyAlignment="1" applyProtection="1">
      <alignment horizontal="center" vertical="justify" wrapText="1"/>
    </xf>
    <xf numFmtId="0" fontId="80" fillId="0" borderId="113" xfId="21" applyFont="1" applyBorder="1" applyAlignment="1" applyProtection="1">
      <alignment horizontal="justify" vertical="justify" wrapText="1"/>
    </xf>
    <xf numFmtId="0" fontId="78" fillId="0" borderId="37" xfId="21" applyFont="1" applyBorder="1" applyAlignment="1" applyProtection="1">
      <alignment horizontal="justify" vertical="justify" wrapText="1"/>
    </xf>
    <xf numFmtId="0" fontId="78" fillId="0" borderId="4" xfId="21" applyFont="1" applyBorder="1" applyAlignment="1" applyProtection="1">
      <alignment horizontal="justify" vertical="justify" wrapText="1"/>
    </xf>
    <xf numFmtId="0" fontId="78" fillId="0" borderId="5" xfId="21" applyFont="1" applyBorder="1" applyAlignment="1" applyProtection="1">
      <alignment horizontal="justify" vertical="justify" wrapText="1"/>
    </xf>
    <xf numFmtId="0" fontId="80" fillId="0" borderId="37" xfId="21" applyFont="1" applyBorder="1" applyAlignment="1" applyProtection="1">
      <alignment horizontal="justify" vertical="justify" wrapText="1"/>
    </xf>
    <xf numFmtId="0" fontId="80" fillId="0" borderId="4" xfId="21" applyFont="1" applyBorder="1" applyAlignment="1" applyProtection="1">
      <alignment horizontal="justify" vertical="justify" wrapText="1"/>
    </xf>
    <xf numFmtId="0" fontId="80" fillId="0" borderId="5" xfId="21" applyFont="1" applyBorder="1" applyAlignment="1" applyProtection="1">
      <alignment horizontal="justify" vertical="justify" wrapText="1"/>
    </xf>
    <xf numFmtId="0" fontId="78" fillId="0" borderId="115" xfId="21" applyFont="1" applyBorder="1" applyAlignment="1" applyProtection="1">
      <alignment horizontal="center" vertical="justify" wrapText="1"/>
    </xf>
    <xf numFmtId="0" fontId="80" fillId="0" borderId="115" xfId="21" applyFont="1" applyBorder="1" applyAlignment="1" applyProtection="1">
      <alignment horizontal="center" vertical="justify" wrapText="1"/>
    </xf>
    <xf numFmtId="0" fontId="80" fillId="0" borderId="116" xfId="21" applyFont="1" applyBorder="1" applyAlignment="1" applyProtection="1">
      <alignment horizontal="justify" vertical="justify" wrapText="1"/>
    </xf>
    <xf numFmtId="0" fontId="80" fillId="0" borderId="142" xfId="21" applyFont="1" applyBorder="1" applyAlignment="1" applyProtection="1">
      <alignment horizontal="justify" vertical="justify" wrapText="1"/>
    </xf>
    <xf numFmtId="0" fontId="101" fillId="10" borderId="13" xfId="21" applyFont="1" applyFill="1" applyBorder="1" applyAlignment="1" applyProtection="1">
      <alignment horizontal="center" vertical="center" wrapText="1"/>
    </xf>
    <xf numFmtId="0" fontId="101" fillId="10" borderId="15" xfId="21" applyFont="1" applyFill="1" applyBorder="1" applyAlignment="1" applyProtection="1">
      <alignment horizontal="center" vertical="center" wrapText="1"/>
    </xf>
    <xf numFmtId="0" fontId="101" fillId="10" borderId="3" xfId="21" applyFont="1" applyFill="1" applyBorder="1" applyAlignment="1" applyProtection="1">
      <alignment horizontal="center" vertical="center" wrapText="1"/>
    </xf>
    <xf numFmtId="0" fontId="101" fillId="10" borderId="7" xfId="21" applyFont="1" applyFill="1" applyBorder="1" applyAlignment="1" applyProtection="1">
      <alignment horizontal="center" vertical="center" wrapText="1"/>
    </xf>
    <xf numFmtId="0" fontId="101" fillId="10" borderId="6" xfId="21" applyFont="1" applyFill="1" applyBorder="1" applyAlignment="1" applyProtection="1">
      <alignment horizontal="center" vertical="center" wrapText="1"/>
    </xf>
    <xf numFmtId="0" fontId="101" fillId="10" borderId="10" xfId="21" applyFont="1" applyFill="1" applyBorder="1" applyAlignment="1" applyProtection="1">
      <alignment horizontal="center" vertical="center" wrapText="1"/>
    </xf>
    <xf numFmtId="0" fontId="101" fillId="10" borderId="9" xfId="21" applyFont="1" applyFill="1" applyBorder="1" applyAlignment="1" applyProtection="1">
      <alignment horizontal="center"/>
    </xf>
    <xf numFmtId="0" fontId="101" fillId="10" borderId="22" xfId="21" applyFont="1" applyFill="1" applyBorder="1" applyAlignment="1" applyProtection="1">
      <alignment horizontal="center"/>
    </xf>
    <xf numFmtId="0" fontId="101" fillId="10" borderId="12" xfId="21" applyFont="1" applyFill="1" applyBorder="1" applyAlignment="1" applyProtection="1">
      <alignment horizontal="center"/>
    </xf>
    <xf numFmtId="0" fontId="85" fillId="10" borderId="3" xfId="21" applyFont="1" applyFill="1" applyBorder="1" applyAlignment="1" applyProtection="1">
      <alignment horizontal="center" vertical="center" wrapText="1"/>
    </xf>
    <xf numFmtId="0" fontId="85" fillId="10" borderId="7" xfId="21" applyFont="1" applyFill="1" applyBorder="1" applyAlignment="1" applyProtection="1">
      <alignment horizontal="center" vertical="center" wrapText="1"/>
    </xf>
    <xf numFmtId="0" fontId="85" fillId="10" borderId="6" xfId="21" applyFont="1" applyFill="1" applyBorder="1" applyAlignment="1" applyProtection="1">
      <alignment horizontal="center" vertical="center" wrapText="1"/>
    </xf>
    <xf numFmtId="0" fontId="85" fillId="10" borderId="10" xfId="21" applyFont="1" applyFill="1" applyBorder="1" applyAlignment="1" applyProtection="1">
      <alignment horizontal="center" vertical="center" wrapText="1"/>
    </xf>
    <xf numFmtId="0" fontId="3" fillId="0" borderId="22" xfId="21" applyBorder="1" applyAlignment="1"/>
    <xf numFmtId="41" fontId="23" fillId="0" borderId="0" xfId="21" applyNumberFormat="1" applyFont="1" applyBorder="1" applyAlignment="1">
      <alignment horizontal="justify" vertical="center" wrapText="1"/>
    </xf>
    <xf numFmtId="0" fontId="23" fillId="0" borderId="47" xfId="21" applyFont="1" applyBorder="1" applyAlignment="1">
      <alignment horizontal="justify" vertical="center" wrapText="1"/>
    </xf>
    <xf numFmtId="41" fontId="23" fillId="0" borderId="64" xfId="21" applyNumberFormat="1" applyFont="1" applyBorder="1" applyAlignment="1">
      <alignment horizontal="right" vertical="center"/>
    </xf>
    <xf numFmtId="0" fontId="23" fillId="0" borderId="68" xfId="21" applyFont="1" applyBorder="1" applyAlignment="1">
      <alignment horizontal="right" vertical="center"/>
    </xf>
    <xf numFmtId="9" fontId="23" fillId="0" borderId="7" xfId="24" applyFont="1" applyBorder="1" applyAlignment="1">
      <alignment horizontal="center"/>
    </xf>
    <xf numFmtId="0" fontId="3" fillId="0" borderId="16" xfId="21" applyBorder="1" applyAlignment="1"/>
    <xf numFmtId="9" fontId="23" fillId="0" borderId="0" xfId="24" applyFont="1" applyBorder="1" applyAlignment="1">
      <alignment horizontal="center"/>
    </xf>
    <xf numFmtId="0" fontId="3" fillId="0" borderId="5" xfId="21" applyBorder="1" applyAlignment="1"/>
    <xf numFmtId="9" fontId="23" fillId="0" borderId="10" xfId="24" applyFont="1" applyBorder="1" applyAlignment="1">
      <alignment horizontal="center"/>
    </xf>
    <xf numFmtId="0" fontId="3" fillId="0" borderId="11" xfId="21" applyBorder="1" applyAlignment="1"/>
    <xf numFmtId="180" fontId="23" fillId="0" borderId="7" xfId="7" applyNumberFormat="1" applyFont="1" applyBorder="1" applyAlignment="1">
      <alignment horizontal="justify" vertical="center"/>
    </xf>
    <xf numFmtId="0" fontId="23" fillId="0" borderId="110" xfId="21" applyFont="1" applyBorder="1" applyAlignment="1">
      <alignment horizontal="justify" vertical="center"/>
    </xf>
    <xf numFmtId="180" fontId="23" fillId="0" borderId="0" xfId="21" applyNumberFormat="1" applyFont="1" applyBorder="1" applyAlignment="1">
      <alignment horizontal="justify" vertical="center"/>
    </xf>
    <xf numFmtId="0" fontId="23" fillId="0" borderId="47" xfId="21" applyFont="1" applyBorder="1" applyAlignment="1">
      <alignment horizontal="justify" vertical="center"/>
    </xf>
    <xf numFmtId="191" fontId="117" fillId="3" borderId="45" xfId="21" applyNumberFormat="1" applyFont="1" applyFill="1" applyBorder="1" applyAlignment="1">
      <alignment horizontal="center" wrapText="1"/>
    </xf>
    <xf numFmtId="0" fontId="117" fillId="3" borderId="45" xfId="21" applyFont="1" applyFill="1" applyBorder="1" applyAlignment="1">
      <alignment horizontal="center" wrapText="1"/>
    </xf>
    <xf numFmtId="0" fontId="117" fillId="3" borderId="63" xfId="21" applyFont="1" applyFill="1" applyBorder="1" applyAlignment="1">
      <alignment horizontal="center" wrapText="1"/>
    </xf>
    <xf numFmtId="0" fontId="22" fillId="3" borderId="9" xfId="21" applyFont="1" applyFill="1" applyBorder="1" applyAlignment="1">
      <alignment horizontal="center"/>
    </xf>
    <xf numFmtId="0" fontId="22" fillId="3" borderId="22" xfId="21" applyFont="1" applyFill="1" applyBorder="1" applyAlignment="1">
      <alignment horizontal="center"/>
    </xf>
    <xf numFmtId="0" fontId="22" fillId="3" borderId="12" xfId="21" applyFont="1" applyFill="1" applyBorder="1" applyAlignment="1">
      <alignment horizontal="center"/>
    </xf>
    <xf numFmtId="0" fontId="23" fillId="0" borderId="3" xfId="21" applyFont="1" applyBorder="1" applyAlignment="1">
      <alignment horizontal="center"/>
    </xf>
    <xf numFmtId="0" fontId="23" fillId="0" borderId="16" xfId="21" applyFont="1" applyBorder="1" applyAlignment="1">
      <alignment horizontal="center"/>
    </xf>
    <xf numFmtId="0" fontId="23" fillId="0" borderId="4" xfId="21" applyFont="1" applyBorder="1" applyAlignment="1">
      <alignment horizontal="center"/>
    </xf>
    <xf numFmtId="0" fontId="23" fillId="0" borderId="5" xfId="21" applyFont="1" applyBorder="1" applyAlignment="1">
      <alignment horizontal="center"/>
    </xf>
    <xf numFmtId="0" fontId="23" fillId="0" borderId="6" xfId="21" applyFont="1" applyBorder="1" applyAlignment="1">
      <alignment horizontal="center"/>
    </xf>
    <xf numFmtId="0" fontId="23" fillId="0" borderId="11" xfId="21" applyFont="1" applyBorder="1" applyAlignment="1">
      <alignment horizontal="center"/>
    </xf>
    <xf numFmtId="0" fontId="116" fillId="3" borderId="62" xfId="21" applyFont="1" applyFill="1" applyBorder="1" applyAlignment="1">
      <alignment horizontal="center" vertical="center" wrapText="1"/>
    </xf>
    <xf numFmtId="0" fontId="118" fillId="0" borderId="45" xfId="21" applyFont="1" applyBorder="1" applyAlignment="1">
      <alignment vertical="center" wrapText="1"/>
    </xf>
    <xf numFmtId="0" fontId="118" fillId="0" borderId="63" xfId="21" applyFont="1" applyBorder="1" applyAlignment="1">
      <alignment vertical="center" wrapText="1"/>
    </xf>
    <xf numFmtId="0" fontId="123" fillId="14" borderId="4" xfId="21" applyFont="1" applyFill="1" applyBorder="1" applyAlignment="1">
      <alignment horizontal="center"/>
    </xf>
    <xf numFmtId="0" fontId="123" fillId="14" borderId="5" xfId="21" applyFont="1" applyFill="1" applyBorder="1" applyAlignment="1">
      <alignment horizontal="center"/>
    </xf>
    <xf numFmtId="0" fontId="124" fillId="0" borderId="4" xfId="21" applyFont="1" applyFill="1" applyBorder="1" applyAlignment="1">
      <alignment horizontal="center"/>
    </xf>
    <xf numFmtId="0" fontId="124" fillId="0" borderId="5" xfId="21" applyFont="1" applyFill="1" applyBorder="1" applyAlignment="1">
      <alignment horizontal="center"/>
    </xf>
    <xf numFmtId="0" fontId="115" fillId="3" borderId="50" xfId="21" applyFont="1" applyFill="1" applyBorder="1" applyAlignment="1">
      <alignment horizontal="left" vertical="center" wrapText="1"/>
    </xf>
    <xf numFmtId="0" fontId="115" fillId="3" borderId="65" xfId="21" applyFont="1" applyFill="1" applyBorder="1" applyAlignment="1">
      <alignment horizontal="left" vertical="center" wrapText="1"/>
    </xf>
    <xf numFmtId="0" fontId="115" fillId="3" borderId="67" xfId="21" applyFont="1" applyFill="1" applyBorder="1" applyAlignment="1">
      <alignment horizontal="left" vertical="center" wrapText="1"/>
    </xf>
    <xf numFmtId="0" fontId="115" fillId="3" borderId="68" xfId="21" applyFont="1" applyFill="1" applyBorder="1" applyAlignment="1">
      <alignment horizontal="left" vertical="center" wrapText="1"/>
    </xf>
    <xf numFmtId="2" fontId="116" fillId="3" borderId="50" xfId="21" applyNumberFormat="1" applyFont="1" applyFill="1" applyBorder="1" applyAlignment="1">
      <alignment horizontal="center" vertical="center" wrapText="1"/>
    </xf>
    <xf numFmtId="2" fontId="116" fillId="3" borderId="52" xfId="21" applyNumberFormat="1" applyFont="1" applyFill="1" applyBorder="1" applyAlignment="1">
      <alignment horizontal="center" vertical="center" wrapText="1"/>
    </xf>
    <xf numFmtId="2" fontId="116" fillId="3" borderId="65" xfId="21" applyNumberFormat="1" applyFont="1" applyFill="1" applyBorder="1" applyAlignment="1">
      <alignment horizontal="center" vertical="center" wrapText="1"/>
    </xf>
    <xf numFmtId="2" fontId="116" fillId="3" borderId="67" xfId="21" applyNumberFormat="1" applyFont="1" applyFill="1" applyBorder="1" applyAlignment="1">
      <alignment horizontal="center" vertical="center" wrapText="1"/>
    </xf>
    <xf numFmtId="2" fontId="116" fillId="3" borderId="64" xfId="21" applyNumberFormat="1" applyFont="1" applyFill="1" applyBorder="1" applyAlignment="1">
      <alignment horizontal="center" vertical="center" wrapText="1"/>
    </xf>
    <xf numFmtId="2" fontId="116" fillId="3" borderId="68" xfId="21" applyNumberFormat="1" applyFont="1" applyFill="1" applyBorder="1" applyAlignment="1">
      <alignment horizontal="center" vertical="center" wrapText="1"/>
    </xf>
    <xf numFmtId="0" fontId="23" fillId="0" borderId="119" xfId="21" applyFont="1" applyBorder="1" applyAlignment="1" applyProtection="1">
      <alignment horizontal="center" vertical="center"/>
      <protection hidden="1"/>
    </xf>
    <xf numFmtId="0" fontId="23" fillId="0" borderId="120" xfId="21" applyFont="1" applyBorder="1" applyAlignment="1" applyProtection="1">
      <alignment horizontal="center" vertical="center"/>
      <protection hidden="1"/>
    </xf>
    <xf numFmtId="9" fontId="113" fillId="0" borderId="66" xfId="24" applyNumberFormat="1" applyFont="1" applyBorder="1" applyAlignment="1">
      <alignment horizontal="center"/>
    </xf>
    <xf numFmtId="9" fontId="113" fillId="0" borderId="47" xfId="24" applyNumberFormat="1" applyFont="1" applyBorder="1" applyAlignment="1">
      <alignment horizontal="center"/>
    </xf>
    <xf numFmtId="9" fontId="113" fillId="0" borderId="67" xfId="24" applyNumberFormat="1" applyFont="1" applyBorder="1" applyAlignment="1">
      <alignment horizontal="center"/>
    </xf>
    <xf numFmtId="9" fontId="113" fillId="0" borderId="68" xfId="24" applyNumberFormat="1" applyFont="1" applyBorder="1" applyAlignment="1">
      <alignment horizontal="center"/>
    </xf>
    <xf numFmtId="9" fontId="23" fillId="0" borderId="50" xfId="24" applyNumberFormat="1" applyFont="1" applyBorder="1" applyAlignment="1">
      <alignment horizontal="center"/>
    </xf>
    <xf numFmtId="9" fontId="23" fillId="0" borderId="65" xfId="24" applyNumberFormat="1" applyFont="1" applyBorder="1" applyAlignment="1">
      <alignment horizontal="center"/>
    </xf>
    <xf numFmtId="9" fontId="23" fillId="0" borderId="67" xfId="24" applyNumberFormat="1" applyFont="1" applyBorder="1" applyAlignment="1">
      <alignment horizontal="center"/>
    </xf>
    <xf numFmtId="9" fontId="23" fillId="0" borderId="68" xfId="24" applyNumberFormat="1" applyFont="1" applyBorder="1" applyAlignment="1">
      <alignment horizontal="center"/>
    </xf>
    <xf numFmtId="9" fontId="23" fillId="0" borderId="66" xfId="24" applyNumberFormat="1" applyFont="1" applyBorder="1" applyAlignment="1">
      <alignment horizontal="center"/>
    </xf>
    <xf numFmtId="9" fontId="23" fillId="0" borderId="47" xfId="24" applyNumberFormat="1" applyFont="1" applyBorder="1" applyAlignment="1">
      <alignment horizontal="center"/>
    </xf>
    <xf numFmtId="0" fontId="23" fillId="0" borderId="47" xfId="21" applyFont="1" applyBorder="1" applyAlignment="1">
      <alignment vertical="top" wrapText="1"/>
    </xf>
    <xf numFmtId="9" fontId="23" fillId="0" borderId="66" xfId="24" applyNumberFormat="1" applyFont="1" applyBorder="1" applyAlignment="1">
      <alignment horizontal="center" vertical="center" wrapText="1"/>
    </xf>
    <xf numFmtId="9" fontId="23" fillId="0" borderId="47" xfId="24" applyNumberFormat="1" applyFont="1" applyBorder="1" applyAlignment="1">
      <alignment horizontal="center" vertical="center" wrapText="1"/>
    </xf>
    <xf numFmtId="9" fontId="23" fillId="0" borderId="67" xfId="24" applyNumberFormat="1" applyFont="1" applyBorder="1" applyAlignment="1">
      <alignment horizontal="center" vertical="center" wrapText="1"/>
    </xf>
    <xf numFmtId="9" fontId="23" fillId="0" borderId="68" xfId="24" applyNumberFormat="1" applyFont="1" applyBorder="1" applyAlignment="1">
      <alignment horizontal="center" vertical="center" wrapText="1"/>
    </xf>
    <xf numFmtId="0" fontId="23" fillId="0" borderId="119" xfId="21" applyFont="1" applyBorder="1" applyAlignment="1" applyProtection="1">
      <alignment horizontal="center" vertical="center"/>
      <protection locked="0"/>
    </xf>
    <xf numFmtId="0" fontId="23" fillId="0" borderId="120" xfId="21" applyFont="1" applyBorder="1" applyAlignment="1" applyProtection="1">
      <alignment horizontal="center" vertical="center"/>
      <protection locked="0"/>
    </xf>
    <xf numFmtId="0" fontId="23" fillId="0" borderId="119" xfId="21" applyFont="1" applyBorder="1" applyAlignment="1" applyProtection="1">
      <alignment horizontal="center"/>
      <protection locked="0"/>
    </xf>
    <xf numFmtId="0" fontId="22" fillId="3" borderId="51" xfId="21" applyFont="1" applyFill="1" applyBorder="1" applyAlignment="1">
      <alignment horizontal="center" vertical="center" wrapText="1"/>
    </xf>
    <xf numFmtId="0" fontId="22" fillId="3" borderId="119" xfId="21" applyFont="1" applyFill="1" applyBorder="1" applyAlignment="1">
      <alignment horizontal="center" vertical="center" wrapText="1"/>
    </xf>
    <xf numFmtId="9" fontId="23" fillId="0" borderId="50" xfId="24" applyFont="1" applyBorder="1" applyAlignment="1">
      <alignment horizontal="center"/>
    </xf>
    <xf numFmtId="9" fontId="23" fillId="0" borderId="65" xfId="24" applyFont="1" applyBorder="1" applyAlignment="1">
      <alignment horizontal="center"/>
    </xf>
    <xf numFmtId="9" fontId="23" fillId="0" borderId="67" xfId="24" applyFont="1" applyBorder="1" applyAlignment="1">
      <alignment horizontal="center"/>
    </xf>
    <xf numFmtId="9" fontId="23" fillId="0" borderId="68" xfId="24" applyFont="1" applyBorder="1" applyAlignment="1">
      <alignment horizontal="center"/>
    </xf>
    <xf numFmtId="9" fontId="113" fillId="0" borderId="50" xfId="24" applyNumberFormat="1" applyFont="1" applyBorder="1" applyAlignment="1">
      <alignment horizontal="center"/>
    </xf>
    <xf numFmtId="9" fontId="113" fillId="0" borderId="65" xfId="24" applyNumberFormat="1" applyFont="1" applyBorder="1" applyAlignment="1">
      <alignment horizontal="center"/>
    </xf>
    <xf numFmtId="0" fontId="22" fillId="3" borderId="50" xfId="21" applyFont="1" applyFill="1" applyBorder="1" applyAlignment="1">
      <alignment horizontal="center" vertical="center" wrapText="1"/>
    </xf>
    <xf numFmtId="0" fontId="22" fillId="3" borderId="65" xfId="21" applyFont="1" applyFill="1" applyBorder="1" applyAlignment="1">
      <alignment horizontal="center" vertical="center" wrapText="1"/>
    </xf>
    <xf numFmtId="0" fontId="22" fillId="3" borderId="66" xfId="21" applyFont="1" applyFill="1" applyBorder="1" applyAlignment="1">
      <alignment horizontal="center" vertical="center" wrapText="1"/>
    </xf>
    <xf numFmtId="0" fontId="22" fillId="3" borderId="47" xfId="21" applyFont="1" applyFill="1" applyBorder="1" applyAlignment="1">
      <alignment horizontal="center" vertical="center" wrapText="1"/>
    </xf>
    <xf numFmtId="0" fontId="22" fillId="3" borderId="67" xfId="21" applyFont="1" applyFill="1" applyBorder="1" applyAlignment="1">
      <alignment horizontal="center" vertical="center" wrapText="1"/>
    </xf>
    <xf numFmtId="0" fontId="22" fillId="3" borderId="68" xfId="21" applyFont="1" applyFill="1" applyBorder="1" applyAlignment="1">
      <alignment horizontal="center" vertical="center" wrapText="1"/>
    </xf>
    <xf numFmtId="0" fontId="22" fillId="3" borderId="62" xfId="21" applyFont="1" applyFill="1" applyBorder="1" applyAlignment="1">
      <alignment horizontal="center" wrapText="1"/>
    </xf>
    <xf numFmtId="0" fontId="22" fillId="3" borderId="45" xfId="21" applyFont="1" applyFill="1" applyBorder="1" applyAlignment="1">
      <alignment horizontal="center" wrapText="1"/>
    </xf>
    <xf numFmtId="0" fontId="22" fillId="3" borderId="63" xfId="21" applyFont="1" applyFill="1" applyBorder="1" applyAlignment="1">
      <alignment horizontal="center" wrapText="1"/>
    </xf>
    <xf numFmtId="9" fontId="23" fillId="0" borderId="66" xfId="24" applyFont="1" applyBorder="1" applyAlignment="1">
      <alignment horizontal="center"/>
    </xf>
    <xf numFmtId="9" fontId="23" fillId="0" borderId="47" xfId="24" applyFont="1" applyBorder="1" applyAlignment="1">
      <alignment horizontal="center"/>
    </xf>
    <xf numFmtId="0" fontId="85" fillId="10" borderId="50" xfId="21" applyFont="1" applyFill="1" applyBorder="1" applyAlignment="1" applyProtection="1">
      <alignment horizontal="center" vertical="top"/>
    </xf>
    <xf numFmtId="0" fontId="85" fillId="10" borderId="52" xfId="21" applyFont="1" applyFill="1" applyBorder="1" applyAlignment="1" applyProtection="1">
      <alignment horizontal="center" vertical="top"/>
    </xf>
    <xf numFmtId="0" fontId="85" fillId="10" borderId="42" xfId="21" applyFont="1" applyFill="1" applyBorder="1" applyAlignment="1" applyProtection="1">
      <alignment horizontal="center" vertical="top"/>
    </xf>
    <xf numFmtId="0" fontId="85" fillId="10" borderId="10" xfId="21" applyFont="1" applyFill="1" applyBorder="1" applyAlignment="1" applyProtection="1">
      <alignment horizontal="center" vertical="top"/>
    </xf>
    <xf numFmtId="0" fontId="85" fillId="10" borderId="50" xfId="21" applyFont="1" applyFill="1" applyBorder="1" applyAlignment="1" applyProtection="1">
      <alignment horizontal="center"/>
    </xf>
    <xf numFmtId="0" fontId="85" fillId="10" borderId="52" xfId="21" applyFont="1" applyFill="1" applyBorder="1" applyAlignment="1" applyProtection="1">
      <alignment horizontal="center"/>
    </xf>
    <xf numFmtId="0" fontId="85" fillId="10" borderId="65" xfId="21" applyFont="1" applyFill="1" applyBorder="1" applyAlignment="1" applyProtection="1">
      <alignment horizontal="center"/>
    </xf>
    <xf numFmtId="0" fontId="157" fillId="0" borderId="24" xfId="20" applyFont="1" applyBorder="1" applyAlignment="1" applyProtection="1">
      <alignment horizontal="left"/>
    </xf>
    <xf numFmtId="0" fontId="157" fillId="0" borderId="38" xfId="20" applyFont="1" applyBorder="1" applyAlignment="1" applyProtection="1">
      <alignment horizontal="left"/>
    </xf>
    <xf numFmtId="0" fontId="22" fillId="0" borderId="0" xfId="20" applyFont="1" applyAlignment="1" applyProtection="1">
      <alignment horizontal="center" vertical="center"/>
    </xf>
    <xf numFmtId="0" fontId="30" fillId="0" borderId="0" xfId="20" applyFont="1" applyAlignment="1" applyProtection="1">
      <alignment horizontal="center"/>
    </xf>
    <xf numFmtId="0" fontId="28" fillId="3" borderId="22" xfId="20" applyFont="1" applyFill="1" applyBorder="1" applyAlignment="1" applyProtection="1">
      <alignment horizontal="left"/>
    </xf>
    <xf numFmtId="0" fontId="28" fillId="3" borderId="22" xfId="20" applyFont="1" applyFill="1" applyBorder="1" applyAlignment="1" applyProtection="1">
      <alignment horizontal="center"/>
    </xf>
    <xf numFmtId="0" fontId="28" fillId="3" borderId="12" xfId="20" applyFont="1" applyFill="1" applyBorder="1" applyAlignment="1" applyProtection="1">
      <alignment horizontal="center"/>
    </xf>
    <xf numFmtId="0" fontId="29" fillId="0" borderId="7" xfId="20" applyFont="1" applyBorder="1" applyAlignment="1" applyProtection="1">
      <alignment horizontal="left"/>
    </xf>
    <xf numFmtId="0" fontId="157" fillId="0" borderId="7" xfId="20" applyFont="1" applyBorder="1" applyAlignment="1" applyProtection="1">
      <alignment horizontal="left"/>
    </xf>
    <xf numFmtId="0" fontId="157" fillId="0" borderId="16" xfId="20" applyFont="1" applyBorder="1" applyAlignment="1" applyProtection="1">
      <alignment horizontal="left"/>
    </xf>
    <xf numFmtId="0" fontId="29" fillId="0" borderId="0" xfId="20" applyFont="1" applyBorder="1" applyAlignment="1" applyProtection="1">
      <alignment horizontal="left"/>
    </xf>
    <xf numFmtId="0" fontId="29" fillId="0" borderId="23" xfId="20" applyFont="1" applyBorder="1" applyAlignment="1" applyProtection="1">
      <alignment horizontal="left"/>
      <protection locked="0"/>
    </xf>
    <xf numFmtId="0" fontId="29" fillId="0" borderId="24" xfId="20" applyFont="1" applyBorder="1" applyAlignment="1" applyProtection="1">
      <alignment horizontal="left"/>
      <protection locked="0"/>
    </xf>
    <xf numFmtId="0" fontId="29" fillId="0" borderId="25" xfId="20" applyFont="1" applyBorder="1" applyAlignment="1" applyProtection="1">
      <alignment horizontal="left"/>
      <protection locked="0"/>
    </xf>
    <xf numFmtId="15" fontId="157" fillId="0" borderId="24" xfId="20" applyNumberFormat="1" applyFont="1" applyBorder="1" applyAlignment="1" applyProtection="1">
      <alignment horizontal="left"/>
    </xf>
    <xf numFmtId="0" fontId="28" fillId="3" borderId="22" xfId="20" applyFont="1" applyFill="1" applyBorder="1" applyAlignment="1" applyProtection="1">
      <alignment horizontal="left" vertical="center"/>
      <protection locked="0"/>
    </xf>
    <xf numFmtId="0" fontId="28" fillId="3" borderId="12" xfId="20" applyFont="1" applyFill="1" applyBorder="1" applyAlignment="1" applyProtection="1">
      <alignment horizontal="left" vertical="center"/>
      <protection locked="0"/>
    </xf>
    <xf numFmtId="0" fontId="29" fillId="0" borderId="39" xfId="20" applyFont="1" applyBorder="1" applyAlignment="1" applyProtection="1">
      <alignment horizontal="left"/>
      <protection locked="0"/>
    </xf>
    <xf numFmtId="0" fontId="29" fillId="0" borderId="142" xfId="20" applyFont="1" applyBorder="1" applyAlignment="1" applyProtection="1">
      <alignment horizontal="left"/>
      <protection locked="0"/>
    </xf>
    <xf numFmtId="0" fontId="29" fillId="0" borderId="143" xfId="20" applyFont="1" applyBorder="1" applyAlignment="1" applyProtection="1">
      <alignment horizontal="left"/>
      <protection locked="0"/>
    </xf>
    <xf numFmtId="0" fontId="29" fillId="0" borderId="33" xfId="20" applyFont="1" applyBorder="1" applyAlignment="1" applyProtection="1">
      <alignment horizontal="left"/>
      <protection locked="0"/>
    </xf>
    <xf numFmtId="0" fontId="29" fillId="0" borderId="34" xfId="20" applyFont="1" applyBorder="1" applyAlignment="1" applyProtection="1">
      <alignment horizontal="left"/>
      <protection locked="0"/>
    </xf>
    <xf numFmtId="0" fontId="29" fillId="0" borderId="35" xfId="20" applyFont="1" applyBorder="1" applyAlignment="1" applyProtection="1">
      <alignment horizontal="left"/>
      <protection locked="0"/>
    </xf>
    <xf numFmtId="0" fontId="29" fillId="0" borderId="116" xfId="20" applyFont="1" applyBorder="1" applyAlignment="1" applyProtection="1">
      <alignment horizontal="left"/>
      <protection locked="0"/>
    </xf>
    <xf numFmtId="0" fontId="28" fillId="3" borderId="22" xfId="20" applyFont="1" applyFill="1" applyBorder="1" applyAlignment="1" applyProtection="1">
      <alignment horizontal="left"/>
      <protection locked="0"/>
    </xf>
    <xf numFmtId="0" fontId="28" fillId="3" borderId="12" xfId="20" applyFont="1" applyFill="1" applyBorder="1" applyAlignment="1" applyProtection="1">
      <alignment horizontal="left"/>
      <protection locked="0"/>
    </xf>
    <xf numFmtId="0" fontId="29" fillId="0" borderId="9" xfId="20" applyFont="1" applyBorder="1" applyAlignment="1" applyProtection="1">
      <alignment horizontal="center"/>
      <protection locked="0"/>
    </xf>
    <xf numFmtId="0" fontId="29" fillId="0" borderId="12" xfId="20" applyFont="1" applyBorder="1" applyAlignment="1" applyProtection="1">
      <alignment horizontal="center"/>
      <protection locked="0"/>
    </xf>
    <xf numFmtId="0" fontId="29" fillId="0" borderId="9" xfId="20" applyFont="1" applyBorder="1" applyAlignment="1" applyProtection="1">
      <alignment horizontal="left" vertical="top" wrapText="1"/>
      <protection locked="0"/>
    </xf>
    <xf numFmtId="0" fontId="29" fillId="0" borderId="22" xfId="20" applyFont="1" applyBorder="1" applyAlignment="1" applyProtection="1">
      <alignment horizontal="left" vertical="top" wrapText="1"/>
      <protection locked="0"/>
    </xf>
    <xf numFmtId="0" fontId="29" fillId="0" borderId="12" xfId="20" applyFont="1" applyBorder="1" applyAlignment="1" applyProtection="1">
      <alignment horizontal="left" vertical="top" wrapText="1"/>
      <protection locked="0"/>
    </xf>
    <xf numFmtId="0" fontId="31" fillId="0" borderId="9" xfId="20" applyFont="1" applyBorder="1" applyAlignment="1" applyProtection="1">
      <alignment horizontal="left" vertical="top" wrapText="1"/>
      <protection locked="0"/>
    </xf>
    <xf numFmtId="0" fontId="31" fillId="0" borderId="22" xfId="20" applyFont="1" applyBorder="1" applyAlignment="1" applyProtection="1">
      <alignment horizontal="left" vertical="top" wrapText="1"/>
      <protection locked="0"/>
    </xf>
    <xf numFmtId="0" fontId="31" fillId="0" borderId="12" xfId="20" applyFont="1" applyBorder="1" applyAlignment="1" applyProtection="1">
      <alignment horizontal="left" vertical="top" wrapText="1"/>
      <protection locked="0"/>
    </xf>
    <xf numFmtId="0" fontId="29" fillId="0" borderId="8" xfId="20" applyFont="1" applyBorder="1" applyAlignment="1" applyProtection="1">
      <alignment horizontal="left" vertical="top" wrapText="1"/>
      <protection locked="0"/>
    </xf>
    <xf numFmtId="0" fontId="29" fillId="0" borderId="4" xfId="20" applyFont="1" applyBorder="1" applyAlignment="1" applyProtection="1">
      <alignment horizontal="center"/>
      <protection locked="0"/>
    </xf>
    <xf numFmtId="0" fontId="29" fillId="0" borderId="0" xfId="20" applyFont="1" applyBorder="1" applyAlignment="1" applyProtection="1">
      <alignment horizontal="center"/>
      <protection locked="0"/>
    </xf>
    <xf numFmtId="0" fontId="28" fillId="0" borderId="0" xfId="20" applyFont="1" applyBorder="1" applyAlignment="1" applyProtection="1">
      <alignment horizontal="center"/>
      <protection locked="0"/>
    </xf>
    <xf numFmtId="0" fontId="29" fillId="0" borderId="3" xfId="20" applyFont="1" applyBorder="1" applyAlignment="1" applyProtection="1">
      <alignment horizontal="left" vertical="top" wrapText="1"/>
      <protection locked="0"/>
    </xf>
    <xf numFmtId="0" fontId="29" fillId="0" borderId="7" xfId="20" applyFont="1" applyBorder="1" applyAlignment="1" applyProtection="1">
      <alignment horizontal="left" vertical="top" wrapText="1"/>
      <protection locked="0"/>
    </xf>
    <xf numFmtId="0" fontId="29" fillId="0" borderId="16" xfId="20" applyFont="1" applyBorder="1" applyAlignment="1" applyProtection="1">
      <alignment horizontal="left" vertical="top" wrapText="1"/>
      <protection locked="0"/>
    </xf>
    <xf numFmtId="0" fontId="29" fillId="0" borderId="4" xfId="20" applyFont="1" applyBorder="1" applyAlignment="1" applyProtection="1">
      <alignment horizontal="left" vertical="top" wrapText="1"/>
      <protection locked="0"/>
    </xf>
    <xf numFmtId="0" fontId="29" fillId="0" borderId="0" xfId="20" applyFont="1" applyBorder="1" applyAlignment="1" applyProtection="1">
      <alignment horizontal="left" vertical="top" wrapText="1"/>
      <protection locked="0"/>
    </xf>
    <xf numFmtId="0" fontId="29" fillId="0" borderId="5" xfId="20" applyFont="1" applyBorder="1" applyAlignment="1" applyProtection="1">
      <alignment horizontal="left" vertical="top" wrapText="1"/>
      <protection locked="0"/>
    </xf>
    <xf numFmtId="0" fontId="29" fillId="0" borderId="6" xfId="20" applyFont="1" applyBorder="1" applyAlignment="1" applyProtection="1">
      <alignment horizontal="left" vertical="top" wrapText="1"/>
      <protection locked="0"/>
    </xf>
    <xf numFmtId="0" fontId="29" fillId="0" borderId="10" xfId="20" applyFont="1" applyBorder="1" applyAlignment="1" applyProtection="1">
      <alignment horizontal="left" vertical="top" wrapText="1"/>
      <protection locked="0"/>
    </xf>
    <xf numFmtId="0" fontId="29" fillId="0" borderId="11" xfId="20" applyFont="1" applyBorder="1" applyAlignment="1" applyProtection="1">
      <alignment horizontal="left" vertical="top" wrapText="1"/>
      <protection locked="0"/>
    </xf>
    <xf numFmtId="0" fontId="29" fillId="0" borderId="4" xfId="20" applyFont="1" applyBorder="1" applyAlignment="1" applyProtection="1">
      <alignment horizontal="center"/>
    </xf>
    <xf numFmtId="0" fontId="29" fillId="0" borderId="0" xfId="20" applyFont="1" applyBorder="1" applyAlignment="1" applyProtection="1">
      <alignment horizontal="center"/>
    </xf>
    <xf numFmtId="0" fontId="34" fillId="0" borderId="0" xfId="20" applyFont="1" applyBorder="1" applyAlignment="1" applyProtection="1">
      <alignment horizontal="center"/>
    </xf>
    <xf numFmtId="0" fontId="34" fillId="0" borderId="5" xfId="20" applyFont="1" applyBorder="1" applyAlignment="1" applyProtection="1">
      <alignment horizontal="center"/>
    </xf>
    <xf numFmtId="0" fontId="28" fillId="0" borderId="0" xfId="20" applyFont="1" applyBorder="1" applyAlignment="1" applyProtection="1">
      <alignment horizontal="center"/>
    </xf>
    <xf numFmtId="0" fontId="0" fillId="0" borderId="0" xfId="0" applyProtection="1"/>
    <xf numFmtId="167" fontId="157" fillId="0" borderId="24" xfId="20" applyNumberFormat="1" applyFont="1" applyBorder="1" applyAlignment="1" applyProtection="1">
      <alignment horizontal="left"/>
    </xf>
    <xf numFmtId="167" fontId="157" fillId="0" borderId="38" xfId="20" applyNumberFormat="1" applyFont="1" applyBorder="1" applyAlignment="1" applyProtection="1">
      <alignment horizontal="left"/>
    </xf>
    <xf numFmtId="0" fontId="28" fillId="0" borderId="33" xfId="20" applyFont="1" applyBorder="1" applyAlignment="1" applyProtection="1">
      <alignment horizontal="left"/>
      <protection locked="0"/>
    </xf>
    <xf numFmtId="0" fontId="28" fillId="0" borderId="34" xfId="20" applyFont="1" applyBorder="1" applyAlignment="1" applyProtection="1">
      <alignment horizontal="left"/>
      <protection locked="0"/>
    </xf>
    <xf numFmtId="0" fontId="28" fillId="0" borderId="35" xfId="20" applyFont="1" applyBorder="1" applyAlignment="1" applyProtection="1">
      <alignment horizontal="left"/>
      <protection locked="0"/>
    </xf>
    <xf numFmtId="0" fontId="28" fillId="0" borderId="40" xfId="20" applyFont="1" applyBorder="1" applyAlignment="1" applyProtection="1">
      <alignment horizontal="left"/>
      <protection locked="0"/>
    </xf>
    <xf numFmtId="0" fontId="28" fillId="0" borderId="23" xfId="20" applyFont="1" applyBorder="1" applyAlignment="1" applyProtection="1">
      <alignment horizontal="left"/>
      <protection locked="0"/>
    </xf>
    <xf numFmtId="0" fontId="28" fillId="0" borderId="24" xfId="20" applyFont="1" applyBorder="1" applyAlignment="1" applyProtection="1">
      <alignment horizontal="left"/>
      <protection locked="0"/>
    </xf>
    <xf numFmtId="0" fontId="28" fillId="0" borderId="25" xfId="20" applyFont="1" applyBorder="1" applyAlignment="1" applyProtection="1">
      <alignment horizontal="left"/>
      <protection locked="0"/>
    </xf>
    <xf numFmtId="0" fontId="28" fillId="0" borderId="38" xfId="20" applyFont="1" applyBorder="1" applyAlignment="1" applyProtection="1">
      <alignment horizontal="left"/>
      <protection locked="0"/>
    </xf>
    <xf numFmtId="0" fontId="28" fillId="0" borderId="7" xfId="20" applyFont="1" applyBorder="1" applyAlignment="1" applyProtection="1">
      <alignment horizontal="left"/>
      <protection locked="0"/>
    </xf>
    <xf numFmtId="0" fontId="28" fillId="0" borderId="16" xfId="20" applyFont="1" applyBorder="1" applyAlignment="1" applyProtection="1">
      <alignment horizontal="left"/>
      <protection locked="0"/>
    </xf>
    <xf numFmtId="0" fontId="28" fillId="0" borderId="0" xfId="20" applyFont="1" applyBorder="1" applyAlignment="1" applyProtection="1">
      <alignment horizontal="left"/>
      <protection locked="0"/>
    </xf>
    <xf numFmtId="0" fontId="29" fillId="0" borderId="9" xfId="20" applyFont="1" applyBorder="1" applyAlignment="1" applyProtection="1">
      <alignment horizontal="left" vertical="top"/>
      <protection locked="0"/>
    </xf>
    <xf numFmtId="0" fontId="29" fillId="0" borderId="22" xfId="20" applyFont="1" applyBorder="1" applyAlignment="1" applyProtection="1">
      <alignment horizontal="left" vertical="top"/>
      <protection locked="0"/>
    </xf>
    <xf numFmtId="0" fontId="29" fillId="0" borderId="12" xfId="20" applyFont="1" applyBorder="1" applyAlignment="1" applyProtection="1">
      <alignment horizontal="left" vertical="top"/>
      <protection locked="0"/>
    </xf>
    <xf numFmtId="0" fontId="0" fillId="0" borderId="0" xfId="0" applyProtection="1">
      <protection locked="0"/>
    </xf>
    <xf numFmtId="0" fontId="29" fillId="0" borderId="7" xfId="20" applyFont="1" applyFill="1" applyBorder="1" applyAlignment="1" applyProtection="1">
      <alignment horizontal="left"/>
      <protection locked="0"/>
    </xf>
    <xf numFmtId="0" fontId="28" fillId="0" borderId="7" xfId="20" applyFont="1" applyFill="1" applyBorder="1" applyAlignment="1" applyProtection="1">
      <alignment horizontal="center"/>
      <protection locked="0"/>
    </xf>
    <xf numFmtId="0" fontId="29" fillId="0" borderId="3" xfId="20" applyFont="1" applyFill="1" applyBorder="1" applyAlignment="1" applyProtection="1">
      <alignment horizontal="left"/>
      <protection locked="0"/>
    </xf>
    <xf numFmtId="0" fontId="29" fillId="0" borderId="0" xfId="20" applyFont="1" applyFill="1" applyBorder="1" applyAlignment="1" applyProtection="1">
      <alignment horizontal="left"/>
      <protection locked="0"/>
    </xf>
    <xf numFmtId="0" fontId="28" fillId="0" borderId="24" xfId="20" applyFont="1" applyFill="1" applyBorder="1" applyAlignment="1" applyProtection="1">
      <alignment horizontal="center"/>
      <protection locked="0"/>
    </xf>
    <xf numFmtId="0" fontId="29" fillId="0" borderId="4" xfId="20" applyFont="1" applyFill="1" applyBorder="1" applyAlignment="1" applyProtection="1">
      <alignment horizontal="left"/>
      <protection locked="0"/>
    </xf>
    <xf numFmtId="0" fontId="28" fillId="0" borderId="142" xfId="20" applyFont="1" applyFill="1" applyBorder="1" applyAlignment="1" applyProtection="1">
      <alignment horizontal="center"/>
      <protection locked="0"/>
    </xf>
    <xf numFmtId="0" fontId="29" fillId="0" borderId="0" xfId="20" applyFont="1" applyBorder="1" applyAlignment="1" applyProtection="1">
      <alignment horizontal="left"/>
      <protection locked="0"/>
    </xf>
    <xf numFmtId="0" fontId="32" fillId="0" borderId="6" xfId="20" applyFont="1" applyBorder="1" applyAlignment="1" applyProtection="1">
      <alignment horizontal="center" vertical="center"/>
      <protection locked="0"/>
    </xf>
    <xf numFmtId="0" fontId="32" fillId="0" borderId="10" xfId="20" applyFont="1" applyBorder="1" applyAlignment="1" applyProtection="1">
      <alignment horizontal="center" vertical="center"/>
      <protection locked="0"/>
    </xf>
    <xf numFmtId="0" fontId="32" fillId="0" borderId="11" xfId="20" applyFont="1" applyBorder="1" applyAlignment="1" applyProtection="1">
      <alignment horizontal="center" vertical="center"/>
      <protection locked="0"/>
    </xf>
    <xf numFmtId="0" fontId="29" fillId="0" borderId="3" xfId="20" applyFont="1" applyBorder="1" applyAlignment="1" applyProtection="1">
      <alignment horizontal="center"/>
      <protection locked="0"/>
    </xf>
    <xf numFmtId="0" fontId="29" fillId="0" borderId="7" xfId="20" applyFont="1" applyBorder="1" applyAlignment="1" applyProtection="1">
      <alignment horizontal="center"/>
      <protection locked="0"/>
    </xf>
    <xf numFmtId="0" fontId="29" fillId="0" borderId="16" xfId="20" applyFont="1" applyBorder="1" applyAlignment="1" applyProtection="1">
      <alignment horizontal="center"/>
      <protection locked="0"/>
    </xf>
    <xf numFmtId="0" fontId="29" fillId="0" borderId="5" xfId="20" applyFont="1" applyBorder="1" applyAlignment="1" applyProtection="1">
      <alignment horizontal="center"/>
      <protection locked="0"/>
    </xf>
    <xf numFmtId="0" fontId="29" fillId="0" borderId="6" xfId="20" applyFont="1" applyBorder="1" applyAlignment="1" applyProtection="1">
      <alignment horizontal="center"/>
      <protection locked="0"/>
    </xf>
    <xf numFmtId="0" fontId="29" fillId="0" borderId="10" xfId="20" applyFont="1" applyBorder="1" applyAlignment="1" applyProtection="1">
      <alignment horizontal="center"/>
      <protection locked="0"/>
    </xf>
    <xf numFmtId="0" fontId="29" fillId="0" borderId="11" xfId="20" applyFont="1" applyBorder="1" applyAlignment="1" applyProtection="1">
      <alignment horizontal="center"/>
      <protection locked="0"/>
    </xf>
    <xf numFmtId="0" fontId="0" fillId="0" borderId="5" xfId="0" applyBorder="1" applyProtection="1"/>
    <xf numFmtId="0" fontId="0" fillId="0" borderId="5" xfId="0" applyBorder="1" applyProtection="1">
      <protection locked="0"/>
    </xf>
    <xf numFmtId="0" fontId="40" fillId="0" borderId="13" xfId="0" applyFont="1" applyBorder="1" applyAlignment="1" applyProtection="1">
      <alignment horizontal="center" vertical="center" wrapText="1"/>
      <protection locked="0"/>
    </xf>
    <xf numFmtId="0" fontId="40" fillId="0" borderId="15" xfId="0" applyFont="1" applyBorder="1" applyAlignment="1" applyProtection="1">
      <alignment horizontal="center" vertical="center" wrapText="1"/>
      <protection locked="0"/>
    </xf>
    <xf numFmtId="0" fontId="40" fillId="0" borderId="9" xfId="0" applyFont="1" applyBorder="1" applyAlignment="1" applyProtection="1">
      <alignment horizontal="left" vertical="center" wrapText="1"/>
      <protection hidden="1"/>
    </xf>
    <xf numFmtId="0" fontId="40" fillId="0" borderId="22" xfId="0" applyFont="1" applyBorder="1" applyAlignment="1" applyProtection="1">
      <alignment horizontal="left" vertical="center" wrapText="1"/>
      <protection hidden="1"/>
    </xf>
    <xf numFmtId="0" fontId="40" fillId="0" borderId="12" xfId="0" applyFont="1" applyBorder="1" applyAlignment="1" applyProtection="1">
      <alignment horizontal="left" vertical="center" wrapText="1"/>
      <protection hidden="1"/>
    </xf>
    <xf numFmtId="178" fontId="43" fillId="0" borderId="9" xfId="1" applyNumberFormat="1" applyFont="1" applyBorder="1" applyAlignment="1" applyProtection="1">
      <alignment horizontal="center" vertical="center" wrapText="1"/>
      <protection hidden="1"/>
    </xf>
    <xf numFmtId="178" fontId="43" fillId="0" borderId="22" xfId="1" applyNumberFormat="1" applyFont="1" applyBorder="1" applyAlignment="1" applyProtection="1">
      <alignment horizontal="center" vertical="center" wrapText="1"/>
      <protection hidden="1"/>
    </xf>
    <xf numFmtId="178" fontId="43" fillId="0" borderId="12" xfId="1" applyNumberFormat="1" applyFont="1" applyBorder="1" applyAlignment="1" applyProtection="1">
      <alignment horizontal="center" vertical="center" wrapText="1"/>
      <protection hidden="1"/>
    </xf>
    <xf numFmtId="172" fontId="46" fillId="0" borderId="9" xfId="24" applyNumberFormat="1" applyFont="1" applyBorder="1" applyAlignment="1" applyProtection="1">
      <alignment horizontal="center" vertical="center" wrapText="1"/>
      <protection hidden="1"/>
    </xf>
    <xf numFmtId="172" fontId="46" fillId="0" borderId="22" xfId="24" applyNumberFormat="1" applyFont="1" applyBorder="1" applyAlignment="1" applyProtection="1">
      <alignment horizontal="center" vertical="center" wrapText="1"/>
      <protection hidden="1"/>
    </xf>
    <xf numFmtId="172" fontId="46" fillId="0" borderId="12" xfId="24" applyNumberFormat="1" applyFont="1" applyBorder="1" applyAlignment="1" applyProtection="1">
      <alignment horizontal="center" vertical="center" wrapText="1"/>
      <protection hidden="1"/>
    </xf>
    <xf numFmtId="0" fontId="73" fillId="2" borderId="8" xfId="0" applyFont="1" applyFill="1" applyBorder="1" applyAlignment="1" applyProtection="1">
      <alignment horizontal="center" vertical="center" wrapText="1"/>
      <protection hidden="1"/>
    </xf>
    <xf numFmtId="0" fontId="41" fillId="0" borderId="8" xfId="0" applyFont="1" applyBorder="1" applyAlignment="1" applyProtection="1">
      <alignment horizontal="center" vertical="center"/>
      <protection hidden="1"/>
    </xf>
    <xf numFmtId="0" fontId="73" fillId="2" borderId="13" xfId="0" applyFont="1" applyFill="1" applyBorder="1" applyAlignment="1" applyProtection="1">
      <alignment horizontal="center" vertical="center" wrapText="1"/>
      <protection hidden="1"/>
    </xf>
    <xf numFmtId="0" fontId="40" fillId="2" borderId="8" xfId="0" applyFont="1" applyFill="1" applyBorder="1" applyAlignment="1" applyProtection="1">
      <alignment horizontal="center" vertical="center" wrapText="1"/>
      <protection hidden="1"/>
    </xf>
    <xf numFmtId="2" fontId="73" fillId="2" borderId="8" xfId="0" applyNumberFormat="1" applyFont="1" applyFill="1" applyBorder="1" applyAlignment="1" applyProtection="1">
      <alignment horizontal="center" vertical="center" wrapText="1"/>
      <protection hidden="1"/>
    </xf>
    <xf numFmtId="0" fontId="40" fillId="0" borderId="9" xfId="0" applyFont="1" applyBorder="1" applyAlignment="1" applyProtection="1">
      <alignment horizontal="center" vertical="center" wrapText="1"/>
      <protection locked="0"/>
    </xf>
    <xf numFmtId="0" fontId="40" fillId="0" borderId="22" xfId="0" applyFont="1" applyBorder="1" applyAlignment="1" applyProtection="1">
      <alignment horizontal="center" vertical="center" wrapText="1"/>
      <protection locked="0"/>
    </xf>
    <xf numFmtId="0" fontId="40" fillId="0" borderId="12" xfId="0" applyFont="1" applyBorder="1" applyAlignment="1" applyProtection="1">
      <alignment horizontal="center" vertical="center" wrapText="1"/>
      <protection locked="0"/>
    </xf>
    <xf numFmtId="0" fontId="40" fillId="0" borderId="22" xfId="0" applyFont="1" applyBorder="1" applyAlignment="1" applyProtection="1">
      <alignment horizontal="center" vertical="center" wrapText="1"/>
      <protection hidden="1"/>
    </xf>
    <xf numFmtId="0" fontId="40" fillId="0" borderId="12" xfId="0" applyFont="1" applyBorder="1" applyAlignment="1" applyProtection="1">
      <alignment horizontal="center" vertical="center" wrapText="1"/>
      <protection hidden="1"/>
    </xf>
    <xf numFmtId="0" fontId="40" fillId="0" borderId="8" xfId="0" applyFont="1" applyBorder="1" applyAlignment="1" applyProtection="1">
      <alignment horizontal="left" vertical="center" wrapText="1"/>
      <protection hidden="1"/>
    </xf>
    <xf numFmtId="0" fontId="40" fillId="0" borderId="8" xfId="0" quotePrefix="1" applyFont="1" applyBorder="1" applyAlignment="1" applyProtection="1">
      <alignment horizontal="left" vertical="center" wrapText="1"/>
      <protection hidden="1"/>
    </xf>
    <xf numFmtId="0" fontId="169" fillId="0" borderId="8" xfId="0" applyFont="1" applyBorder="1" applyAlignment="1" applyProtection="1">
      <alignment horizontal="center" vertical="center" wrapText="1"/>
      <protection locked="0"/>
    </xf>
    <xf numFmtId="0" fontId="44" fillId="0" borderId="8" xfId="0" applyFont="1" applyBorder="1" applyAlignment="1" applyProtection="1">
      <alignment horizontal="left" vertical="center" wrapText="1"/>
      <protection hidden="1"/>
    </xf>
    <xf numFmtId="0" fontId="41" fillId="0" borderId="0" xfId="0" applyFont="1" applyBorder="1" applyAlignment="1" applyProtection="1">
      <alignment horizontal="center" vertical="center" wrapText="1"/>
      <protection hidden="1"/>
    </xf>
    <xf numFmtId="0" fontId="40" fillId="2" borderId="3" xfId="0" applyFont="1" applyFill="1" applyBorder="1" applyAlignment="1" applyProtection="1">
      <alignment horizontal="center" vertical="center" wrapText="1"/>
      <protection hidden="1"/>
    </xf>
    <xf numFmtId="0" fontId="40" fillId="2" borderId="7" xfId="0" applyFont="1" applyFill="1" applyBorder="1" applyAlignment="1" applyProtection="1">
      <alignment horizontal="center" vertical="center" wrapText="1"/>
      <protection hidden="1"/>
    </xf>
    <xf numFmtId="0" fontId="40" fillId="2" borderId="16" xfId="0" applyFont="1" applyFill="1" applyBorder="1" applyAlignment="1" applyProtection="1">
      <alignment horizontal="center" vertical="center" wrapText="1"/>
      <protection hidden="1"/>
    </xf>
    <xf numFmtId="0" fontId="40" fillId="2" borderId="6" xfId="0" applyFont="1" applyFill="1" applyBorder="1" applyAlignment="1" applyProtection="1">
      <alignment horizontal="center" vertical="center" wrapText="1"/>
      <protection hidden="1"/>
    </xf>
    <xf numFmtId="0" fontId="40" fillId="2" borderId="10" xfId="0" applyFont="1" applyFill="1" applyBorder="1" applyAlignment="1" applyProtection="1">
      <alignment horizontal="center" vertical="center" wrapText="1"/>
      <protection hidden="1"/>
    </xf>
    <xf numFmtId="0" fontId="40" fillId="2" borderId="11" xfId="0" applyFont="1" applyFill="1" applyBorder="1" applyAlignment="1" applyProtection="1">
      <alignment horizontal="center" vertical="center" wrapText="1"/>
      <protection hidden="1"/>
    </xf>
    <xf numFmtId="0" fontId="40" fillId="2" borderId="3" xfId="0" applyFont="1" applyFill="1" applyBorder="1" applyAlignment="1" applyProtection="1">
      <alignment horizontal="left" vertical="top" wrapText="1"/>
      <protection locked="0"/>
    </xf>
    <xf numFmtId="0" fontId="40" fillId="2" borderId="7" xfId="0" applyFont="1" applyFill="1" applyBorder="1" applyAlignment="1" applyProtection="1">
      <alignment horizontal="left" vertical="top" wrapText="1"/>
      <protection locked="0"/>
    </xf>
    <xf numFmtId="0" fontId="40" fillId="2" borderId="16" xfId="0" applyFont="1" applyFill="1" applyBorder="1" applyAlignment="1" applyProtection="1">
      <alignment horizontal="left" vertical="top" wrapText="1"/>
      <protection locked="0"/>
    </xf>
    <xf numFmtId="0" fontId="40" fillId="2" borderId="4" xfId="0" applyFont="1" applyFill="1" applyBorder="1" applyAlignment="1" applyProtection="1">
      <alignment horizontal="left" vertical="top" wrapText="1"/>
      <protection locked="0"/>
    </xf>
    <xf numFmtId="0" fontId="40" fillId="2" borderId="0" xfId="0" applyFont="1" applyFill="1" applyBorder="1" applyAlignment="1" applyProtection="1">
      <alignment horizontal="left" vertical="top" wrapText="1"/>
      <protection locked="0"/>
    </xf>
    <xf numFmtId="0" fontId="40" fillId="2" borderId="5" xfId="0" applyFont="1" applyFill="1" applyBorder="1" applyAlignment="1" applyProtection="1">
      <alignment horizontal="left" vertical="top" wrapText="1"/>
      <protection locked="0"/>
    </xf>
    <xf numFmtId="0" fontId="40" fillId="2" borderId="6" xfId="0" applyFont="1" applyFill="1" applyBorder="1" applyAlignment="1" applyProtection="1">
      <alignment horizontal="left" vertical="top" wrapText="1"/>
      <protection locked="0"/>
    </xf>
    <xf numFmtId="0" fontId="40" fillId="2" borderId="10" xfId="0" applyFont="1" applyFill="1" applyBorder="1" applyAlignment="1" applyProtection="1">
      <alignment horizontal="left" vertical="top" wrapText="1"/>
      <protection locked="0"/>
    </xf>
    <xf numFmtId="0" fontId="40" fillId="2" borderId="11" xfId="0" applyFont="1" applyFill="1" applyBorder="1" applyAlignment="1" applyProtection="1">
      <alignment horizontal="left" vertical="top" wrapText="1"/>
      <protection locked="0"/>
    </xf>
    <xf numFmtId="0" fontId="44" fillId="0" borderId="13" xfId="0" applyFont="1" applyBorder="1" applyAlignment="1" applyProtection="1">
      <alignment horizontal="center" vertical="center" wrapText="1"/>
      <protection hidden="1"/>
    </xf>
    <xf numFmtId="0" fontId="44" fillId="0" borderId="15" xfId="0" applyFont="1" applyBorder="1" applyAlignment="1" applyProtection="1">
      <alignment horizontal="center" vertical="center" wrapText="1"/>
      <protection hidden="1"/>
    </xf>
    <xf numFmtId="0" fontId="40" fillId="0" borderId="9" xfId="0" applyFont="1" applyBorder="1" applyAlignment="1" applyProtection="1">
      <alignment horizontal="left" vertical="center" wrapText="1"/>
      <protection locked="0"/>
    </xf>
    <xf numFmtId="0" fontId="40" fillId="0" borderId="22" xfId="0" applyFont="1" applyBorder="1" applyAlignment="1" applyProtection="1">
      <alignment horizontal="left" vertical="center" wrapText="1"/>
      <protection locked="0"/>
    </xf>
    <xf numFmtId="0" fontId="40" fillId="0" borderId="12" xfId="0" applyFont="1" applyBorder="1" applyAlignment="1" applyProtection="1">
      <alignment horizontal="left" vertical="center" wrapText="1"/>
      <protection locked="0"/>
    </xf>
    <xf numFmtId="0" fontId="40" fillId="0" borderId="8" xfId="0" applyFont="1" applyBorder="1" applyAlignment="1" applyProtection="1">
      <alignment horizontal="center" vertical="center" wrapText="1"/>
      <protection locked="0"/>
    </xf>
    <xf numFmtId="0" fontId="47" fillId="0" borderId="8" xfId="0" applyFont="1" applyBorder="1" applyAlignment="1" applyProtection="1">
      <alignment horizontal="center" vertical="center" wrapText="1"/>
      <protection hidden="1"/>
    </xf>
    <xf numFmtId="0" fontId="41" fillId="0" borderId="8" xfId="0" applyFont="1" applyBorder="1" applyAlignment="1" applyProtection="1">
      <alignment horizontal="center" vertical="center" wrapText="1"/>
      <protection hidden="1"/>
    </xf>
    <xf numFmtId="0" fontId="41" fillId="0" borderId="7" xfId="0" applyFont="1" applyBorder="1" applyAlignment="1" applyProtection="1">
      <alignment horizontal="left" vertical="center"/>
      <protection hidden="1"/>
    </xf>
    <xf numFmtId="2" fontId="73" fillId="2" borderId="9" xfId="0" applyNumberFormat="1" applyFont="1" applyFill="1" applyBorder="1" applyAlignment="1" applyProtection="1">
      <alignment horizontal="center" vertical="center" wrapText="1"/>
      <protection hidden="1"/>
    </xf>
    <xf numFmtId="2" fontId="73" fillId="2" borderId="22" xfId="0" applyNumberFormat="1" applyFont="1" applyFill="1" applyBorder="1" applyAlignment="1" applyProtection="1">
      <alignment horizontal="center" vertical="center" wrapText="1"/>
      <protection hidden="1"/>
    </xf>
    <xf numFmtId="2" fontId="73" fillId="2" borderId="12" xfId="0" applyNumberFormat="1" applyFont="1" applyFill="1" applyBorder="1" applyAlignment="1" applyProtection="1">
      <alignment horizontal="center" vertical="center" wrapText="1"/>
      <protection hidden="1"/>
    </xf>
    <xf numFmtId="0" fontId="41" fillId="0" borderId="0" xfId="0" applyFont="1" applyBorder="1" applyAlignment="1" applyProtection="1">
      <alignment horizontal="center" vertical="center" wrapText="1"/>
      <protection locked="0"/>
    </xf>
    <xf numFmtId="0" fontId="41" fillId="0" borderId="0" xfId="0" applyFont="1" applyBorder="1" applyAlignment="1" applyProtection="1">
      <alignment vertical="center" wrapText="1"/>
      <protection hidden="1"/>
    </xf>
    <xf numFmtId="0" fontId="47" fillId="0" borderId="0" xfId="0" applyFont="1" applyBorder="1" applyAlignment="1" applyProtection="1">
      <alignment vertical="center" wrapText="1"/>
      <protection locked="0"/>
    </xf>
    <xf numFmtId="10" fontId="46" fillId="0" borderId="9" xfId="24" applyNumberFormat="1" applyFont="1" applyBorder="1" applyAlignment="1" applyProtection="1">
      <alignment horizontal="center" vertical="center" wrapText="1"/>
      <protection hidden="1"/>
    </xf>
    <xf numFmtId="10" fontId="46" fillId="0" borderId="22" xfId="24" applyNumberFormat="1" applyFont="1" applyBorder="1" applyAlignment="1" applyProtection="1">
      <alignment horizontal="center" vertical="center" wrapText="1"/>
      <protection hidden="1"/>
    </xf>
    <xf numFmtId="10" fontId="46" fillId="0" borderId="12" xfId="24" applyNumberFormat="1" applyFont="1" applyBorder="1" applyAlignment="1" applyProtection="1">
      <alignment horizontal="center" vertical="center" wrapText="1"/>
      <protection hidden="1"/>
    </xf>
    <xf numFmtId="0" fontId="41" fillId="3" borderId="9" xfId="0" applyFont="1" applyFill="1" applyBorder="1" applyAlignment="1" applyProtection="1">
      <alignment horizontal="center" vertical="center" wrapText="1"/>
      <protection hidden="1"/>
    </xf>
    <xf numFmtId="0" fontId="41" fillId="3" borderId="22" xfId="0" applyFont="1" applyFill="1" applyBorder="1" applyAlignment="1" applyProtection="1">
      <alignment horizontal="center" vertical="center" wrapText="1"/>
      <protection hidden="1"/>
    </xf>
    <xf numFmtId="0" fontId="41" fillId="3" borderId="12" xfId="0" applyFont="1" applyFill="1" applyBorder="1" applyAlignment="1" applyProtection="1">
      <alignment horizontal="center" vertical="center" wrapText="1"/>
      <protection hidden="1"/>
    </xf>
    <xf numFmtId="0" fontId="41" fillId="0" borderId="3" xfId="0" applyFont="1" applyBorder="1" applyAlignment="1" applyProtection="1">
      <alignment horizontal="center" vertical="center" wrapText="1"/>
      <protection hidden="1"/>
    </xf>
    <xf numFmtId="0" fontId="41" fillId="0" borderId="7" xfId="0" applyFont="1" applyBorder="1" applyAlignment="1" applyProtection="1">
      <alignment horizontal="center" vertical="center" wrapText="1"/>
      <protection hidden="1"/>
    </xf>
    <xf numFmtId="0" fontId="41" fillId="0" borderId="16" xfId="0" applyFont="1" applyBorder="1" applyAlignment="1" applyProtection="1">
      <alignment horizontal="center" vertical="center" wrapText="1"/>
      <protection hidden="1"/>
    </xf>
    <xf numFmtId="0" fontId="41" fillId="0" borderId="6" xfId="0" applyFont="1" applyBorder="1" applyAlignment="1" applyProtection="1">
      <alignment horizontal="center" vertical="center" wrapText="1"/>
      <protection hidden="1"/>
    </xf>
    <xf numFmtId="0" fontId="41" fillId="0" borderId="10" xfId="0" applyFont="1" applyBorder="1" applyAlignment="1" applyProtection="1">
      <alignment horizontal="center" vertical="center" wrapText="1"/>
      <protection hidden="1"/>
    </xf>
    <xf numFmtId="0" fontId="41" fillId="0" borderId="11" xfId="0" applyFont="1" applyBorder="1" applyAlignment="1" applyProtection="1">
      <alignment horizontal="center" vertical="center" wrapText="1"/>
      <protection hidden="1"/>
    </xf>
    <xf numFmtId="0" fontId="41" fillId="0" borderId="0" xfId="0" applyFont="1" applyFill="1" applyBorder="1" applyAlignment="1" applyProtection="1">
      <alignment vertical="center"/>
      <protection hidden="1"/>
    </xf>
    <xf numFmtId="0" fontId="40" fillId="0" borderId="8" xfId="0" applyFont="1" applyBorder="1" applyAlignment="1" applyProtection="1">
      <alignment horizontal="center" vertical="center"/>
      <protection hidden="1"/>
    </xf>
    <xf numFmtId="0" fontId="169" fillId="0" borderId="9" xfId="0" applyFont="1" applyBorder="1" applyAlignment="1" applyProtection="1">
      <alignment horizontal="center" vertical="center" wrapText="1"/>
      <protection locked="0"/>
    </xf>
    <xf numFmtId="0" fontId="169" fillId="0" borderId="22" xfId="0" applyFont="1" applyBorder="1" applyAlignment="1" applyProtection="1">
      <alignment horizontal="center" vertical="center" wrapText="1"/>
      <protection locked="0"/>
    </xf>
    <xf numFmtId="0" fontId="41" fillId="3" borderId="8" xfId="0" applyFont="1" applyFill="1" applyBorder="1" applyAlignment="1" applyProtection="1">
      <alignment horizontal="center" vertical="center" wrapText="1"/>
      <protection hidden="1"/>
    </xf>
    <xf numFmtId="0" fontId="40" fillId="3" borderId="8" xfId="0" applyFont="1" applyFill="1" applyBorder="1" applyAlignment="1" applyProtection="1">
      <alignment horizontal="center" vertical="center" wrapText="1"/>
      <protection hidden="1"/>
    </xf>
    <xf numFmtId="0" fontId="41" fillId="0" borderId="0" xfId="0" applyFont="1" applyBorder="1" applyAlignment="1" applyProtection="1">
      <alignment vertical="center"/>
      <protection hidden="1"/>
    </xf>
    <xf numFmtId="0" fontId="45" fillId="0" borderId="8" xfId="0" applyFont="1" applyFill="1" applyBorder="1" applyAlignment="1" applyProtection="1">
      <alignment horizontal="left" vertical="center" wrapText="1"/>
      <protection locked="0"/>
    </xf>
    <xf numFmtId="0" fontId="45" fillId="0" borderId="8" xfId="0" applyFont="1" applyBorder="1" applyAlignment="1" applyProtection="1">
      <alignment horizontal="left" vertical="center" wrapText="1"/>
      <protection locked="0"/>
    </xf>
    <xf numFmtId="0" fontId="43" fillId="0" borderId="9" xfId="0" applyFont="1" applyFill="1" applyBorder="1" applyAlignment="1" applyProtection="1">
      <alignment horizontal="left" vertical="center" wrapText="1"/>
      <protection locked="0"/>
    </xf>
    <xf numFmtId="0" fontId="43" fillId="0" borderId="22" xfId="0" applyFont="1" applyFill="1" applyBorder="1" applyAlignment="1" applyProtection="1">
      <alignment horizontal="left" vertical="center" wrapText="1"/>
      <protection locked="0"/>
    </xf>
    <xf numFmtId="0" fontId="43" fillId="0" borderId="12" xfId="0" applyFont="1" applyFill="1" applyBorder="1" applyAlignment="1" applyProtection="1">
      <alignment horizontal="left" vertical="center" wrapText="1"/>
      <protection locked="0"/>
    </xf>
    <xf numFmtId="0" fontId="45" fillId="0" borderId="13" xfId="0" applyFont="1" applyFill="1" applyBorder="1" applyAlignment="1" applyProtection="1">
      <alignment vertical="center" wrapText="1"/>
      <protection locked="0"/>
    </xf>
    <xf numFmtId="0" fontId="45" fillId="0" borderId="13" xfId="0" applyFont="1" applyBorder="1" applyAlignment="1" applyProtection="1">
      <alignment vertical="center" wrapText="1"/>
      <protection locked="0"/>
    </xf>
    <xf numFmtId="0" fontId="45" fillId="0" borderId="13" xfId="0" applyFont="1" applyFill="1" applyBorder="1" applyAlignment="1" applyProtection="1">
      <alignment horizontal="left" vertical="center" wrapText="1"/>
      <protection locked="0"/>
    </xf>
    <xf numFmtId="0" fontId="45" fillId="0" borderId="13" xfId="0" applyFont="1" applyBorder="1" applyAlignment="1" applyProtection="1">
      <alignment horizontal="left" vertical="center" wrapText="1"/>
      <protection locked="0"/>
    </xf>
    <xf numFmtId="0" fontId="40" fillId="0" borderId="6" xfId="0" applyFont="1" applyBorder="1" applyAlignment="1" applyProtection="1">
      <alignment vertical="center" wrapText="1"/>
      <protection hidden="1"/>
    </xf>
    <xf numFmtId="0" fontId="40" fillId="0" borderId="10" xfId="0" applyFont="1" applyBorder="1" applyAlignment="1" applyProtection="1">
      <alignment vertical="center"/>
      <protection hidden="1"/>
    </xf>
    <xf numFmtId="0" fontId="40" fillId="0" borderId="10" xfId="0" applyFont="1" applyBorder="1" applyAlignment="1" applyProtection="1">
      <alignment horizontal="right" vertical="center" wrapText="1"/>
      <protection hidden="1"/>
    </xf>
    <xf numFmtId="0" fontId="40" fillId="0" borderId="9" xfId="0" applyFont="1" applyBorder="1" applyAlignment="1" applyProtection="1">
      <alignment horizontal="center" vertical="center" wrapText="1"/>
      <protection hidden="1"/>
    </xf>
    <xf numFmtId="0" fontId="40" fillId="0" borderId="8" xfId="0" applyFont="1" applyBorder="1" applyAlignment="1" applyProtection="1">
      <alignment horizontal="center" vertical="center" wrapText="1"/>
      <protection hidden="1"/>
    </xf>
    <xf numFmtId="0" fontId="43" fillId="0" borderId="8" xfId="0" applyFont="1" applyFill="1" applyBorder="1" applyAlignment="1" applyProtection="1">
      <alignment vertical="center" wrapText="1"/>
      <protection locked="0"/>
    </xf>
    <xf numFmtId="0" fontId="43" fillId="0" borderId="8" xfId="0" applyFont="1" applyBorder="1" applyAlignment="1" applyProtection="1">
      <alignment vertical="center" wrapText="1"/>
      <protection locked="0"/>
    </xf>
    <xf numFmtId="0" fontId="45" fillId="0" borderId="8" xfId="0" applyFont="1" applyFill="1" applyBorder="1" applyAlignment="1" applyProtection="1">
      <alignment vertical="center" wrapText="1"/>
      <protection locked="0"/>
    </xf>
    <xf numFmtId="0" fontId="45" fillId="0" borderId="8" xfId="0" applyFont="1" applyBorder="1" applyAlignment="1" applyProtection="1">
      <alignment vertical="center" wrapText="1"/>
      <protection locked="0"/>
    </xf>
    <xf numFmtId="0" fontId="72" fillId="0" borderId="9" xfId="0" applyFont="1" applyFill="1" applyBorder="1" applyAlignment="1" applyProtection="1">
      <alignment horizontal="left" vertical="center" wrapText="1"/>
      <protection hidden="1"/>
    </xf>
    <xf numFmtId="0" fontId="72" fillId="0" borderId="22" xfId="0" applyFont="1" applyFill="1" applyBorder="1" applyAlignment="1" applyProtection="1">
      <alignment horizontal="left" vertical="center" wrapText="1"/>
      <protection hidden="1"/>
    </xf>
    <xf numFmtId="0" fontId="72" fillId="0" borderId="12" xfId="0" applyFont="1" applyFill="1" applyBorder="1" applyAlignment="1" applyProtection="1">
      <alignment horizontal="left" vertical="center" wrapText="1"/>
      <protection hidden="1"/>
    </xf>
    <xf numFmtId="0" fontId="72" fillId="0" borderId="13" xfId="0" applyFont="1" applyFill="1" applyBorder="1" applyAlignment="1" applyProtection="1">
      <alignment vertical="center" wrapText="1"/>
      <protection hidden="1"/>
    </xf>
    <xf numFmtId="0" fontId="72" fillId="0" borderId="13" xfId="0" applyFont="1" applyBorder="1" applyAlignment="1" applyProtection="1">
      <alignment vertical="center" wrapText="1"/>
      <protection hidden="1"/>
    </xf>
    <xf numFmtId="0" fontId="40" fillId="0" borderId="8" xfId="0" applyFont="1" applyBorder="1" applyAlignment="1" applyProtection="1">
      <alignment vertical="center" wrapText="1"/>
      <protection hidden="1"/>
    </xf>
    <xf numFmtId="0" fontId="72" fillId="0" borderId="8" xfId="0" applyFont="1" applyFill="1" applyBorder="1" applyAlignment="1" applyProtection="1">
      <alignment horizontal="left" vertical="center" wrapText="1"/>
      <protection hidden="1"/>
    </xf>
    <xf numFmtId="0" fontId="72" fillId="0" borderId="8" xfId="0" applyFont="1" applyBorder="1" applyAlignment="1" applyProtection="1">
      <alignment horizontal="left" vertical="center" wrapText="1"/>
      <protection hidden="1"/>
    </xf>
    <xf numFmtId="0" fontId="41" fillId="0" borderId="8" xfId="0" applyFont="1" applyBorder="1" applyAlignment="1" applyProtection="1">
      <alignment vertical="center" wrapText="1"/>
      <protection hidden="1"/>
    </xf>
    <xf numFmtId="0" fontId="41" fillId="0" borderId="9" xfId="0" applyFont="1" applyBorder="1" applyAlignment="1" applyProtection="1">
      <alignment horizontal="center" vertical="center" wrapText="1"/>
      <protection hidden="1"/>
    </xf>
    <xf numFmtId="0" fontId="41" fillId="0" borderId="22" xfId="0" applyFont="1" applyBorder="1" applyAlignment="1" applyProtection="1">
      <alignment horizontal="center" vertical="center" wrapText="1"/>
      <protection hidden="1"/>
    </xf>
    <xf numFmtId="0" fontId="41" fillId="0" borderId="12" xfId="0" applyFont="1" applyBorder="1" applyAlignment="1" applyProtection="1">
      <alignment horizontal="center" vertical="center" wrapText="1"/>
      <protection hidden="1"/>
    </xf>
    <xf numFmtId="0" fontId="40" fillId="0" borderId="8" xfId="0" applyFont="1" applyBorder="1" applyAlignment="1" applyProtection="1">
      <alignment horizontal="left" vertical="center" wrapText="1"/>
      <protection locked="0"/>
    </xf>
    <xf numFmtId="0" fontId="40" fillId="0" borderId="3" xfId="0" applyFont="1" applyBorder="1" applyAlignment="1" applyProtection="1">
      <alignment horizontal="left" vertical="center" wrapText="1"/>
      <protection hidden="1"/>
    </xf>
    <xf numFmtId="0" fontId="40" fillId="0" borderId="7" xfId="0" applyFont="1" applyBorder="1" applyAlignment="1" applyProtection="1">
      <alignment horizontal="left" vertical="center" wrapText="1"/>
      <protection hidden="1"/>
    </xf>
    <xf numFmtId="0" fontId="40" fillId="0" borderId="16" xfId="0" applyFont="1" applyBorder="1" applyAlignment="1" applyProtection="1">
      <alignment horizontal="left" vertical="center" wrapText="1"/>
      <protection hidden="1"/>
    </xf>
    <xf numFmtId="0" fontId="40" fillId="0" borderId="4" xfId="0" applyFont="1" applyBorder="1" applyAlignment="1" applyProtection="1">
      <alignment horizontal="left" vertical="center" wrapText="1"/>
      <protection hidden="1"/>
    </xf>
    <xf numFmtId="0" fontId="40" fillId="0" borderId="0" xfId="0" applyFont="1" applyBorder="1" applyAlignment="1" applyProtection="1">
      <alignment horizontal="left" vertical="center" wrapText="1"/>
      <protection hidden="1"/>
    </xf>
    <xf numFmtId="0" fontId="40" fillId="0" borderId="5" xfId="0" applyFont="1" applyBorder="1" applyAlignment="1" applyProtection="1">
      <alignment horizontal="left" vertical="center" wrapText="1"/>
      <protection hidden="1"/>
    </xf>
    <xf numFmtId="0" fontId="40" fillId="0" borderId="6" xfId="0" applyFont="1" applyBorder="1" applyAlignment="1" applyProtection="1">
      <alignment horizontal="left" vertical="center" wrapText="1"/>
      <protection hidden="1"/>
    </xf>
    <xf numFmtId="0" fontId="40" fillId="0" borderId="10" xfId="0" applyFont="1" applyBorder="1" applyAlignment="1" applyProtection="1">
      <alignment horizontal="left" vertical="center" wrapText="1"/>
      <protection hidden="1"/>
    </xf>
    <xf numFmtId="0" fontId="40" fillId="0" borderId="11" xfId="0" applyFont="1" applyBorder="1" applyAlignment="1" applyProtection="1">
      <alignment horizontal="left" vertical="center" wrapText="1"/>
      <protection hidden="1"/>
    </xf>
    <xf numFmtId="0" fontId="40" fillId="0" borderId="8" xfId="0" applyFont="1" applyBorder="1" applyAlignment="1" applyProtection="1">
      <alignment vertical="center" wrapText="1"/>
      <protection locked="0"/>
    </xf>
    <xf numFmtId="0" fontId="40" fillId="0" borderId="9" xfId="0" applyFont="1" applyFill="1" applyBorder="1" applyAlignment="1" applyProtection="1">
      <alignment horizontal="center" vertical="center" wrapText="1"/>
      <protection locked="0"/>
    </xf>
    <xf numFmtId="0" fontId="40" fillId="0" borderId="22" xfId="0" applyFont="1" applyFill="1" applyBorder="1" applyAlignment="1" applyProtection="1">
      <alignment horizontal="center" vertical="center" wrapText="1"/>
      <protection locked="0"/>
    </xf>
    <xf numFmtId="0" fontId="40" fillId="0" borderId="12" xfId="0" applyFont="1" applyFill="1" applyBorder="1" applyAlignment="1" applyProtection="1">
      <alignment horizontal="center" vertical="center" wrapText="1"/>
      <protection locked="0"/>
    </xf>
    <xf numFmtId="178" fontId="40" fillId="0" borderId="9" xfId="1" applyNumberFormat="1" applyFont="1" applyBorder="1" applyAlignment="1" applyProtection="1">
      <alignment horizontal="center" vertical="center"/>
      <protection locked="0"/>
    </xf>
    <xf numFmtId="178" fontId="40" fillId="0" borderId="22" xfId="1" applyNumberFormat="1" applyFont="1" applyBorder="1" applyAlignment="1" applyProtection="1">
      <alignment horizontal="center" vertical="center"/>
      <protection locked="0"/>
    </xf>
    <xf numFmtId="178" fontId="40" fillId="0" borderId="12" xfId="1" applyNumberFormat="1" applyFont="1" applyBorder="1" applyAlignment="1" applyProtection="1">
      <alignment horizontal="center" vertical="center"/>
      <protection locked="0"/>
    </xf>
    <xf numFmtId="178" fontId="40" fillId="0" borderId="9" xfId="1" applyNumberFormat="1" applyFont="1" applyBorder="1" applyAlignment="1" applyProtection="1">
      <alignment horizontal="center" vertical="center" wrapText="1"/>
      <protection locked="0"/>
    </xf>
    <xf numFmtId="178" fontId="40" fillId="0" borderId="22" xfId="1" applyNumberFormat="1" applyFont="1" applyBorder="1" applyAlignment="1" applyProtection="1">
      <alignment horizontal="center" vertical="center" wrapText="1"/>
      <protection locked="0"/>
    </xf>
    <xf numFmtId="178" fontId="40" fillId="0" borderId="12" xfId="1" applyNumberFormat="1" applyFont="1" applyBorder="1" applyAlignment="1" applyProtection="1">
      <alignment horizontal="center" vertical="center" wrapText="1"/>
      <protection locked="0"/>
    </xf>
    <xf numFmtId="0" fontId="41" fillId="0" borderId="9" xfId="0" applyFont="1" applyBorder="1" applyAlignment="1" applyProtection="1">
      <alignment horizontal="center" vertical="center"/>
      <protection locked="0"/>
    </xf>
    <xf numFmtId="0" fontId="41" fillId="0" borderId="22" xfId="0" applyFont="1" applyBorder="1" applyAlignment="1" applyProtection="1">
      <alignment horizontal="center" vertical="center"/>
      <protection locked="0"/>
    </xf>
    <xf numFmtId="10" fontId="40" fillId="0" borderId="9" xfId="2" applyNumberFormat="1" applyFont="1" applyBorder="1" applyAlignment="1" applyProtection="1">
      <alignment horizontal="center" vertical="center" wrapText="1"/>
      <protection locked="0"/>
    </xf>
    <xf numFmtId="10" fontId="40" fillId="0" borderId="22" xfId="2" applyNumberFormat="1" applyFont="1" applyBorder="1" applyAlignment="1" applyProtection="1">
      <alignment horizontal="center" vertical="center" wrapText="1"/>
      <protection locked="0"/>
    </xf>
    <xf numFmtId="0" fontId="72" fillId="0" borderId="9" xfId="0" applyFont="1" applyBorder="1" applyAlignment="1" applyProtection="1">
      <alignment horizontal="center" vertical="center" wrapText="1"/>
      <protection locked="0"/>
    </xf>
    <xf numFmtId="0" fontId="72" fillId="0" borderId="22" xfId="0" applyFont="1" applyBorder="1" applyAlignment="1" applyProtection="1">
      <alignment horizontal="center" vertical="center" wrapText="1"/>
      <protection locked="0"/>
    </xf>
    <xf numFmtId="0" fontId="72" fillId="0" borderId="12" xfId="0" applyFont="1" applyBorder="1" applyAlignment="1" applyProtection="1">
      <alignment horizontal="center" vertical="center" wrapText="1"/>
      <protection locked="0"/>
    </xf>
    <xf numFmtId="0" fontId="43" fillId="0" borderId="9" xfId="0" applyFont="1" applyBorder="1" applyAlignment="1" applyProtection="1">
      <alignment horizontal="left" vertical="center" wrapText="1"/>
      <protection locked="0"/>
    </xf>
    <xf numFmtId="0" fontId="43" fillId="0" borderId="22" xfId="0" applyFont="1" applyBorder="1" applyAlignment="1" applyProtection="1">
      <alignment horizontal="left" vertical="center" wrapText="1"/>
      <protection locked="0"/>
    </xf>
    <xf numFmtId="0" fontId="43" fillId="0" borderId="12" xfId="0" applyFont="1" applyBorder="1" applyAlignment="1" applyProtection="1">
      <alignment horizontal="left" vertical="center" wrapText="1"/>
      <protection locked="0"/>
    </xf>
    <xf numFmtId="0" fontId="40" fillId="0" borderId="0" xfId="0" applyFont="1" applyFill="1" applyBorder="1" applyAlignment="1" applyProtection="1">
      <alignment horizontal="justify" vertical="center"/>
      <protection hidden="1"/>
    </xf>
    <xf numFmtId="0" fontId="40" fillId="0" borderId="0" xfId="0" applyFont="1" applyFill="1" applyBorder="1" applyAlignment="1" applyProtection="1">
      <alignment vertical="center"/>
      <protection hidden="1"/>
    </xf>
    <xf numFmtId="0" fontId="41" fillId="0" borderId="8" xfId="0" applyFont="1" applyBorder="1" applyAlignment="1" applyProtection="1">
      <alignment vertical="center" wrapText="1"/>
      <protection locked="0"/>
    </xf>
    <xf numFmtId="178" fontId="156" fillId="0" borderId="9" xfId="1" applyNumberFormat="1" applyFont="1" applyBorder="1" applyAlignment="1" applyProtection="1">
      <alignment horizontal="center" vertical="center" wrapText="1"/>
      <protection locked="0"/>
    </xf>
    <xf numFmtId="178" fontId="156" fillId="0" borderId="22" xfId="1" applyNumberFormat="1" applyFont="1" applyBorder="1" applyAlignment="1" applyProtection="1">
      <alignment horizontal="center" vertical="center" wrapText="1"/>
      <protection locked="0"/>
    </xf>
    <xf numFmtId="178" fontId="156" fillId="0" borderId="12" xfId="1" applyNumberFormat="1" applyFont="1" applyBorder="1" applyAlignment="1" applyProtection="1">
      <alignment horizontal="center" vertical="center" wrapText="1"/>
      <protection locked="0"/>
    </xf>
    <xf numFmtId="0" fontId="45" fillId="0" borderId="9" xfId="0" applyFont="1" applyBorder="1" applyAlignment="1" applyProtection="1">
      <alignment horizontal="center" vertical="center" wrapText="1"/>
      <protection locked="0"/>
    </xf>
    <xf numFmtId="0" fontId="45" fillId="0" borderId="22" xfId="0" applyFont="1" applyBorder="1" applyAlignment="1" applyProtection="1">
      <alignment horizontal="center" vertical="center" wrapText="1"/>
      <protection locked="0"/>
    </xf>
    <xf numFmtId="0" fontId="45" fillId="0" borderId="12" xfId="0" applyFont="1" applyBorder="1" applyAlignment="1" applyProtection="1">
      <alignment horizontal="center" vertical="center" wrapText="1"/>
      <protection locked="0"/>
    </xf>
    <xf numFmtId="0" fontId="73" fillId="2" borderId="8" xfId="0" applyFont="1" applyFill="1" applyBorder="1" applyAlignment="1" applyProtection="1">
      <alignment horizontal="center" vertical="center"/>
      <protection hidden="1"/>
    </xf>
    <xf numFmtId="2" fontId="73" fillId="2" borderId="8" xfId="0" applyNumberFormat="1" applyFont="1" applyFill="1" applyBorder="1" applyAlignment="1" applyProtection="1">
      <alignment horizontal="center" vertical="center"/>
      <protection hidden="1"/>
    </xf>
    <xf numFmtId="0" fontId="40" fillId="2" borderId="8" xfId="0" applyFont="1" applyFill="1" applyBorder="1" applyAlignment="1" applyProtection="1">
      <alignment horizontal="center" vertical="center"/>
      <protection hidden="1"/>
    </xf>
    <xf numFmtId="9" fontId="156" fillId="0" borderId="9" xfId="24" applyFont="1" applyBorder="1" applyAlignment="1" applyProtection="1">
      <alignment horizontal="center" vertical="center" wrapText="1"/>
      <protection locked="0"/>
    </xf>
    <xf numFmtId="9" fontId="156" fillId="0" borderId="22" xfId="24" applyFont="1" applyBorder="1" applyAlignment="1" applyProtection="1">
      <alignment horizontal="center" vertical="center" wrapText="1"/>
      <protection locked="0"/>
    </xf>
    <xf numFmtId="0" fontId="40" fillId="0" borderId="9" xfId="0" applyFont="1" applyBorder="1" applyAlignment="1" applyProtection="1">
      <alignment horizontal="left" vertical="center"/>
      <protection hidden="1"/>
    </xf>
    <xf numFmtId="0" fontId="40" fillId="0" borderId="22" xfId="0" applyFont="1" applyBorder="1" applyAlignment="1" applyProtection="1">
      <alignment horizontal="left" vertical="center"/>
      <protection hidden="1"/>
    </xf>
    <xf numFmtId="0" fontId="40" fillId="0" borderId="22" xfId="0" applyFont="1" applyBorder="1" applyAlignment="1" applyProtection="1">
      <alignment horizontal="left" vertical="center"/>
      <protection locked="0"/>
    </xf>
    <xf numFmtId="192" fontId="130" fillId="0" borderId="22" xfId="0" applyNumberFormat="1" applyFont="1" applyBorder="1" applyAlignment="1" applyProtection="1">
      <alignment horizontal="left" vertical="center"/>
      <protection locked="0"/>
    </xf>
    <xf numFmtId="192" fontId="130" fillId="0" borderId="12" xfId="0" applyNumberFormat="1" applyFont="1" applyBorder="1" applyAlignment="1" applyProtection="1">
      <alignment horizontal="left" vertical="center"/>
      <protection locked="0"/>
    </xf>
    <xf numFmtId="0" fontId="40" fillId="0" borderId="9" xfId="0" applyFont="1" applyBorder="1" applyAlignment="1" applyProtection="1">
      <alignment horizontal="center" vertical="center"/>
      <protection hidden="1"/>
    </xf>
    <xf numFmtId="0" fontId="40" fillId="0" borderId="22" xfId="0" applyFont="1" applyBorder="1" applyAlignment="1" applyProtection="1">
      <alignment horizontal="center" vertical="center"/>
      <protection hidden="1"/>
    </xf>
    <xf numFmtId="0" fontId="40" fillId="0" borderId="12" xfId="0" applyFont="1" applyBorder="1" applyAlignment="1" applyProtection="1">
      <alignment horizontal="center" vertical="center"/>
      <protection hidden="1"/>
    </xf>
    <xf numFmtId="0" fontId="40" fillId="0" borderId="9" xfId="0" applyFont="1" applyBorder="1" applyAlignment="1" applyProtection="1">
      <alignment horizontal="center" vertical="center"/>
      <protection locked="0"/>
    </xf>
    <xf numFmtId="0" fontId="40" fillId="0" borderId="22" xfId="0" applyFont="1" applyBorder="1" applyAlignment="1" applyProtection="1">
      <alignment horizontal="center" vertical="center"/>
      <protection locked="0"/>
    </xf>
    <xf numFmtId="0" fontId="40" fillId="0" borderId="12" xfId="0" applyFont="1" applyBorder="1" applyAlignment="1" applyProtection="1">
      <alignment horizontal="center" vertical="center"/>
      <protection locked="0"/>
    </xf>
    <xf numFmtId="0" fontId="40" fillId="0" borderId="3" xfId="0" applyFont="1" applyBorder="1" applyAlignment="1" applyProtection="1">
      <alignment horizontal="center" vertical="center"/>
      <protection hidden="1"/>
    </xf>
    <xf numFmtId="0" fontId="40" fillId="0" borderId="7" xfId="0" applyFont="1" applyBorder="1" applyAlignment="1" applyProtection="1">
      <alignment horizontal="center" vertical="center"/>
      <protection hidden="1"/>
    </xf>
    <xf numFmtId="0" fontId="40" fillId="0" borderId="0" xfId="0" applyFont="1" applyFill="1" applyBorder="1" applyAlignment="1" applyProtection="1">
      <alignment horizontal="justify" vertical="center"/>
      <protection locked="0"/>
    </xf>
    <xf numFmtId="0" fontId="40" fillId="0" borderId="0" xfId="0" applyFont="1" applyFill="1" applyBorder="1" applyAlignment="1" applyProtection="1">
      <alignment vertical="center"/>
      <protection locked="0"/>
    </xf>
    <xf numFmtId="0" fontId="41" fillId="0" borderId="3" xfId="0" applyFont="1" applyBorder="1" applyAlignment="1" applyProtection="1">
      <alignment horizontal="center" vertical="center"/>
      <protection locked="0"/>
    </xf>
    <xf numFmtId="0" fontId="41" fillId="0" borderId="7" xfId="0" applyFont="1" applyBorder="1" applyAlignment="1" applyProtection="1">
      <alignment horizontal="center" vertical="center"/>
      <protection locked="0"/>
    </xf>
    <xf numFmtId="0" fontId="41" fillId="0" borderId="16" xfId="0" applyFont="1" applyBorder="1" applyAlignment="1" applyProtection="1">
      <alignment horizontal="center" vertical="center"/>
      <protection locked="0"/>
    </xf>
    <xf numFmtId="0" fontId="41" fillId="0" borderId="6" xfId="0" applyFont="1" applyBorder="1" applyAlignment="1" applyProtection="1">
      <alignment horizontal="center" vertical="center"/>
      <protection locked="0"/>
    </xf>
    <xf numFmtId="0" fontId="41" fillId="0" borderId="10" xfId="0" applyFont="1" applyBorder="1" applyAlignment="1" applyProtection="1">
      <alignment horizontal="center" vertical="center"/>
      <protection locked="0"/>
    </xf>
    <xf numFmtId="0" fontId="41" fillId="0" borderId="11" xfId="0" applyFont="1" applyBorder="1" applyAlignment="1" applyProtection="1">
      <alignment horizontal="center" vertical="center"/>
      <protection locked="0"/>
    </xf>
    <xf numFmtId="0" fontId="41" fillId="0" borderId="12" xfId="0" applyFont="1" applyBorder="1" applyAlignment="1" applyProtection="1">
      <alignment horizontal="center" vertical="center"/>
      <protection locked="0"/>
    </xf>
    <xf numFmtId="0" fontId="40" fillId="0" borderId="8" xfId="0" applyFont="1" applyBorder="1" applyAlignment="1" applyProtection="1">
      <alignment horizontal="justify" vertical="center"/>
      <protection hidden="1"/>
    </xf>
    <xf numFmtId="0" fontId="40" fillId="0" borderId="8" xfId="0" applyFont="1" applyBorder="1" applyAlignment="1" applyProtection="1">
      <alignment vertical="center"/>
      <protection hidden="1"/>
    </xf>
    <xf numFmtId="0" fontId="40" fillId="0" borderId="8" xfId="0" applyFont="1" applyBorder="1" applyAlignment="1" applyProtection="1">
      <alignment horizontal="center" vertical="center"/>
      <protection locked="0"/>
    </xf>
    <xf numFmtId="167" fontId="40" fillId="0" borderId="8" xfId="0" applyNumberFormat="1" applyFont="1" applyBorder="1" applyAlignment="1" applyProtection="1">
      <alignment horizontal="center" vertical="center"/>
      <protection locked="0"/>
    </xf>
    <xf numFmtId="0" fontId="40" fillId="0" borderId="12" xfId="0" applyFont="1" applyBorder="1" applyAlignment="1" applyProtection="1">
      <alignment horizontal="left" vertical="center"/>
      <protection hidden="1"/>
    </xf>
    <xf numFmtId="167" fontId="40" fillId="0" borderId="9" xfId="0" applyNumberFormat="1" applyFont="1" applyBorder="1" applyAlignment="1" applyProtection="1">
      <alignment horizontal="center" vertical="center"/>
      <protection locked="0"/>
    </xf>
    <xf numFmtId="167" fontId="40" fillId="0" borderId="22" xfId="0" applyNumberFormat="1" applyFont="1" applyBorder="1" applyAlignment="1" applyProtection="1">
      <alignment horizontal="center" vertical="center"/>
      <protection locked="0"/>
    </xf>
    <xf numFmtId="167" fontId="40" fillId="0" borderId="12" xfId="0" applyNumberFormat="1" applyFont="1" applyBorder="1" applyAlignment="1" applyProtection="1">
      <alignment horizontal="center" vertical="center"/>
      <protection locked="0"/>
    </xf>
    <xf numFmtId="0" fontId="41" fillId="0" borderId="62" xfId="0" applyFont="1" applyBorder="1" applyAlignment="1" applyProtection="1">
      <alignment horizontal="left" vertical="center" wrapText="1"/>
    </xf>
    <xf numFmtId="0" fontId="41" fillId="0" borderId="45" xfId="0" applyFont="1" applyBorder="1" applyAlignment="1" applyProtection="1">
      <alignment horizontal="left" vertical="center" wrapText="1"/>
    </xf>
    <xf numFmtId="185" fontId="73" fillId="0" borderId="62" xfId="2" applyNumberFormat="1" applyFont="1" applyBorder="1" applyAlignment="1" applyProtection="1">
      <alignment horizontal="center" vertical="center"/>
    </xf>
    <xf numFmtId="185" fontId="73" fillId="0" borderId="45" xfId="2" applyNumberFormat="1" applyFont="1" applyBorder="1" applyAlignment="1" applyProtection="1">
      <alignment horizontal="center" vertical="center"/>
    </xf>
    <xf numFmtId="0" fontId="40" fillId="0" borderId="62" xfId="0" applyFont="1" applyBorder="1" applyAlignment="1" applyProtection="1">
      <alignment horizontal="center" vertical="center" wrapText="1"/>
    </xf>
    <xf numFmtId="0" fontId="40" fillId="0" borderId="45" xfId="0" applyFont="1" applyBorder="1" applyAlignment="1" applyProtection="1">
      <alignment horizontal="center" vertical="center" wrapText="1"/>
    </xf>
    <xf numFmtId="0" fontId="40" fillId="0" borderId="63" xfId="0" applyFont="1" applyBorder="1" applyAlignment="1" applyProtection="1">
      <alignment horizontal="center" vertical="center" wrapText="1"/>
    </xf>
    <xf numFmtId="0" fontId="40" fillId="0" borderId="13" xfId="0" applyFont="1" applyBorder="1" applyAlignment="1" applyProtection="1">
      <alignment horizontal="center" vertical="center"/>
      <protection hidden="1"/>
    </xf>
    <xf numFmtId="0" fontId="40" fillId="0" borderId="14" xfId="0" applyFont="1" applyBorder="1" applyAlignment="1" applyProtection="1">
      <alignment horizontal="center" vertical="center"/>
      <protection hidden="1"/>
    </xf>
    <xf numFmtId="0" fontId="40" fillId="0" borderId="15" xfId="0" applyFont="1" applyBorder="1" applyAlignment="1" applyProtection="1">
      <alignment horizontal="center" vertical="center"/>
      <protection hidden="1"/>
    </xf>
    <xf numFmtId="0" fontId="40" fillId="0" borderId="0" xfId="0" applyFont="1" applyBorder="1" applyAlignment="1" applyProtection="1">
      <alignment horizontal="justify" vertical="center"/>
      <protection hidden="1"/>
    </xf>
    <xf numFmtId="0" fontId="40" fillId="0" borderId="0" xfId="0" applyFont="1" applyBorder="1" applyAlignment="1" applyProtection="1">
      <alignment vertical="center"/>
      <protection hidden="1"/>
    </xf>
    <xf numFmtId="14" fontId="40" fillId="0" borderId="9" xfId="0" applyNumberFormat="1" applyFont="1" applyBorder="1" applyAlignment="1" applyProtection="1">
      <alignment horizontal="center" vertical="center"/>
      <protection locked="0"/>
    </xf>
    <xf numFmtId="14" fontId="40" fillId="0" borderId="22" xfId="0" applyNumberFormat="1" applyFont="1" applyBorder="1" applyAlignment="1" applyProtection="1">
      <alignment horizontal="center" vertical="center"/>
      <protection locked="0"/>
    </xf>
    <xf numFmtId="14" fontId="40" fillId="0" borderId="12" xfId="0" applyNumberFormat="1" applyFont="1" applyBorder="1" applyAlignment="1" applyProtection="1">
      <alignment horizontal="center" vertical="center"/>
      <protection locked="0"/>
    </xf>
    <xf numFmtId="0" fontId="40" fillId="0" borderId="9" xfId="0" quotePrefix="1" applyFont="1" applyBorder="1" applyAlignment="1" applyProtection="1">
      <alignment horizontal="center" vertical="center"/>
      <protection locked="0"/>
    </xf>
    <xf numFmtId="0" fontId="40" fillId="0" borderId="0" xfId="0" applyFont="1" applyBorder="1" applyAlignment="1" applyProtection="1">
      <alignment horizontal="justify" vertical="center" wrapText="1"/>
      <protection locked="0"/>
    </xf>
    <xf numFmtId="0" fontId="40" fillId="0" borderId="0" xfId="0" applyFont="1" applyBorder="1" applyAlignment="1" applyProtection="1">
      <alignment vertical="center" wrapText="1"/>
      <protection locked="0"/>
    </xf>
    <xf numFmtId="0" fontId="39" fillId="4" borderId="79" xfId="0" applyFont="1" applyFill="1" applyBorder="1" applyAlignment="1" applyProtection="1">
      <alignment horizontal="center" vertical="center" wrapText="1"/>
    </xf>
    <xf numFmtId="0" fontId="38" fillId="4" borderId="71" xfId="0" applyFont="1" applyFill="1" applyBorder="1" applyAlignment="1" applyProtection="1">
      <alignment horizontal="center" vertical="center" wrapText="1"/>
    </xf>
    <xf numFmtId="0" fontId="38" fillId="4" borderId="144" xfId="0" applyFont="1" applyFill="1" applyBorder="1" applyAlignment="1" applyProtection="1">
      <alignment horizontal="center" vertical="center" wrapText="1"/>
    </xf>
    <xf numFmtId="0" fontId="39" fillId="4" borderId="55" xfId="0" applyFont="1" applyFill="1" applyBorder="1" applyAlignment="1" applyProtection="1">
      <alignment horizontal="center" vertical="center" wrapText="1"/>
    </xf>
    <xf numFmtId="0" fontId="38" fillId="4" borderId="56" xfId="0" applyFont="1" applyFill="1" applyBorder="1" applyAlignment="1" applyProtection="1">
      <alignment horizontal="center" vertical="center" wrapText="1"/>
    </xf>
    <xf numFmtId="0" fontId="38" fillId="4" borderId="69" xfId="0" applyFont="1" applyFill="1" applyBorder="1" applyAlignment="1" applyProtection="1">
      <alignment horizontal="center" vertical="center" wrapText="1"/>
    </xf>
    <xf numFmtId="0" fontId="41" fillId="0" borderId="0" xfId="0" applyFont="1" applyBorder="1" applyAlignment="1" applyProtection="1">
      <alignment vertical="center" wrapText="1"/>
    </xf>
    <xf numFmtId="0" fontId="40" fillId="0" borderId="0" xfId="0" applyFont="1" applyBorder="1" applyAlignment="1" applyProtection="1">
      <alignment horizontal="justify" vertical="center"/>
    </xf>
    <xf numFmtId="0" fontId="40" fillId="0" borderId="0" xfId="0" applyFont="1" applyBorder="1" applyAlignment="1" applyProtection="1">
      <alignment vertical="center"/>
    </xf>
    <xf numFmtId="0" fontId="73" fillId="0" borderId="8" xfId="0" applyFont="1" applyBorder="1" applyAlignment="1" applyProtection="1">
      <alignment horizontal="left" vertical="center" wrapText="1"/>
    </xf>
    <xf numFmtId="0" fontId="72" fillId="0" borderId="8" xfId="0" applyFont="1" applyBorder="1" applyAlignment="1" applyProtection="1">
      <alignment horizontal="left" wrapText="1"/>
    </xf>
    <xf numFmtId="1" fontId="130" fillId="0" borderId="8" xfId="0" applyNumberFormat="1" applyFont="1" applyBorder="1" applyAlignment="1" applyProtection="1">
      <alignment horizontal="center" vertical="center"/>
      <protection locked="0"/>
    </xf>
    <xf numFmtId="0" fontId="130" fillId="0" borderId="8" xfId="0" applyFont="1" applyBorder="1" applyAlignment="1" applyProtection="1">
      <alignment horizontal="center" vertical="center"/>
      <protection locked="0"/>
    </xf>
    <xf numFmtId="0" fontId="40" fillId="0" borderId="8" xfId="0" quotePrefix="1" applyFont="1" applyBorder="1" applyAlignment="1" applyProtection="1">
      <alignment horizontal="center" vertical="center"/>
      <protection locked="0"/>
    </xf>
    <xf numFmtId="0" fontId="73" fillId="0" borderId="13" xfId="0" applyFont="1" applyBorder="1" applyAlignment="1" applyProtection="1">
      <alignment horizontal="left" vertical="center" wrapText="1"/>
    </xf>
    <xf numFmtId="0" fontId="40" fillId="0" borderId="0" xfId="0" applyFont="1" applyBorder="1" applyAlignment="1" applyProtection="1">
      <alignment horizontal="left" vertical="center"/>
    </xf>
    <xf numFmtId="0" fontId="40" fillId="0" borderId="0" xfId="0" applyFont="1" applyFill="1" applyBorder="1" applyAlignment="1" applyProtection="1">
      <alignment horizontal="left" vertical="center"/>
    </xf>
    <xf numFmtId="192" fontId="131" fillId="0" borderId="0" xfId="0" applyNumberFormat="1" applyFont="1" applyFill="1" applyBorder="1" applyAlignment="1" applyProtection="1">
      <alignment horizontal="left" vertical="center"/>
    </xf>
    <xf numFmtId="0" fontId="41" fillId="0" borderId="7" xfId="0" applyFont="1" applyBorder="1" applyAlignment="1" applyProtection="1">
      <alignment vertical="center" wrapText="1"/>
      <protection hidden="1"/>
    </xf>
    <xf numFmtId="167" fontId="40" fillId="0" borderId="9" xfId="0" applyNumberFormat="1" applyFont="1" applyBorder="1" applyAlignment="1" applyProtection="1">
      <alignment horizontal="left" vertical="center" wrapText="1"/>
      <protection locked="0"/>
    </xf>
    <xf numFmtId="167" fontId="40" fillId="0" borderId="22" xfId="0" applyNumberFormat="1" applyFont="1" applyBorder="1" applyAlignment="1" applyProtection="1">
      <alignment horizontal="left" vertical="center" wrapText="1"/>
      <protection locked="0"/>
    </xf>
    <xf numFmtId="167" fontId="40" fillId="0" borderId="12" xfId="0" applyNumberFormat="1" applyFont="1" applyBorder="1" applyAlignment="1" applyProtection="1">
      <alignment horizontal="left" vertical="center" wrapText="1"/>
      <protection locked="0"/>
    </xf>
    <xf numFmtId="167" fontId="40" fillId="0" borderId="3" xfId="0" applyNumberFormat="1" applyFont="1" applyBorder="1" applyAlignment="1" applyProtection="1">
      <alignment horizontal="left" vertical="center" wrapText="1"/>
      <protection locked="0"/>
    </xf>
    <xf numFmtId="167" fontId="40" fillId="0" borderId="7" xfId="0" applyNumberFormat="1" applyFont="1" applyBorder="1" applyAlignment="1" applyProtection="1">
      <alignment horizontal="left" vertical="center" wrapText="1"/>
      <protection locked="0"/>
    </xf>
    <xf numFmtId="167" fontId="40" fillId="0" borderId="16" xfId="0" applyNumberFormat="1" applyFont="1" applyBorder="1" applyAlignment="1" applyProtection="1">
      <alignment horizontal="left" vertical="center" wrapText="1"/>
      <protection locked="0"/>
    </xf>
    <xf numFmtId="0" fontId="72" fillId="0" borderId="0" xfId="0" applyFont="1" applyBorder="1" applyAlignment="1" applyProtection="1">
      <alignment horizontal="justify" vertical="center"/>
      <protection locked="0"/>
    </xf>
    <xf numFmtId="0" fontId="72" fillId="0" borderId="0" xfId="0" applyFont="1" applyBorder="1" applyAlignment="1" applyProtection="1">
      <alignment vertical="center"/>
      <protection locked="0"/>
    </xf>
    <xf numFmtId="0" fontId="41" fillId="0" borderId="9" xfId="0" applyFont="1" applyBorder="1" applyAlignment="1" applyProtection="1">
      <alignment horizontal="center" vertical="center"/>
      <protection hidden="1"/>
    </xf>
    <xf numFmtId="0" fontId="41" fillId="0" borderId="22" xfId="0" applyFont="1" applyBorder="1" applyAlignment="1" applyProtection="1">
      <alignment horizontal="center" vertical="center"/>
      <protection hidden="1"/>
    </xf>
    <xf numFmtId="0" fontId="41" fillId="0" borderId="12" xfId="0" applyFont="1" applyBorder="1" applyAlignment="1" applyProtection="1">
      <alignment horizontal="center" vertical="center"/>
      <protection hidden="1"/>
    </xf>
    <xf numFmtId="0" fontId="40" fillId="2" borderId="9" xfId="0" applyFont="1" applyFill="1" applyBorder="1" applyAlignment="1" applyProtection="1">
      <alignment horizontal="center" vertical="center"/>
      <protection hidden="1"/>
    </xf>
    <xf numFmtId="0" fontId="40" fillId="2" borderId="22" xfId="0" applyFont="1" applyFill="1" applyBorder="1" applyAlignment="1" applyProtection="1">
      <alignment horizontal="center" vertical="center"/>
      <protection hidden="1"/>
    </xf>
    <xf numFmtId="0" fontId="40" fillId="2" borderId="12" xfId="0" applyFont="1" applyFill="1" applyBorder="1" applyAlignment="1" applyProtection="1">
      <alignment horizontal="center" vertical="center"/>
      <protection hidden="1"/>
    </xf>
    <xf numFmtId="0" fontId="40" fillId="2" borderId="3" xfId="0" applyFont="1" applyFill="1" applyBorder="1" applyAlignment="1" applyProtection="1">
      <alignment horizontal="center" vertical="center"/>
      <protection hidden="1"/>
    </xf>
    <xf numFmtId="0" fontId="40" fillId="2" borderId="7" xfId="0" applyFont="1" applyFill="1" applyBorder="1" applyAlignment="1" applyProtection="1">
      <alignment horizontal="center" vertical="center"/>
      <protection hidden="1"/>
    </xf>
    <xf numFmtId="0" fontId="40" fillId="2" borderId="6" xfId="0" applyFont="1" applyFill="1" applyBorder="1" applyAlignment="1" applyProtection="1">
      <alignment horizontal="center" vertical="center"/>
      <protection hidden="1"/>
    </xf>
    <xf numFmtId="0" fontId="40" fillId="2" borderId="10" xfId="0" applyFont="1" applyFill="1" applyBorder="1" applyAlignment="1" applyProtection="1">
      <alignment horizontal="center" vertical="center"/>
      <protection hidden="1"/>
    </xf>
    <xf numFmtId="167" fontId="40" fillId="0" borderId="3" xfId="0" applyNumberFormat="1" applyFont="1" applyBorder="1" applyAlignment="1" applyProtection="1">
      <alignment horizontal="left" vertical="center" wrapText="1"/>
      <protection hidden="1"/>
    </xf>
    <xf numFmtId="167" fontId="40" fillId="0" borderId="7" xfId="0" applyNumberFormat="1" applyFont="1" applyBorder="1" applyAlignment="1" applyProtection="1">
      <alignment horizontal="left" vertical="center" wrapText="1"/>
      <protection hidden="1"/>
    </xf>
    <xf numFmtId="167" fontId="40" fillId="0" borderId="16" xfId="0" applyNumberFormat="1" applyFont="1" applyBorder="1" applyAlignment="1" applyProtection="1">
      <alignment horizontal="left" vertical="center" wrapText="1"/>
      <protection hidden="1"/>
    </xf>
    <xf numFmtId="167" fontId="40" fillId="0" borderId="4" xfId="0" applyNumberFormat="1" applyFont="1" applyBorder="1" applyAlignment="1" applyProtection="1">
      <alignment horizontal="left" vertical="center" wrapText="1"/>
      <protection hidden="1"/>
    </xf>
    <xf numFmtId="167" fontId="40" fillId="0" borderId="0" xfId="0" applyNumberFormat="1" applyFont="1" applyBorder="1" applyAlignment="1" applyProtection="1">
      <alignment horizontal="left" vertical="center" wrapText="1"/>
      <protection hidden="1"/>
    </xf>
    <xf numFmtId="167" fontId="40" fillId="0" borderId="5" xfId="0" applyNumberFormat="1" applyFont="1" applyBorder="1" applyAlignment="1" applyProtection="1">
      <alignment horizontal="left" vertical="center" wrapText="1"/>
      <protection hidden="1"/>
    </xf>
    <xf numFmtId="1" fontId="130" fillId="0" borderId="9" xfId="0" applyNumberFormat="1" applyFont="1" applyBorder="1" applyAlignment="1" applyProtection="1">
      <alignment horizontal="center" vertical="center" wrapText="1"/>
      <protection locked="0"/>
    </xf>
    <xf numFmtId="0" fontId="130" fillId="0" borderId="22" xfId="0" applyFont="1" applyBorder="1" applyAlignment="1" applyProtection="1">
      <alignment horizontal="center" vertical="center" wrapText="1"/>
      <protection locked="0"/>
    </xf>
    <xf numFmtId="0" fontId="130" fillId="0" borderId="12" xfId="0" applyFont="1" applyBorder="1" applyAlignment="1" applyProtection="1">
      <alignment horizontal="center" vertical="center" wrapText="1"/>
      <protection locked="0"/>
    </xf>
    <xf numFmtId="0" fontId="40" fillId="2" borderId="16" xfId="0" applyFont="1" applyFill="1" applyBorder="1" applyAlignment="1" applyProtection="1">
      <alignment horizontal="center" vertical="center"/>
      <protection hidden="1"/>
    </xf>
    <xf numFmtId="0" fontId="40" fillId="2" borderId="11" xfId="0" applyFont="1" applyFill="1" applyBorder="1" applyAlignment="1" applyProtection="1">
      <alignment horizontal="center" vertical="center"/>
      <protection hidden="1"/>
    </xf>
    <xf numFmtId="166" fontId="40" fillId="0" borderId="3" xfId="2" applyNumberFormat="1" applyFont="1" applyBorder="1" applyAlignment="1" applyProtection="1">
      <alignment horizontal="left" vertical="center" wrapText="1"/>
      <protection locked="0"/>
    </xf>
    <xf numFmtId="166" fontId="40" fillId="0" borderId="7" xfId="2" applyNumberFormat="1" applyFont="1" applyBorder="1" applyAlignment="1" applyProtection="1">
      <alignment horizontal="left" vertical="center" wrapText="1"/>
      <protection locked="0"/>
    </xf>
    <xf numFmtId="166" fontId="40" fillId="0" borderId="16" xfId="2" applyNumberFormat="1" applyFont="1" applyBorder="1" applyAlignment="1" applyProtection="1">
      <alignment horizontal="left" vertical="center" wrapText="1"/>
      <protection locked="0"/>
    </xf>
    <xf numFmtId="166" fontId="40" fillId="0" borderId="4" xfId="2" applyNumberFormat="1" applyFont="1" applyBorder="1" applyAlignment="1" applyProtection="1">
      <alignment horizontal="left" vertical="center" wrapText="1"/>
      <protection locked="0"/>
    </xf>
    <xf numFmtId="166" fontId="40" fillId="0" borderId="0" xfId="2" applyNumberFormat="1" applyFont="1" applyBorder="1" applyAlignment="1" applyProtection="1">
      <alignment horizontal="left" vertical="center" wrapText="1"/>
      <protection locked="0"/>
    </xf>
    <xf numFmtId="166" fontId="40" fillId="0" borderId="5" xfId="2" applyNumberFormat="1" applyFont="1" applyBorder="1" applyAlignment="1" applyProtection="1">
      <alignment horizontal="left" vertical="center" wrapText="1"/>
      <protection locked="0"/>
    </xf>
    <xf numFmtId="166" fontId="40" fillId="0" borderId="6" xfId="2" applyNumberFormat="1" applyFont="1" applyBorder="1" applyAlignment="1" applyProtection="1">
      <alignment horizontal="left" vertical="center" wrapText="1"/>
      <protection locked="0"/>
    </xf>
    <xf numFmtId="166" fontId="40" fillId="0" borderId="10" xfId="2" applyNumberFormat="1" applyFont="1" applyBorder="1" applyAlignment="1" applyProtection="1">
      <alignment horizontal="left" vertical="center" wrapText="1"/>
      <protection locked="0"/>
    </xf>
    <xf numFmtId="166" fontId="40" fillId="0" borderId="11" xfId="2" applyNumberFormat="1" applyFont="1" applyBorder="1" applyAlignment="1" applyProtection="1">
      <alignment horizontal="left" vertical="center" wrapText="1"/>
      <protection locked="0"/>
    </xf>
    <xf numFmtId="0" fontId="41" fillId="0" borderId="3" xfId="0" applyFont="1" applyBorder="1" applyAlignment="1" applyProtection="1">
      <alignment horizontal="center" vertical="center" wrapText="1"/>
      <protection locked="0"/>
    </xf>
    <xf numFmtId="0" fontId="41" fillId="0" borderId="7" xfId="0" applyFont="1" applyBorder="1" applyAlignment="1" applyProtection="1">
      <alignment horizontal="center" vertical="center" wrapText="1"/>
      <protection locked="0"/>
    </xf>
    <xf numFmtId="0" fontId="41" fillId="0" borderId="16" xfId="0" applyFont="1" applyBorder="1" applyAlignment="1" applyProtection="1">
      <alignment horizontal="center" vertical="center" wrapText="1"/>
      <protection locked="0"/>
    </xf>
    <xf numFmtId="0" fontId="41" fillId="0" borderId="6" xfId="0" applyFont="1" applyBorder="1" applyAlignment="1" applyProtection="1">
      <alignment horizontal="center" vertical="center" wrapText="1"/>
      <protection locked="0"/>
    </xf>
    <xf numFmtId="0" fontId="41" fillId="0" borderId="10" xfId="0" applyFont="1" applyBorder="1" applyAlignment="1" applyProtection="1">
      <alignment horizontal="center" vertical="center" wrapText="1"/>
      <protection locked="0"/>
    </xf>
    <xf numFmtId="0" fontId="41" fillId="0" borderId="11" xfId="0" applyFont="1" applyBorder="1" applyAlignment="1" applyProtection="1">
      <alignment horizontal="center" vertical="center" wrapText="1"/>
      <protection locked="0"/>
    </xf>
    <xf numFmtId="0" fontId="73" fillId="2" borderId="9" xfId="0" applyFont="1" applyFill="1" applyBorder="1" applyAlignment="1" applyProtection="1">
      <alignment horizontal="center" vertical="center"/>
      <protection hidden="1"/>
    </xf>
    <xf numFmtId="0" fontId="73" fillId="2" borderId="22" xfId="0" applyFont="1" applyFill="1" applyBorder="1" applyAlignment="1" applyProtection="1">
      <alignment horizontal="center" vertical="center"/>
      <protection hidden="1"/>
    </xf>
    <xf numFmtId="0" fontId="73" fillId="2" borderId="12" xfId="0" applyFont="1" applyFill="1" applyBorder="1" applyAlignment="1" applyProtection="1">
      <alignment horizontal="center" vertical="center"/>
      <protection hidden="1"/>
    </xf>
    <xf numFmtId="10" fontId="40" fillId="0" borderId="0" xfId="0" applyNumberFormat="1" applyFont="1" applyFill="1" applyBorder="1" applyAlignment="1" applyProtection="1">
      <alignment horizontal="center" vertical="center"/>
      <protection hidden="1"/>
    </xf>
    <xf numFmtId="0" fontId="41" fillId="15" borderId="50" xfId="0" applyFont="1" applyFill="1" applyBorder="1" applyAlignment="1" applyProtection="1">
      <alignment horizontal="center" vertical="center" wrapText="1"/>
      <protection hidden="1"/>
    </xf>
    <xf numFmtId="0" fontId="41" fillId="15" borderId="52" xfId="0" applyFont="1" applyFill="1" applyBorder="1" applyAlignment="1" applyProtection="1">
      <alignment horizontal="center" vertical="center" wrapText="1"/>
      <protection hidden="1"/>
    </xf>
    <xf numFmtId="0" fontId="41" fillId="15" borderId="65" xfId="0" applyFont="1" applyFill="1" applyBorder="1" applyAlignment="1" applyProtection="1">
      <alignment horizontal="center" vertical="center" wrapText="1"/>
      <protection hidden="1"/>
    </xf>
    <xf numFmtId="0" fontId="41" fillId="15" borderId="66" xfId="0" applyFont="1" applyFill="1" applyBorder="1" applyAlignment="1" applyProtection="1">
      <alignment horizontal="center" vertical="center" wrapText="1"/>
      <protection hidden="1"/>
    </xf>
    <xf numFmtId="0" fontId="41" fillId="15" borderId="0" xfId="0" applyFont="1" applyFill="1" applyBorder="1" applyAlignment="1" applyProtection="1">
      <alignment horizontal="center" vertical="center" wrapText="1"/>
      <protection hidden="1"/>
    </xf>
    <xf numFmtId="0" fontId="41" fillId="15" borderId="47" xfId="0" applyFont="1" applyFill="1" applyBorder="1" applyAlignment="1" applyProtection="1">
      <alignment horizontal="center" vertical="center" wrapText="1"/>
      <protection hidden="1"/>
    </xf>
    <xf numFmtId="0" fontId="41" fillId="0" borderId="0" xfId="0" applyFont="1" applyFill="1" applyBorder="1" applyAlignment="1" applyProtection="1">
      <alignment horizontal="center" vertical="center" wrapText="1"/>
      <protection hidden="1"/>
    </xf>
    <xf numFmtId="10" fontId="40" fillId="0" borderId="57" xfId="0" applyNumberFormat="1" applyFont="1" applyBorder="1" applyAlignment="1" applyProtection="1">
      <alignment horizontal="center" vertical="center"/>
      <protection hidden="1"/>
    </xf>
    <xf numFmtId="10" fontId="40" fillId="0" borderId="15" xfId="0" applyNumberFormat="1" applyFont="1" applyBorder="1" applyAlignment="1" applyProtection="1">
      <alignment horizontal="center" vertical="center"/>
      <protection hidden="1"/>
    </xf>
    <xf numFmtId="10" fontId="40" fillId="0" borderId="105" xfId="0" applyNumberFormat="1" applyFont="1" applyBorder="1" applyAlignment="1" applyProtection="1">
      <alignment horizontal="center" vertical="center"/>
      <protection hidden="1"/>
    </xf>
    <xf numFmtId="10" fontId="74" fillId="4" borderId="8" xfId="24" applyNumberFormat="1" applyFont="1" applyFill="1" applyBorder="1" applyAlignment="1" applyProtection="1">
      <alignment horizontal="right" vertical="center"/>
      <protection hidden="1"/>
    </xf>
    <xf numFmtId="10" fontId="74" fillId="4" borderId="98" xfId="24" applyNumberFormat="1" applyFont="1" applyFill="1" applyBorder="1" applyAlignment="1" applyProtection="1">
      <alignment horizontal="right" vertical="center"/>
      <protection hidden="1"/>
    </xf>
    <xf numFmtId="10" fontId="74" fillId="4" borderId="8" xfId="24" applyNumberFormat="1" applyFont="1" applyFill="1" applyBorder="1" applyAlignment="1" applyProtection="1">
      <alignment horizontal="right" vertical="center" wrapText="1"/>
      <protection hidden="1"/>
    </xf>
    <xf numFmtId="0" fontId="75" fillId="4" borderId="8" xfId="0" applyFont="1" applyFill="1" applyBorder="1" applyAlignment="1" applyProtection="1">
      <alignment horizontal="center" vertical="center"/>
      <protection hidden="1"/>
    </xf>
    <xf numFmtId="0" fontId="75" fillId="4" borderId="98" xfId="0" applyFont="1" applyFill="1" applyBorder="1" applyAlignment="1" applyProtection="1">
      <alignment horizontal="center" vertical="center"/>
      <protection hidden="1"/>
    </xf>
    <xf numFmtId="10" fontId="52" fillId="0" borderId="8" xfId="0" applyNumberFormat="1" applyFont="1" applyBorder="1" applyAlignment="1" applyProtection="1">
      <alignment horizontal="center" vertical="center" wrapText="1"/>
      <protection hidden="1"/>
    </xf>
    <xf numFmtId="10" fontId="73" fillId="0" borderId="8" xfId="24" applyNumberFormat="1" applyFont="1" applyFill="1" applyBorder="1" applyAlignment="1" applyProtection="1">
      <alignment horizontal="right" vertical="center" wrapText="1"/>
      <protection hidden="1"/>
    </xf>
    <xf numFmtId="0" fontId="40" fillId="0" borderId="58" xfId="0" applyFont="1" applyBorder="1" applyAlignment="1" applyProtection="1">
      <alignment horizontal="left" vertical="center"/>
      <protection hidden="1"/>
    </xf>
    <xf numFmtId="0" fontId="40" fillId="0" borderId="98" xfId="0" applyFont="1" applyBorder="1" applyAlignment="1" applyProtection="1">
      <alignment horizontal="left" vertical="center"/>
      <protection hidden="1"/>
    </xf>
    <xf numFmtId="0" fontId="41" fillId="10" borderId="145" xfId="0" applyFont="1" applyFill="1" applyBorder="1" applyAlignment="1" applyProtection="1">
      <alignment horizontal="left" vertical="center"/>
      <protection hidden="1"/>
    </xf>
    <xf numFmtId="0" fontId="41" fillId="10" borderId="76" xfId="0" applyFont="1" applyFill="1" applyBorder="1" applyAlignment="1" applyProtection="1">
      <alignment horizontal="left" vertical="center"/>
      <protection hidden="1"/>
    </xf>
    <xf numFmtId="0" fontId="40" fillId="0" borderId="21" xfId="0" applyFont="1" applyBorder="1" applyAlignment="1" applyProtection="1">
      <alignment horizontal="left" vertical="center"/>
      <protection hidden="1"/>
    </xf>
    <xf numFmtId="0" fontId="41" fillId="4" borderId="21" xfId="0" applyFont="1" applyFill="1" applyBorder="1" applyAlignment="1" applyProtection="1">
      <alignment horizontal="left" vertical="center"/>
      <protection hidden="1"/>
    </xf>
    <xf numFmtId="0" fontId="41" fillId="4" borderId="22" xfId="0" applyFont="1" applyFill="1" applyBorder="1" applyAlignment="1" applyProtection="1">
      <alignment horizontal="left" vertical="center"/>
      <protection hidden="1"/>
    </xf>
    <xf numFmtId="10" fontId="52" fillId="0" borderId="56" xfId="0" applyNumberFormat="1" applyFont="1" applyBorder="1" applyAlignment="1" applyProtection="1">
      <alignment horizontal="center" vertical="center" wrapText="1"/>
      <protection hidden="1"/>
    </xf>
    <xf numFmtId="10" fontId="73" fillId="0" borderId="8" xfId="24" applyNumberFormat="1" applyFont="1" applyFill="1" applyBorder="1" applyAlignment="1" applyProtection="1">
      <alignment horizontal="right" vertical="center"/>
      <protection hidden="1"/>
    </xf>
    <xf numFmtId="10" fontId="73" fillId="0" borderId="98" xfId="24" applyNumberFormat="1" applyFont="1" applyFill="1" applyBorder="1" applyAlignment="1" applyProtection="1">
      <alignment horizontal="right" vertical="center"/>
      <protection hidden="1"/>
    </xf>
    <xf numFmtId="10" fontId="72" fillId="0" borderId="58" xfId="24" applyNumberFormat="1" applyFont="1" applyBorder="1" applyAlignment="1" applyProtection="1">
      <alignment horizontal="center" vertical="center"/>
      <protection hidden="1"/>
    </xf>
    <xf numFmtId="10" fontId="72" fillId="0" borderId="8" xfId="24" applyNumberFormat="1" applyFont="1" applyBorder="1" applyAlignment="1" applyProtection="1">
      <alignment horizontal="center" vertical="center"/>
      <protection hidden="1"/>
    </xf>
    <xf numFmtId="10" fontId="72" fillId="0" borderId="98" xfId="24" applyNumberFormat="1" applyFont="1" applyBorder="1" applyAlignment="1" applyProtection="1">
      <alignment horizontal="center" vertical="center"/>
      <protection hidden="1"/>
    </xf>
    <xf numFmtId="0" fontId="41" fillId="15" borderId="49" xfId="0" applyFont="1" applyFill="1" applyBorder="1" applyAlignment="1" applyProtection="1">
      <alignment horizontal="center" vertical="center" wrapText="1"/>
      <protection hidden="1"/>
    </xf>
    <xf numFmtId="0" fontId="41" fillId="15" borderId="48" xfId="0" applyFont="1" applyFill="1" applyBorder="1" applyAlignment="1" applyProtection="1">
      <alignment horizontal="center" vertical="center" wrapText="1"/>
      <protection hidden="1"/>
    </xf>
    <xf numFmtId="0" fontId="41" fillId="15" borderId="118" xfId="0" applyFont="1" applyFill="1" applyBorder="1" applyAlignment="1" applyProtection="1">
      <alignment horizontal="center" vertical="center" wrapText="1"/>
      <protection hidden="1"/>
    </xf>
    <xf numFmtId="0" fontId="41" fillId="15" borderId="51" xfId="0" applyNumberFormat="1" applyFont="1" applyFill="1" applyBorder="1" applyAlignment="1" applyProtection="1">
      <alignment horizontal="center" vertical="center" wrapText="1"/>
      <protection hidden="1"/>
    </xf>
    <xf numFmtId="0" fontId="41" fillId="15" borderId="119" xfId="0" applyNumberFormat="1" applyFont="1" applyFill="1" applyBorder="1" applyAlignment="1" applyProtection="1">
      <alignment horizontal="center" vertical="center" wrapText="1"/>
      <protection hidden="1"/>
    </xf>
    <xf numFmtId="0" fontId="41" fillId="11" borderId="58" xfId="0" applyFont="1" applyFill="1" applyBorder="1" applyAlignment="1" applyProtection="1">
      <alignment horizontal="left" vertical="center"/>
      <protection hidden="1"/>
    </xf>
    <xf numFmtId="0" fontId="41" fillId="11" borderId="98" xfId="0" applyFont="1" applyFill="1" applyBorder="1" applyAlignment="1" applyProtection="1">
      <alignment horizontal="left" vertical="center"/>
      <protection hidden="1"/>
    </xf>
    <xf numFmtId="10" fontId="72" fillId="0" borderId="55" xfId="24" applyNumberFormat="1" applyFont="1" applyBorder="1" applyAlignment="1" applyProtection="1">
      <alignment horizontal="center" vertical="center"/>
      <protection hidden="1"/>
    </xf>
    <xf numFmtId="10" fontId="72" fillId="0" borderId="56" xfId="24" applyNumberFormat="1" applyFont="1" applyBorder="1" applyAlignment="1" applyProtection="1">
      <alignment horizontal="center" vertical="center"/>
      <protection hidden="1"/>
    </xf>
    <xf numFmtId="10" fontId="72" fillId="0" borderId="69" xfId="24" applyNumberFormat="1" applyFont="1" applyBorder="1" applyAlignment="1" applyProtection="1">
      <alignment horizontal="center" vertical="center"/>
      <protection hidden="1"/>
    </xf>
    <xf numFmtId="10" fontId="72" fillId="0" borderId="5" xfId="24" applyNumberFormat="1" applyFont="1" applyBorder="1" applyAlignment="1" applyProtection="1">
      <alignment horizontal="center" vertical="center"/>
      <protection hidden="1"/>
    </xf>
    <xf numFmtId="10" fontId="72" fillId="0" borderId="14" xfId="24" applyNumberFormat="1" applyFont="1" applyBorder="1" applyAlignment="1" applyProtection="1">
      <alignment horizontal="center" vertical="center"/>
      <protection hidden="1"/>
    </xf>
    <xf numFmtId="10" fontId="72" fillId="0" borderId="4" xfId="24" applyNumberFormat="1" applyFont="1" applyBorder="1" applyAlignment="1" applyProtection="1">
      <alignment horizontal="center" vertical="center"/>
      <protection hidden="1"/>
    </xf>
    <xf numFmtId="10" fontId="72" fillId="0" borderId="79" xfId="24" applyNumberFormat="1" applyFont="1" applyBorder="1" applyAlignment="1" applyProtection="1">
      <alignment horizontal="center" vertical="center"/>
      <protection hidden="1"/>
    </xf>
    <xf numFmtId="10" fontId="72" fillId="0" borderId="71" xfId="24" applyNumberFormat="1" applyFont="1" applyBorder="1" applyAlignment="1" applyProtection="1">
      <alignment horizontal="center" vertical="center"/>
      <protection hidden="1"/>
    </xf>
    <xf numFmtId="10" fontId="72" fillId="0" borderId="144" xfId="24" applyNumberFormat="1" applyFont="1" applyBorder="1" applyAlignment="1" applyProtection="1">
      <alignment horizontal="center" vertical="center"/>
      <protection hidden="1"/>
    </xf>
    <xf numFmtId="0" fontId="40" fillId="0" borderId="55" xfId="0" applyFont="1" applyBorder="1" applyAlignment="1" applyProtection="1">
      <alignment horizontal="left" vertical="center"/>
      <protection hidden="1"/>
    </xf>
    <xf numFmtId="0" fontId="40" fillId="0" borderId="69" xfId="0" applyFont="1" applyBorder="1" applyAlignment="1" applyProtection="1">
      <alignment horizontal="left" vertical="center"/>
      <protection hidden="1"/>
    </xf>
    <xf numFmtId="0" fontId="40" fillId="11" borderId="79" xfId="0" applyFont="1" applyFill="1" applyBorder="1" applyAlignment="1" applyProtection="1">
      <alignment horizontal="center" vertical="center"/>
      <protection hidden="1"/>
    </xf>
    <xf numFmtId="0" fontId="40" fillId="11" borderId="144" xfId="0" applyFont="1" applyFill="1" applyBorder="1" applyAlignment="1" applyProtection="1">
      <alignment horizontal="center" vertical="center"/>
      <protection hidden="1"/>
    </xf>
    <xf numFmtId="170" fontId="72" fillId="0" borderId="8" xfId="2" applyNumberFormat="1" applyFont="1" applyBorder="1" applyAlignment="1" applyProtection="1">
      <alignment horizontal="center" vertical="center"/>
      <protection hidden="1"/>
    </xf>
    <xf numFmtId="170" fontId="72" fillId="0" borderId="98" xfId="2" applyNumberFormat="1" applyFont="1" applyBorder="1" applyAlignment="1" applyProtection="1">
      <alignment horizontal="center" vertical="center"/>
      <protection hidden="1"/>
    </xf>
    <xf numFmtId="10" fontId="73" fillId="13" borderId="8" xfId="24" applyNumberFormat="1" applyFont="1" applyFill="1" applyBorder="1" applyAlignment="1" applyProtection="1">
      <alignment horizontal="right" vertical="center" wrapText="1"/>
      <protection hidden="1"/>
    </xf>
    <xf numFmtId="0" fontId="40" fillId="0" borderId="8" xfId="0" applyFont="1" applyFill="1" applyBorder="1" applyAlignment="1" applyProtection="1">
      <alignment horizontal="center" vertical="center"/>
      <protection hidden="1"/>
    </xf>
    <xf numFmtId="0" fontId="40" fillId="0" borderId="98" xfId="0" applyFont="1" applyFill="1" applyBorder="1" applyAlignment="1" applyProtection="1">
      <alignment horizontal="center" vertical="center"/>
      <protection hidden="1"/>
    </xf>
    <xf numFmtId="0" fontId="40" fillId="0" borderId="56" xfId="0" applyFont="1" applyFill="1" applyBorder="1" applyAlignment="1" applyProtection="1">
      <alignment horizontal="center" vertical="center"/>
      <protection hidden="1"/>
    </xf>
    <xf numFmtId="0" fontId="40" fillId="0" borderId="69" xfId="0" applyFont="1" applyFill="1" applyBorder="1" applyAlignment="1" applyProtection="1">
      <alignment horizontal="center" vertical="center"/>
      <protection hidden="1"/>
    </xf>
    <xf numFmtId="0" fontId="41" fillId="11" borderId="57" xfId="0" applyFont="1" applyFill="1" applyBorder="1" applyAlignment="1" applyProtection="1">
      <alignment horizontal="left" vertical="center"/>
      <protection hidden="1"/>
    </xf>
    <xf numFmtId="0" fontId="41" fillId="11" borderId="105" xfId="0" applyFont="1" applyFill="1" applyBorder="1" applyAlignment="1" applyProtection="1">
      <alignment horizontal="left" vertical="center"/>
      <protection hidden="1"/>
    </xf>
    <xf numFmtId="168" fontId="45" fillId="0" borderId="67" xfId="22" applyFont="1" applyBorder="1" applyAlignment="1" applyProtection="1">
      <alignment horizontal="left" vertical="center"/>
      <protection hidden="1"/>
    </xf>
    <xf numFmtId="168" fontId="45" fillId="0" borderId="64" xfId="22" applyFont="1" applyBorder="1" applyAlignment="1" applyProtection="1">
      <alignment horizontal="left" vertical="center"/>
      <protection hidden="1"/>
    </xf>
    <xf numFmtId="0" fontId="41" fillId="15" borderId="67" xfId="0" applyFont="1" applyFill="1" applyBorder="1" applyAlignment="1" applyProtection="1">
      <alignment horizontal="center" vertical="center" wrapText="1"/>
      <protection hidden="1"/>
    </xf>
    <xf numFmtId="0" fontId="41" fillId="15" borderId="68" xfId="0" applyFont="1" applyFill="1" applyBorder="1" applyAlignment="1" applyProtection="1">
      <alignment horizontal="center" vertical="center" wrapText="1"/>
      <protection hidden="1"/>
    </xf>
    <xf numFmtId="165" fontId="72" fillId="0" borderId="8" xfId="0" applyNumberFormat="1" applyFont="1" applyBorder="1" applyAlignment="1" applyProtection="1">
      <alignment horizontal="center" vertical="center"/>
      <protection hidden="1"/>
    </xf>
    <xf numFmtId="165" fontId="72" fillId="0" borderId="98" xfId="0" applyNumberFormat="1" applyFont="1" applyBorder="1" applyAlignment="1" applyProtection="1">
      <alignment horizontal="center" vertical="center"/>
      <protection hidden="1"/>
    </xf>
    <xf numFmtId="10" fontId="73" fillId="13" borderId="8" xfId="24" applyNumberFormat="1" applyFont="1" applyFill="1" applyBorder="1" applyAlignment="1" applyProtection="1">
      <alignment horizontal="right" vertical="center"/>
      <protection hidden="1"/>
    </xf>
    <xf numFmtId="10" fontId="73" fillId="13" borderId="98" xfId="24" applyNumberFormat="1" applyFont="1" applyFill="1" applyBorder="1" applyAlignment="1" applyProtection="1">
      <alignment horizontal="right" vertical="center"/>
      <protection hidden="1"/>
    </xf>
    <xf numFmtId="0" fontId="72" fillId="0" borderId="8" xfId="0" applyFont="1" applyFill="1" applyBorder="1" applyAlignment="1" applyProtection="1">
      <alignment horizontal="center" vertical="center"/>
      <protection hidden="1"/>
    </xf>
    <xf numFmtId="0" fontId="72" fillId="0" borderId="98" xfId="0" applyFont="1" applyFill="1" applyBorder="1" applyAlignment="1" applyProtection="1">
      <alignment horizontal="center" vertical="center"/>
      <protection hidden="1"/>
    </xf>
    <xf numFmtId="0" fontId="41" fillId="15" borderId="56" xfId="0" applyFont="1" applyFill="1" applyBorder="1" applyAlignment="1" applyProtection="1">
      <alignment horizontal="center" vertical="center" wrapText="1"/>
      <protection hidden="1"/>
    </xf>
    <xf numFmtId="0" fontId="41" fillId="15" borderId="69" xfId="0" applyFont="1" applyFill="1" applyBorder="1" applyAlignment="1" applyProtection="1">
      <alignment horizontal="center" vertical="center" wrapText="1"/>
      <protection hidden="1"/>
    </xf>
    <xf numFmtId="10" fontId="73" fillId="0" borderId="58" xfId="24" applyNumberFormat="1" applyFont="1" applyFill="1" applyBorder="1" applyAlignment="1" applyProtection="1">
      <alignment horizontal="right" vertical="center"/>
      <protection hidden="1"/>
    </xf>
    <xf numFmtId="0" fontId="72" fillId="2" borderId="8" xfId="0" applyFont="1" applyFill="1" applyBorder="1" applyAlignment="1" applyProtection="1">
      <alignment horizontal="center"/>
      <protection hidden="1"/>
    </xf>
    <xf numFmtId="10" fontId="73" fillId="0" borderId="8" xfId="24" applyNumberFormat="1" applyFont="1" applyBorder="1" applyAlignment="1" applyProtection="1">
      <alignment horizontal="right" vertical="center"/>
      <protection hidden="1"/>
    </xf>
    <xf numFmtId="10" fontId="73" fillId="0" borderId="98" xfId="24" applyNumberFormat="1" applyFont="1" applyBorder="1" applyAlignment="1" applyProtection="1">
      <alignment horizontal="right" vertical="center"/>
      <protection hidden="1"/>
    </xf>
    <xf numFmtId="0" fontId="40" fillId="0" borderId="15" xfId="0" applyFont="1" applyBorder="1" applyAlignment="1" applyProtection="1">
      <alignment horizontal="center"/>
      <protection hidden="1"/>
    </xf>
    <xf numFmtId="0" fontId="40" fillId="0" borderId="105" xfId="0" applyFont="1" applyBorder="1" applyAlignment="1" applyProtection="1">
      <alignment horizontal="center"/>
      <protection hidden="1"/>
    </xf>
    <xf numFmtId="0" fontId="41" fillId="15" borderId="71" xfId="0" applyFont="1" applyFill="1" applyBorder="1" applyAlignment="1" applyProtection="1">
      <alignment horizontal="center" vertical="center" wrapText="1"/>
      <protection hidden="1"/>
    </xf>
    <xf numFmtId="0" fontId="40" fillId="15" borderId="71" xfId="0" applyFont="1" applyFill="1" applyBorder="1" applyAlignment="1" applyProtection="1">
      <alignment horizontal="center" vertical="center" wrapText="1"/>
      <protection hidden="1"/>
    </xf>
    <xf numFmtId="0" fontId="40" fillId="15" borderId="144" xfId="0" applyFont="1" applyFill="1" applyBorder="1" applyAlignment="1" applyProtection="1">
      <alignment horizontal="center" vertical="center" wrapText="1"/>
      <protection hidden="1"/>
    </xf>
    <xf numFmtId="0" fontId="40" fillId="15" borderId="13" xfId="0" applyFont="1" applyFill="1" applyBorder="1" applyAlignment="1" applyProtection="1">
      <alignment horizontal="center" vertical="center" wrapText="1"/>
      <protection hidden="1"/>
    </xf>
    <xf numFmtId="0" fontId="40" fillId="15" borderId="107" xfId="0" applyFont="1" applyFill="1" applyBorder="1" applyAlignment="1" applyProtection="1">
      <alignment horizontal="center" vertical="center" wrapText="1"/>
      <protection hidden="1"/>
    </xf>
    <xf numFmtId="174" fontId="72" fillId="2" borderId="9" xfId="0" applyNumberFormat="1" applyFont="1" applyFill="1" applyBorder="1" applyAlignment="1" applyProtection="1">
      <alignment horizontal="center" vertical="center" wrapText="1"/>
      <protection hidden="1"/>
    </xf>
    <xf numFmtId="174" fontId="72" fillId="2" borderId="22" xfId="0" applyNumberFormat="1" applyFont="1" applyFill="1" applyBorder="1" applyAlignment="1" applyProtection="1">
      <alignment horizontal="center" vertical="center" wrapText="1"/>
      <protection hidden="1"/>
    </xf>
    <xf numFmtId="174" fontId="72" fillId="2" borderId="12" xfId="0" applyNumberFormat="1" applyFont="1" applyFill="1" applyBorder="1" applyAlignment="1" applyProtection="1">
      <alignment horizontal="center" vertical="center" wrapText="1"/>
      <protection hidden="1"/>
    </xf>
    <xf numFmtId="169" fontId="48" fillId="15" borderId="71" xfId="22" applyNumberFormat="1" applyFont="1" applyFill="1" applyBorder="1" applyAlignment="1" applyProtection="1">
      <alignment horizontal="center" vertical="center"/>
      <protection hidden="1"/>
    </xf>
    <xf numFmtId="169" fontId="48" fillId="15" borderId="13" xfId="22" applyNumberFormat="1" applyFont="1" applyFill="1" applyBorder="1" applyAlignment="1" applyProtection="1">
      <alignment horizontal="center" vertical="center"/>
      <protection hidden="1"/>
    </xf>
    <xf numFmtId="0" fontId="41" fillId="15" borderId="73" xfId="0" applyFont="1" applyFill="1" applyBorder="1" applyAlignment="1" applyProtection="1">
      <alignment horizontal="center" vertical="center" wrapText="1"/>
      <protection hidden="1"/>
    </xf>
    <xf numFmtId="0" fontId="41" fillId="15" borderId="4" xfId="0" applyFont="1" applyFill="1" applyBorder="1" applyAlignment="1" applyProtection="1">
      <alignment horizontal="center" vertical="center" wrapText="1"/>
      <protection hidden="1"/>
    </xf>
    <xf numFmtId="10" fontId="74" fillId="19" borderId="77" xfId="24" applyNumberFormat="1" applyFont="1" applyFill="1" applyBorder="1" applyAlignment="1" applyProtection="1">
      <alignment horizontal="right" vertical="center"/>
      <protection hidden="1"/>
    </xf>
    <xf numFmtId="10" fontId="74" fillId="19" borderId="78" xfId="24" applyNumberFormat="1" applyFont="1" applyFill="1" applyBorder="1" applyAlignment="1" applyProtection="1">
      <alignment horizontal="right" vertical="center"/>
      <protection hidden="1"/>
    </xf>
    <xf numFmtId="10" fontId="73" fillId="13" borderId="58" xfId="24" applyNumberFormat="1" applyFont="1" applyFill="1" applyBorder="1" applyAlignment="1" applyProtection="1">
      <alignment horizontal="right" vertical="center"/>
      <protection hidden="1"/>
    </xf>
    <xf numFmtId="10" fontId="74" fillId="4" borderId="59" xfId="24" applyNumberFormat="1" applyFont="1" applyFill="1" applyBorder="1" applyAlignment="1" applyProtection="1">
      <alignment horizontal="right" vertical="center"/>
      <protection hidden="1"/>
    </xf>
    <xf numFmtId="10" fontId="74" fillId="4" borderId="77" xfId="24" applyNumberFormat="1" applyFont="1" applyFill="1" applyBorder="1" applyAlignment="1" applyProtection="1">
      <alignment horizontal="right" vertical="center"/>
      <protection hidden="1"/>
    </xf>
    <xf numFmtId="0" fontId="41" fillId="15" borderId="74" xfId="0" applyFont="1" applyFill="1" applyBorder="1" applyAlignment="1" applyProtection="1">
      <alignment horizontal="center" vertical="center" wrapText="1"/>
      <protection hidden="1"/>
    </xf>
    <xf numFmtId="0" fontId="41" fillId="15" borderId="42" xfId="0" applyFont="1" applyFill="1" applyBorder="1" applyAlignment="1" applyProtection="1">
      <alignment horizontal="center" vertical="center" wrapText="1"/>
      <protection hidden="1"/>
    </xf>
    <xf numFmtId="0" fontId="41" fillId="15" borderId="10" xfId="0" applyFont="1" applyFill="1" applyBorder="1" applyAlignment="1" applyProtection="1">
      <alignment horizontal="center" vertical="center" wrapText="1"/>
      <protection hidden="1"/>
    </xf>
    <xf numFmtId="0" fontId="41" fillId="15" borderId="11" xfId="0" applyFont="1" applyFill="1" applyBorder="1" applyAlignment="1" applyProtection="1">
      <alignment horizontal="center" vertical="center" wrapText="1"/>
      <protection hidden="1"/>
    </xf>
    <xf numFmtId="10" fontId="73" fillId="0" borderId="58" xfId="24" applyNumberFormat="1" applyFont="1" applyBorder="1" applyAlignment="1" applyProtection="1">
      <alignment horizontal="right" vertical="center"/>
      <protection hidden="1"/>
    </xf>
    <xf numFmtId="0" fontId="40" fillId="0" borderId="8" xfId="0" applyFont="1" applyFill="1" applyBorder="1" applyAlignment="1" applyProtection="1">
      <alignment horizontal="left" vertical="top" wrapText="1"/>
      <protection hidden="1"/>
    </xf>
    <xf numFmtId="0" fontId="40" fillId="0" borderId="8" xfId="0" applyFont="1" applyFill="1" applyBorder="1" applyAlignment="1" applyProtection="1">
      <alignment horizontal="left" vertical="top"/>
      <protection hidden="1"/>
    </xf>
    <xf numFmtId="0" fontId="40" fillId="0" borderId="9" xfId="0" applyFont="1" applyFill="1" applyBorder="1" applyAlignment="1" applyProtection="1">
      <alignment horizontal="left" vertical="top" wrapText="1"/>
      <protection hidden="1"/>
    </xf>
    <xf numFmtId="0" fontId="40" fillId="0" borderId="12" xfId="0" applyFont="1" applyFill="1" applyBorder="1" applyAlignment="1" applyProtection="1">
      <alignment horizontal="left" vertical="top" wrapText="1"/>
      <protection hidden="1"/>
    </xf>
    <xf numFmtId="168" fontId="45" fillId="5" borderId="9" xfId="22" quotePrefix="1" applyFont="1" applyFill="1" applyBorder="1" applyAlignment="1" applyProtection="1">
      <alignment horizontal="left" vertical="top" wrapText="1"/>
      <protection hidden="1"/>
    </xf>
    <xf numFmtId="168" fontId="45" fillId="5" borderId="12" xfId="22" quotePrefix="1" applyFont="1" applyFill="1" applyBorder="1" applyAlignment="1" applyProtection="1">
      <alignment horizontal="left" vertical="top" wrapText="1"/>
      <protection hidden="1"/>
    </xf>
    <xf numFmtId="0" fontId="41" fillId="15" borderId="6" xfId="0" applyFont="1" applyFill="1" applyBorder="1" applyAlignment="1" applyProtection="1">
      <alignment horizontal="center" vertical="center" wrapText="1"/>
      <protection hidden="1"/>
    </xf>
    <xf numFmtId="169" fontId="48" fillId="15" borderId="79" xfId="22" applyNumberFormat="1" applyFont="1" applyFill="1" applyBorder="1" applyAlignment="1" applyProtection="1">
      <alignment horizontal="center" vertical="center"/>
      <protection hidden="1"/>
    </xf>
    <xf numFmtId="169" fontId="48" fillId="15" borderId="106" xfId="22" applyNumberFormat="1" applyFont="1" applyFill="1" applyBorder="1" applyAlignment="1" applyProtection="1">
      <alignment horizontal="center" vertical="center"/>
      <protection hidden="1"/>
    </xf>
    <xf numFmtId="0" fontId="41" fillId="5" borderId="21" xfId="0" applyFont="1" applyFill="1" applyBorder="1" applyAlignment="1" applyProtection="1">
      <alignment horizontal="left" vertical="center"/>
      <protection hidden="1"/>
    </xf>
    <xf numFmtId="0" fontId="41" fillId="5" borderId="44" xfId="0" applyFont="1" applyFill="1" applyBorder="1" applyAlignment="1" applyProtection="1">
      <alignment horizontal="left" vertical="center"/>
      <protection hidden="1"/>
    </xf>
    <xf numFmtId="0" fontId="40" fillId="5" borderId="42" xfId="0" applyFont="1" applyFill="1" applyBorder="1" applyAlignment="1" applyProtection="1">
      <alignment horizontal="left" vertical="center"/>
      <protection hidden="1"/>
    </xf>
    <xf numFmtId="0" fontId="40" fillId="5" borderId="43" xfId="0" applyFont="1" applyFill="1" applyBorder="1" applyAlignment="1" applyProtection="1">
      <alignment horizontal="left" vertical="center"/>
      <protection hidden="1"/>
    </xf>
    <xf numFmtId="0" fontId="40" fillId="5" borderId="21" xfId="0" applyFont="1" applyFill="1" applyBorder="1" applyAlignment="1" applyProtection="1">
      <alignment horizontal="left" vertical="center"/>
      <protection hidden="1"/>
    </xf>
    <xf numFmtId="0" fontId="40" fillId="5" borderId="44" xfId="0" applyFont="1" applyFill="1" applyBorder="1" applyAlignment="1" applyProtection="1">
      <alignment horizontal="left" vertical="center"/>
      <protection hidden="1"/>
    </xf>
    <xf numFmtId="0" fontId="40" fillId="5" borderId="21" xfId="0" applyFont="1" applyFill="1" applyBorder="1" applyAlignment="1" applyProtection="1">
      <alignment horizontal="left" vertical="center" wrapText="1"/>
      <protection hidden="1"/>
    </xf>
    <xf numFmtId="0" fontId="40" fillId="5" borderId="44" xfId="0" applyFont="1" applyFill="1" applyBorder="1" applyAlignment="1" applyProtection="1">
      <alignment horizontal="left" vertical="center" wrapText="1"/>
      <protection hidden="1"/>
    </xf>
    <xf numFmtId="0" fontId="40" fillId="0" borderId="57" xfId="0" applyFont="1" applyBorder="1" applyAlignment="1" applyProtection="1">
      <alignment horizontal="center"/>
      <protection hidden="1"/>
    </xf>
    <xf numFmtId="2" fontId="72" fillId="2" borderId="9" xfId="0" applyNumberFormat="1" applyFont="1" applyFill="1" applyBorder="1" applyAlignment="1" applyProtection="1">
      <alignment horizontal="center" vertical="center"/>
      <protection hidden="1"/>
    </xf>
    <xf numFmtId="2" fontId="72" fillId="2" borderId="12" xfId="0" applyNumberFormat="1" applyFont="1" applyFill="1" applyBorder="1" applyAlignment="1" applyProtection="1">
      <alignment horizontal="center" vertical="center"/>
      <protection hidden="1"/>
    </xf>
    <xf numFmtId="0" fontId="72" fillId="0" borderId="0" xfId="0" applyFont="1" applyAlignment="1" applyProtection="1">
      <alignment horizontal="left" vertical="center" wrapText="1"/>
      <protection hidden="1"/>
    </xf>
    <xf numFmtId="0" fontId="41" fillId="15" borderId="8" xfId="0" applyFont="1" applyFill="1" applyBorder="1" applyAlignment="1" applyProtection="1">
      <alignment horizontal="center" vertical="center"/>
      <protection hidden="1"/>
    </xf>
    <xf numFmtId="169" fontId="48" fillId="15" borderId="8" xfId="22" applyNumberFormat="1" applyFont="1" applyFill="1" applyBorder="1" applyAlignment="1" applyProtection="1">
      <alignment horizontal="center" vertical="center"/>
      <protection hidden="1"/>
    </xf>
    <xf numFmtId="169" fontId="48" fillId="14" borderId="13" xfId="22" applyNumberFormat="1" applyFont="1" applyFill="1" applyBorder="1" applyAlignment="1" applyProtection="1">
      <alignment horizontal="center" vertical="center"/>
      <protection hidden="1"/>
    </xf>
    <xf numFmtId="169" fontId="48" fillId="14" borderId="15" xfId="22" applyNumberFormat="1" applyFont="1" applyFill="1" applyBorder="1" applyAlignment="1" applyProtection="1">
      <alignment horizontal="center" vertical="center"/>
      <protection hidden="1"/>
    </xf>
    <xf numFmtId="0" fontId="40" fillId="0" borderId="0" xfId="0" applyFont="1" applyAlignment="1" applyProtection="1">
      <alignment horizontal="left" vertical="center" wrapText="1"/>
      <protection hidden="1"/>
    </xf>
    <xf numFmtId="0" fontId="41" fillId="12" borderId="8" xfId="0" applyFont="1" applyFill="1" applyBorder="1" applyAlignment="1" applyProtection="1">
      <alignment horizontal="center" vertical="center"/>
      <protection hidden="1"/>
    </xf>
    <xf numFmtId="0" fontId="40" fillId="0" borderId="0" xfId="0" applyFont="1" applyAlignment="1" applyProtection="1">
      <alignment horizontal="left" vertical="center"/>
      <protection hidden="1"/>
    </xf>
    <xf numFmtId="0" fontId="39" fillId="4" borderId="10" xfId="0" applyFont="1" applyFill="1" applyBorder="1" applyAlignment="1" applyProtection="1">
      <alignment horizontal="center" vertical="center"/>
      <protection hidden="1"/>
    </xf>
    <xf numFmtId="0" fontId="41" fillId="15" borderId="8" xfId="0" applyFont="1" applyFill="1" applyBorder="1" applyAlignment="1" applyProtection="1">
      <alignment horizontal="center" vertical="center" wrapText="1"/>
      <protection hidden="1"/>
    </xf>
    <xf numFmtId="0" fontId="73" fillId="0" borderId="58" xfId="0" applyFont="1" applyFill="1" applyBorder="1" applyAlignment="1" applyProtection="1">
      <alignment horizontal="center" vertical="center"/>
      <protection hidden="1"/>
    </xf>
    <xf numFmtId="0" fontId="73" fillId="0" borderId="8" xfId="0" applyFont="1" applyFill="1" applyBorder="1" applyAlignment="1" applyProtection="1">
      <alignment horizontal="center" vertical="center"/>
      <protection hidden="1"/>
    </xf>
    <xf numFmtId="0" fontId="41" fillId="0" borderId="0" xfId="0" applyFont="1" applyBorder="1" applyAlignment="1" applyProtection="1">
      <alignment horizontal="center"/>
      <protection hidden="1"/>
    </xf>
    <xf numFmtId="169" fontId="48" fillId="15" borderId="126" xfId="22" applyNumberFormat="1" applyFont="1" applyFill="1" applyBorder="1" applyAlignment="1" applyProtection="1">
      <alignment horizontal="center" vertical="center"/>
      <protection hidden="1"/>
    </xf>
    <xf numFmtId="169" fontId="48" fillId="15" borderId="16" xfId="22" applyNumberFormat="1" applyFont="1" applyFill="1" applyBorder="1" applyAlignment="1" applyProtection="1">
      <alignment horizontal="center" vertical="center"/>
      <protection hidden="1"/>
    </xf>
    <xf numFmtId="169" fontId="48" fillId="15" borderId="80" xfId="22" applyNumberFormat="1" applyFont="1" applyFill="1" applyBorder="1" applyAlignment="1" applyProtection="1">
      <alignment horizontal="center" vertical="center"/>
      <protection hidden="1"/>
    </xf>
    <xf numFmtId="169" fontId="48" fillId="15" borderId="3" xfId="22" applyNumberFormat="1" applyFont="1" applyFill="1" applyBorder="1" applyAlignment="1" applyProtection="1">
      <alignment horizontal="center" vertical="center"/>
      <protection hidden="1"/>
    </xf>
    <xf numFmtId="0" fontId="41" fillId="10" borderId="146" xfId="0" applyFont="1" applyFill="1" applyBorder="1" applyAlignment="1" applyProtection="1">
      <alignment horizontal="left" vertical="center"/>
      <protection hidden="1"/>
    </xf>
    <xf numFmtId="169" fontId="45" fillId="0" borderId="15" xfId="22" applyNumberFormat="1" applyFont="1" applyFill="1" applyBorder="1" applyAlignment="1" applyProtection="1">
      <alignment horizontal="center" vertical="center"/>
      <protection hidden="1"/>
    </xf>
    <xf numFmtId="169" fontId="45" fillId="0" borderId="105" xfId="22" applyNumberFormat="1" applyFont="1" applyFill="1" applyBorder="1" applyAlignment="1" applyProtection="1">
      <alignment horizontal="center" vertical="center"/>
      <protection hidden="1"/>
    </xf>
    <xf numFmtId="0" fontId="41" fillId="15" borderId="61" xfId="0" applyFont="1" applyFill="1" applyBorder="1" applyAlignment="1" applyProtection="1">
      <alignment horizontal="center" wrapText="1"/>
      <protection hidden="1"/>
    </xf>
    <xf numFmtId="0" fontId="41" fillId="15" borderId="48" xfId="0" applyFont="1" applyFill="1" applyBorder="1" applyAlignment="1" applyProtection="1">
      <alignment horizontal="center" wrapText="1"/>
      <protection hidden="1"/>
    </xf>
    <xf numFmtId="0" fontId="41" fillId="15" borderId="60" xfId="0" applyFont="1" applyFill="1" applyBorder="1" applyAlignment="1" applyProtection="1">
      <alignment horizontal="center" wrapText="1"/>
      <protection hidden="1"/>
    </xf>
    <xf numFmtId="0" fontId="41" fillId="15" borderId="51" xfId="0" applyFont="1" applyFill="1" applyBorder="1" applyAlignment="1" applyProtection="1">
      <alignment horizontal="center" vertical="center" wrapText="1"/>
      <protection hidden="1"/>
    </xf>
    <xf numFmtId="0" fontId="41" fillId="15" borderId="18" xfId="0" applyFont="1" applyFill="1" applyBorder="1" applyAlignment="1" applyProtection="1">
      <alignment horizontal="center" vertical="center" wrapText="1"/>
      <protection hidden="1"/>
    </xf>
    <xf numFmtId="170" fontId="72" fillId="0" borderId="8" xfId="0" applyNumberFormat="1" applyFont="1" applyBorder="1" applyAlignment="1" applyProtection="1">
      <alignment horizontal="center" vertical="center"/>
      <protection hidden="1"/>
    </xf>
    <xf numFmtId="170" fontId="72" fillId="0" borderId="98" xfId="0" applyNumberFormat="1" applyFont="1" applyBorder="1" applyAlignment="1" applyProtection="1">
      <alignment horizontal="center" vertical="center"/>
      <protection hidden="1"/>
    </xf>
    <xf numFmtId="165" fontId="72" fillId="0" borderId="8" xfId="2" applyNumberFormat="1" applyFont="1" applyBorder="1" applyAlignment="1" applyProtection="1">
      <alignment horizontal="center" vertical="center"/>
      <protection hidden="1"/>
    </xf>
    <xf numFmtId="165" fontId="72" fillId="0" borderId="98" xfId="2" applyNumberFormat="1" applyFont="1" applyBorder="1" applyAlignment="1" applyProtection="1">
      <alignment horizontal="center" vertical="center"/>
      <protection hidden="1"/>
    </xf>
    <xf numFmtId="0" fontId="40" fillId="5" borderId="22" xfId="0" applyFont="1" applyFill="1" applyBorder="1" applyAlignment="1" applyProtection="1">
      <alignment horizontal="left" vertical="center"/>
      <protection hidden="1"/>
    </xf>
    <xf numFmtId="0" fontId="41" fillId="0" borderId="21" xfId="0" applyFont="1" applyBorder="1" applyAlignment="1" applyProtection="1">
      <alignment horizontal="left" vertical="center"/>
      <protection hidden="1"/>
    </xf>
    <xf numFmtId="0" fontId="41" fillId="0" borderId="22" xfId="0" applyFont="1" applyBorder="1" applyAlignment="1" applyProtection="1">
      <alignment horizontal="left" vertical="center"/>
      <protection hidden="1"/>
    </xf>
    <xf numFmtId="0" fontId="41" fillId="12" borderId="21" xfId="0" applyFont="1" applyFill="1" applyBorder="1" applyAlignment="1" applyProtection="1">
      <alignment horizontal="left" vertical="center"/>
      <protection hidden="1"/>
    </xf>
    <xf numFmtId="0" fontId="41" fillId="12" borderId="22" xfId="0" applyFont="1" applyFill="1" applyBorder="1" applyAlignment="1" applyProtection="1">
      <alignment horizontal="left" vertical="center"/>
      <protection hidden="1"/>
    </xf>
    <xf numFmtId="0" fontId="41" fillId="10" borderId="21" xfId="0" applyFont="1" applyFill="1" applyBorder="1" applyAlignment="1" applyProtection="1">
      <alignment horizontal="left" vertical="center"/>
      <protection hidden="1"/>
    </xf>
    <xf numFmtId="0" fontId="41" fillId="10" borderId="22" xfId="0" applyFont="1" applyFill="1" applyBorder="1" applyAlignment="1" applyProtection="1">
      <alignment horizontal="left" vertical="center"/>
      <protection hidden="1"/>
    </xf>
    <xf numFmtId="0" fontId="40" fillId="0" borderId="21" xfId="0" applyFont="1" applyBorder="1" applyAlignment="1" applyProtection="1">
      <alignment horizontal="left" vertical="center" wrapText="1"/>
      <protection hidden="1"/>
    </xf>
    <xf numFmtId="0" fontId="76" fillId="4" borderId="62" xfId="0" applyFont="1" applyFill="1" applyBorder="1" applyAlignment="1" applyProtection="1">
      <alignment horizontal="center" vertical="center"/>
      <protection locked="0"/>
    </xf>
    <xf numFmtId="0" fontId="76" fillId="4" borderId="45" xfId="0" applyFont="1" applyFill="1" applyBorder="1" applyAlignment="1" applyProtection="1">
      <alignment horizontal="center" vertical="center"/>
      <protection locked="0"/>
    </xf>
    <xf numFmtId="0" fontId="76" fillId="4" borderId="63" xfId="0" applyFont="1" applyFill="1" applyBorder="1" applyAlignment="1" applyProtection="1">
      <alignment horizontal="center" vertical="center"/>
      <protection locked="0"/>
    </xf>
    <xf numFmtId="0" fontId="41" fillId="15" borderId="64" xfId="0" applyFont="1" applyFill="1" applyBorder="1" applyAlignment="1" applyProtection="1">
      <alignment horizontal="center" vertical="center" wrapText="1"/>
      <protection hidden="1"/>
    </xf>
    <xf numFmtId="168" fontId="45" fillId="5" borderId="8" xfId="22" quotePrefix="1" applyFont="1" applyFill="1" applyBorder="1" applyAlignment="1" applyProtection="1">
      <alignment horizontal="left" vertical="top" wrapText="1"/>
      <protection hidden="1"/>
    </xf>
    <xf numFmtId="168" fontId="45" fillId="5" borderId="8" xfId="22" quotePrefix="1" applyFont="1" applyFill="1" applyBorder="1" applyAlignment="1" applyProtection="1">
      <alignment horizontal="left" vertical="top"/>
      <protection hidden="1"/>
    </xf>
    <xf numFmtId="164" fontId="72" fillId="0" borderId="8" xfId="2" applyFont="1" applyBorder="1" applyAlignment="1" applyProtection="1">
      <alignment horizontal="center" vertical="center"/>
      <protection hidden="1"/>
    </xf>
    <xf numFmtId="164" fontId="72" fillId="0" borderId="98" xfId="2" applyFont="1" applyBorder="1" applyAlignment="1" applyProtection="1">
      <alignment horizontal="center" vertical="center"/>
      <protection hidden="1"/>
    </xf>
    <xf numFmtId="9" fontId="42" fillId="26" borderId="0" xfId="0" applyNumberFormat="1" applyFont="1" applyFill="1" applyBorder="1" applyAlignment="1" applyProtection="1">
      <alignment horizontal="center" vertical="center"/>
      <protection hidden="1"/>
    </xf>
    <xf numFmtId="9" fontId="42" fillId="26" borderId="47" xfId="0" applyNumberFormat="1" applyFont="1" applyFill="1" applyBorder="1" applyAlignment="1" applyProtection="1">
      <alignment horizontal="center" vertical="center"/>
      <protection hidden="1"/>
    </xf>
    <xf numFmtId="0" fontId="45" fillId="26" borderId="66" xfId="0" applyFont="1" applyFill="1" applyBorder="1" applyAlignment="1" applyProtection="1">
      <alignment horizontal="left" vertical="center"/>
      <protection hidden="1"/>
    </xf>
    <xf numFmtId="0" fontId="45" fillId="26" borderId="0" xfId="0" applyFont="1" applyFill="1" applyBorder="1" applyAlignment="1" applyProtection="1">
      <alignment horizontal="left" vertical="center"/>
      <protection hidden="1"/>
    </xf>
    <xf numFmtId="37" fontId="42" fillId="26" borderId="0" xfId="22" applyNumberFormat="1" applyFont="1" applyFill="1" applyBorder="1" applyAlignment="1" applyProtection="1">
      <alignment horizontal="left" vertical="center"/>
      <protection hidden="1"/>
    </xf>
    <xf numFmtId="37" fontId="42" fillId="16" borderId="64" xfId="22" applyNumberFormat="1" applyFont="1" applyFill="1" applyBorder="1" applyAlignment="1" applyProtection="1">
      <alignment horizontal="center" vertical="center"/>
      <protection hidden="1"/>
    </xf>
    <xf numFmtId="0" fontId="40" fillId="2" borderId="8" xfId="0" applyFont="1" applyFill="1" applyBorder="1" applyAlignment="1" applyProtection="1">
      <alignment horizontal="left" vertical="top" wrapText="1"/>
      <protection locked="0"/>
    </xf>
    <xf numFmtId="0" fontId="39" fillId="19" borderId="64" xfId="0" applyFont="1" applyFill="1" applyBorder="1" applyAlignment="1" applyProtection="1">
      <alignment horizontal="center" vertical="center"/>
      <protection hidden="1"/>
    </xf>
    <xf numFmtId="0" fontId="41" fillId="5" borderId="22" xfId="0" applyFont="1" applyFill="1" applyBorder="1" applyAlignment="1" applyProtection="1">
      <alignment horizontal="left" vertical="center"/>
      <protection hidden="1"/>
    </xf>
    <xf numFmtId="39" fontId="43" fillId="0" borderId="0" xfId="22" applyNumberFormat="1" applyFont="1" applyBorder="1" applyAlignment="1" applyProtection="1">
      <alignment horizontal="left" vertical="center"/>
      <protection hidden="1"/>
    </xf>
    <xf numFmtId="39" fontId="43" fillId="0" borderId="5" xfId="22" applyNumberFormat="1" applyFont="1" applyBorder="1" applyAlignment="1" applyProtection="1">
      <alignment horizontal="left" vertical="center"/>
      <protection hidden="1"/>
    </xf>
    <xf numFmtId="39" fontId="45" fillId="0" borderId="0" xfId="22" applyNumberFormat="1" applyFont="1" applyBorder="1" applyAlignment="1" applyProtection="1">
      <alignment horizontal="center" vertical="center"/>
      <protection locked="0"/>
    </xf>
    <xf numFmtId="39" fontId="45" fillId="0" borderId="5" xfId="22" applyNumberFormat="1" applyFont="1" applyBorder="1" applyAlignment="1" applyProtection="1">
      <alignment horizontal="center" vertical="center"/>
      <protection locked="0"/>
    </xf>
    <xf numFmtId="37" fontId="43" fillId="0" borderId="0" xfId="22" applyNumberFormat="1" applyFont="1" applyBorder="1" applyAlignment="1" applyProtection="1">
      <alignment horizontal="center" vertical="center"/>
      <protection hidden="1"/>
    </xf>
    <xf numFmtId="37" fontId="43" fillId="0" borderId="5" xfId="22" applyNumberFormat="1" applyFont="1" applyBorder="1" applyAlignment="1" applyProtection="1">
      <alignment horizontal="center" vertical="center"/>
      <protection hidden="1"/>
    </xf>
    <xf numFmtId="37" fontId="43" fillId="0" borderId="0" xfId="22" applyNumberFormat="1" applyFont="1" applyBorder="1" applyAlignment="1" applyProtection="1">
      <alignment horizontal="center" vertical="center" wrapText="1"/>
      <protection hidden="1"/>
    </xf>
    <xf numFmtId="37" fontId="43" fillId="0" borderId="5" xfId="22" applyNumberFormat="1" applyFont="1" applyBorder="1" applyAlignment="1" applyProtection="1">
      <alignment horizontal="center" vertical="center" wrapText="1"/>
      <protection hidden="1"/>
    </xf>
    <xf numFmtId="39" fontId="43" fillId="0" borderId="0" xfId="22" applyNumberFormat="1" applyFont="1" applyBorder="1" applyAlignment="1" applyProtection="1">
      <alignment horizontal="center" vertical="center"/>
      <protection hidden="1"/>
    </xf>
    <xf numFmtId="39" fontId="43" fillId="0" borderId="5" xfId="22" applyNumberFormat="1" applyFont="1" applyBorder="1" applyAlignment="1" applyProtection="1">
      <alignment horizontal="center" vertical="center"/>
      <protection hidden="1"/>
    </xf>
    <xf numFmtId="0" fontId="40" fillId="0" borderId="0" xfId="0" quotePrefix="1" applyFont="1" applyBorder="1" applyAlignment="1" applyProtection="1">
      <alignment horizontal="left" vertical="top" wrapText="1"/>
      <protection hidden="1"/>
    </xf>
    <xf numFmtId="0" fontId="40" fillId="0" borderId="5" xfId="0" quotePrefix="1" applyFont="1" applyBorder="1" applyAlignment="1" applyProtection="1">
      <alignment horizontal="left" vertical="top" wrapText="1"/>
      <protection hidden="1"/>
    </xf>
    <xf numFmtId="0" fontId="40" fillId="0" borderId="7" xfId="0" applyFont="1" applyBorder="1" applyAlignment="1" applyProtection="1">
      <alignment horizontal="left" vertical="top" wrapText="1"/>
      <protection hidden="1"/>
    </xf>
    <xf numFmtId="0" fontId="40" fillId="0" borderId="16" xfId="0" applyFont="1" applyBorder="1" applyAlignment="1" applyProtection="1">
      <alignment horizontal="left" vertical="top" wrapText="1"/>
      <protection hidden="1"/>
    </xf>
    <xf numFmtId="0" fontId="40" fillId="0" borderId="0" xfId="0" applyFont="1" applyBorder="1" applyAlignment="1" applyProtection="1">
      <alignment horizontal="left" vertical="top" wrapText="1"/>
      <protection hidden="1"/>
    </xf>
    <xf numFmtId="0" fontId="40" fillId="0" borderId="5" xfId="0" applyFont="1" applyBorder="1" applyAlignment="1" applyProtection="1">
      <alignment horizontal="left" vertical="top" wrapText="1"/>
      <protection hidden="1"/>
    </xf>
    <xf numFmtId="0" fontId="40" fillId="0" borderId="3" xfId="0" quotePrefix="1" applyFont="1" applyBorder="1" applyAlignment="1" applyProtection="1">
      <alignment horizontal="center" vertical="center" wrapText="1"/>
      <protection locked="0"/>
    </xf>
    <xf numFmtId="0" fontId="40" fillId="0" borderId="7" xfId="0" quotePrefix="1" applyFont="1" applyBorder="1" applyAlignment="1" applyProtection="1">
      <alignment horizontal="center" vertical="center" wrapText="1"/>
      <protection locked="0"/>
    </xf>
    <xf numFmtId="0" fontId="40" fillId="0" borderId="16" xfId="0" quotePrefix="1" applyFont="1" applyBorder="1" applyAlignment="1" applyProtection="1">
      <alignment horizontal="center" vertical="center" wrapText="1"/>
      <protection locked="0"/>
    </xf>
    <xf numFmtId="0" fontId="40" fillId="0" borderId="4" xfId="0" quotePrefix="1" applyFont="1" applyBorder="1" applyAlignment="1" applyProtection="1">
      <alignment horizontal="center" vertical="center" wrapText="1"/>
      <protection locked="0"/>
    </xf>
    <xf numFmtId="0" fontId="40" fillId="0" borderId="0" xfId="0" quotePrefix="1" applyFont="1" applyBorder="1" applyAlignment="1" applyProtection="1">
      <alignment horizontal="center" vertical="center" wrapText="1"/>
      <protection locked="0"/>
    </xf>
    <xf numFmtId="0" fontId="40" fillId="0" borderId="5" xfId="0" quotePrefix="1" applyFont="1" applyBorder="1" applyAlignment="1" applyProtection="1">
      <alignment horizontal="center" vertical="center" wrapText="1"/>
      <protection locked="0"/>
    </xf>
    <xf numFmtId="0" fontId="40" fillId="0" borderId="6" xfId="0" quotePrefix="1" applyFont="1" applyBorder="1" applyAlignment="1" applyProtection="1">
      <alignment horizontal="center" vertical="center" wrapText="1"/>
      <protection locked="0"/>
    </xf>
    <xf numFmtId="0" fontId="40" fillId="0" borderId="10" xfId="0" quotePrefix="1" applyFont="1" applyBorder="1" applyAlignment="1" applyProtection="1">
      <alignment horizontal="center" vertical="center" wrapText="1"/>
      <protection locked="0"/>
    </xf>
    <xf numFmtId="0" fontId="40" fillId="0" borderId="11" xfId="0" quotePrefix="1" applyFont="1" applyBorder="1" applyAlignment="1" applyProtection="1">
      <alignment horizontal="center" vertical="center" wrapText="1"/>
      <protection locked="0"/>
    </xf>
    <xf numFmtId="0" fontId="41" fillId="2" borderId="3" xfId="0" applyFont="1" applyFill="1" applyBorder="1" applyAlignment="1" applyProtection="1">
      <alignment horizontal="left" vertical="top" wrapText="1"/>
      <protection locked="0"/>
    </xf>
    <xf numFmtId="0" fontId="41" fillId="2" borderId="7" xfId="0" applyFont="1" applyFill="1" applyBorder="1" applyAlignment="1" applyProtection="1">
      <alignment horizontal="left" vertical="top" wrapText="1"/>
      <protection locked="0"/>
    </xf>
    <xf numFmtId="0" fontId="41" fillId="2" borderId="16" xfId="0" applyFont="1" applyFill="1" applyBorder="1" applyAlignment="1" applyProtection="1">
      <alignment horizontal="left" vertical="top" wrapText="1"/>
      <protection locked="0"/>
    </xf>
    <xf numFmtId="0" fontId="41" fillId="2" borderId="4" xfId="0" applyFont="1" applyFill="1" applyBorder="1" applyAlignment="1" applyProtection="1">
      <alignment horizontal="left" vertical="top" wrapText="1"/>
      <protection locked="0"/>
    </xf>
    <xf numFmtId="0" fontId="41" fillId="2" borderId="0" xfId="0" applyFont="1" applyFill="1" applyBorder="1" applyAlignment="1" applyProtection="1">
      <alignment horizontal="left" vertical="top" wrapText="1"/>
      <protection locked="0"/>
    </xf>
    <xf numFmtId="0" fontId="41" fillId="2" borderId="5" xfId="0" applyFont="1" applyFill="1" applyBorder="1" applyAlignment="1" applyProtection="1">
      <alignment horizontal="left" vertical="top" wrapText="1"/>
      <protection locked="0"/>
    </xf>
    <xf numFmtId="0" fontId="41" fillId="2" borderId="6" xfId="0" applyFont="1" applyFill="1" applyBorder="1" applyAlignment="1" applyProtection="1">
      <alignment horizontal="left" vertical="top" wrapText="1"/>
      <protection locked="0"/>
    </xf>
    <xf numFmtId="0" fontId="41" fillId="2" borderId="10" xfId="0" applyFont="1" applyFill="1" applyBorder="1" applyAlignment="1" applyProtection="1">
      <alignment horizontal="left" vertical="top" wrapText="1"/>
      <protection locked="0"/>
    </xf>
    <xf numFmtId="0" fontId="41" fillId="2" borderId="11" xfId="0" applyFont="1" applyFill="1" applyBorder="1" applyAlignment="1" applyProtection="1">
      <alignment horizontal="left" vertical="top" wrapText="1"/>
      <protection locked="0"/>
    </xf>
    <xf numFmtId="0" fontId="40" fillId="0" borderId="3" xfId="0" applyFont="1" applyBorder="1" applyAlignment="1" applyProtection="1">
      <alignment horizontal="left" vertical="top" wrapText="1"/>
      <protection hidden="1"/>
    </xf>
    <xf numFmtId="0" fontId="40" fillId="0" borderId="13" xfId="0" applyFont="1" applyBorder="1" applyAlignment="1" applyProtection="1">
      <alignment horizontal="center" vertical="center" wrapText="1"/>
      <protection hidden="1"/>
    </xf>
    <xf numFmtId="0" fontId="40" fillId="0" borderId="14" xfId="0" applyFont="1" applyBorder="1" applyAlignment="1" applyProtection="1">
      <alignment horizontal="center" vertical="center" wrapText="1"/>
      <protection hidden="1"/>
    </xf>
    <xf numFmtId="0" fontId="40" fillId="0" borderId="15" xfId="0" applyFont="1" applyBorder="1" applyAlignment="1" applyProtection="1">
      <alignment horizontal="center" vertical="center" wrapText="1"/>
      <protection hidden="1"/>
    </xf>
    <xf numFmtId="0" fontId="40" fillId="0" borderId="4" xfId="0" quotePrefix="1" applyFont="1" applyBorder="1" applyAlignment="1" applyProtection="1">
      <alignment horizontal="left" vertical="top"/>
      <protection hidden="1"/>
    </xf>
    <xf numFmtId="0" fontId="40" fillId="0" borderId="0" xfId="0" quotePrefix="1" applyFont="1" applyBorder="1" applyAlignment="1" applyProtection="1">
      <alignment horizontal="left" vertical="top"/>
      <protection hidden="1"/>
    </xf>
    <xf numFmtId="0" fontId="40" fillId="0" borderId="5" xfId="0" quotePrefix="1" applyFont="1" applyBorder="1" applyAlignment="1" applyProtection="1">
      <alignment horizontal="left" vertical="top"/>
      <protection hidden="1"/>
    </xf>
    <xf numFmtId="0" fontId="40" fillId="0" borderId="3" xfId="0" quotePrefix="1" applyFont="1" applyBorder="1" applyAlignment="1" applyProtection="1">
      <alignment horizontal="left" vertical="center" wrapText="1"/>
      <protection hidden="1"/>
    </xf>
    <xf numFmtId="0" fontId="40" fillId="0" borderId="7" xfId="0" quotePrefix="1" applyFont="1" applyBorder="1" applyAlignment="1" applyProtection="1">
      <alignment horizontal="left" vertical="center" wrapText="1"/>
      <protection hidden="1"/>
    </xf>
    <xf numFmtId="0" fontId="40" fillId="0" borderId="16" xfId="0" quotePrefix="1" applyFont="1" applyBorder="1" applyAlignment="1" applyProtection="1">
      <alignment horizontal="left" vertical="center" wrapText="1"/>
      <protection hidden="1"/>
    </xf>
    <xf numFmtId="0" fontId="40" fillId="0" borderId="4" xfId="0" quotePrefix="1" applyFont="1" applyBorder="1" applyAlignment="1" applyProtection="1">
      <alignment horizontal="left" vertical="center" wrapText="1"/>
      <protection hidden="1"/>
    </xf>
    <xf numFmtId="0" fontId="40" fillId="0" borderId="0" xfId="0" quotePrefix="1" applyFont="1" applyBorder="1" applyAlignment="1" applyProtection="1">
      <alignment horizontal="left" vertical="center" wrapText="1"/>
      <protection hidden="1"/>
    </xf>
    <xf numFmtId="0" fontId="40" fillId="0" borderId="5" xfId="0" quotePrefix="1" applyFont="1" applyBorder="1" applyAlignment="1" applyProtection="1">
      <alignment horizontal="left" vertical="center" wrapText="1"/>
      <protection hidden="1"/>
    </xf>
    <xf numFmtId="0" fontId="40" fillId="0" borderId="6" xfId="0" quotePrefix="1" applyFont="1" applyBorder="1" applyAlignment="1" applyProtection="1">
      <alignment horizontal="left" vertical="center" wrapText="1"/>
      <protection hidden="1"/>
    </xf>
    <xf numFmtId="0" fontId="40" fillId="0" borderId="10" xfId="0" quotePrefix="1" applyFont="1" applyBorder="1" applyAlignment="1" applyProtection="1">
      <alignment horizontal="left" vertical="center" wrapText="1"/>
      <protection hidden="1"/>
    </xf>
    <xf numFmtId="0" fontId="40" fillId="0" borderId="11" xfId="0" quotePrefix="1" applyFont="1" applyBorder="1" applyAlignment="1" applyProtection="1">
      <alignment horizontal="left" vertical="center" wrapText="1"/>
      <protection hidden="1"/>
    </xf>
    <xf numFmtId="0" fontId="40" fillId="0" borderId="4" xfId="0" applyFont="1" applyBorder="1" applyAlignment="1" applyProtection="1">
      <alignment horizontal="left" vertical="top" wrapText="1"/>
      <protection hidden="1"/>
    </xf>
    <xf numFmtId="0" fontId="40" fillId="0" borderId="6" xfId="0" applyFont="1" applyBorder="1" applyAlignment="1" applyProtection="1">
      <alignment horizontal="left" vertical="top" wrapText="1"/>
      <protection hidden="1"/>
    </xf>
    <xf numFmtId="0" fontId="40" fillId="0" borderId="10" xfId="0" applyFont="1" applyBorder="1" applyAlignment="1" applyProtection="1">
      <alignment horizontal="left" vertical="top" wrapText="1"/>
      <protection hidden="1"/>
    </xf>
    <xf numFmtId="0" fontId="40" fillId="0" borderId="11" xfId="0" applyFont="1" applyBorder="1" applyAlignment="1" applyProtection="1">
      <alignment horizontal="left" vertical="top" wrapText="1"/>
      <protection hidden="1"/>
    </xf>
    <xf numFmtId="0" fontId="40" fillId="0" borderId="8" xfId="0" applyFont="1" applyBorder="1" applyAlignment="1" applyProtection="1">
      <alignment horizontal="left" vertical="top" wrapText="1"/>
      <protection hidden="1"/>
    </xf>
    <xf numFmtId="0" fontId="40" fillId="0" borderId="3" xfId="0" applyFont="1" applyBorder="1" applyAlignment="1" applyProtection="1">
      <alignment horizontal="center" vertical="center" wrapText="1"/>
      <protection locked="0"/>
    </xf>
    <xf numFmtId="0" fontId="40" fillId="0" borderId="7" xfId="0" applyFont="1" applyBorder="1" applyAlignment="1" applyProtection="1">
      <alignment horizontal="center" vertical="center" wrapText="1"/>
      <protection locked="0"/>
    </xf>
    <xf numFmtId="0" fontId="40" fillId="0" borderId="16" xfId="0" applyFont="1" applyBorder="1" applyAlignment="1" applyProtection="1">
      <alignment horizontal="center" vertical="center" wrapText="1"/>
      <protection locked="0"/>
    </xf>
    <xf numFmtId="0" fontId="40" fillId="0" borderId="4" xfId="0" applyFont="1" applyBorder="1" applyAlignment="1" applyProtection="1">
      <alignment horizontal="center" vertical="center" wrapText="1"/>
      <protection locked="0"/>
    </xf>
    <xf numFmtId="0" fontId="40" fillId="0" borderId="0" xfId="0" applyFont="1" applyBorder="1" applyAlignment="1" applyProtection="1">
      <alignment horizontal="center" vertical="center" wrapText="1"/>
      <protection locked="0"/>
    </xf>
    <xf numFmtId="0" fontId="40" fillId="0" borderId="5" xfId="0" applyFont="1" applyBorder="1" applyAlignment="1" applyProtection="1">
      <alignment horizontal="center" vertical="center" wrapText="1"/>
      <protection locked="0"/>
    </xf>
    <xf numFmtId="0" fontId="40" fillId="0" borderId="6" xfId="0" applyFont="1" applyBorder="1" applyAlignment="1" applyProtection="1">
      <alignment horizontal="center" vertical="center" wrapText="1"/>
      <protection locked="0"/>
    </xf>
    <xf numFmtId="0" fontId="40" fillId="0" borderId="10" xfId="0" applyFont="1" applyBorder="1" applyAlignment="1" applyProtection="1">
      <alignment horizontal="center" vertical="center" wrapText="1"/>
      <protection locked="0"/>
    </xf>
    <xf numFmtId="0" fontId="40" fillId="0" borderId="11" xfId="0" applyFont="1" applyBorder="1" applyAlignment="1" applyProtection="1">
      <alignment horizontal="center" vertical="center" wrapText="1"/>
      <protection locked="0"/>
    </xf>
    <xf numFmtId="0" fontId="41" fillId="0" borderId="10" xfId="0" applyFont="1" applyBorder="1" applyAlignment="1" applyProtection="1">
      <alignment horizontal="left" vertical="top"/>
      <protection hidden="1"/>
    </xf>
    <xf numFmtId="0" fontId="41" fillId="0" borderId="11" xfId="0" applyFont="1" applyBorder="1" applyAlignment="1" applyProtection="1">
      <alignment horizontal="left" vertical="top"/>
      <protection hidden="1"/>
    </xf>
    <xf numFmtId="0" fontId="40" fillId="0" borderId="4" xfId="0" quotePrefix="1" applyFont="1" applyBorder="1" applyAlignment="1" applyProtection="1">
      <alignment horizontal="left" vertical="top" wrapText="1"/>
      <protection hidden="1"/>
    </xf>
    <xf numFmtId="0" fontId="40" fillId="8" borderId="13" xfId="0" applyFont="1" applyFill="1" applyBorder="1" applyAlignment="1" applyProtection="1">
      <alignment horizontal="center"/>
      <protection locked="0"/>
    </xf>
    <xf numFmtId="0" fontId="40" fillId="8" borderId="15" xfId="0" applyFont="1" applyFill="1" applyBorder="1" applyAlignment="1" applyProtection="1">
      <alignment horizontal="center"/>
      <protection locked="0"/>
    </xf>
    <xf numFmtId="0" fontId="40" fillId="0" borderId="3" xfId="0" applyFont="1" applyBorder="1" applyAlignment="1" applyProtection="1">
      <alignment horizontal="center" vertical="center"/>
      <protection locked="0"/>
    </xf>
    <xf numFmtId="0" fontId="40" fillId="0" borderId="4" xfId="0" applyFont="1" applyBorder="1" applyAlignment="1" applyProtection="1">
      <alignment horizontal="center" vertical="center"/>
      <protection locked="0"/>
    </xf>
    <xf numFmtId="2" fontId="73" fillId="2" borderId="9" xfId="0" applyNumberFormat="1" applyFont="1" applyFill="1" applyBorder="1" applyAlignment="1" applyProtection="1">
      <alignment horizontal="center" vertical="center"/>
      <protection hidden="1"/>
    </xf>
    <xf numFmtId="2" fontId="73" fillId="2" borderId="12" xfId="0" applyNumberFormat="1" applyFont="1" applyFill="1" applyBorder="1" applyAlignment="1" applyProtection="1">
      <alignment horizontal="center" vertical="center"/>
      <protection hidden="1"/>
    </xf>
    <xf numFmtId="0" fontId="40" fillId="0" borderId="13" xfId="0" applyFont="1" applyBorder="1" applyAlignment="1" applyProtection="1">
      <alignment horizontal="center" vertical="center"/>
      <protection locked="0"/>
    </xf>
    <xf numFmtId="0" fontId="40" fillId="0" borderId="14" xfId="0" applyFont="1" applyBorder="1" applyAlignment="1" applyProtection="1">
      <alignment horizontal="center" vertical="center"/>
      <protection locked="0"/>
    </xf>
    <xf numFmtId="0" fontId="40" fillId="0" borderId="3" xfId="0" quotePrefix="1" applyFont="1" applyBorder="1" applyAlignment="1" applyProtection="1">
      <alignment horizontal="left" vertical="top" wrapText="1"/>
      <protection hidden="1"/>
    </xf>
    <xf numFmtId="0" fontId="40" fillId="0" borderId="7" xfId="0" quotePrefix="1" applyFont="1" applyBorder="1" applyAlignment="1" applyProtection="1">
      <alignment horizontal="left" vertical="top" wrapText="1"/>
      <protection hidden="1"/>
    </xf>
    <xf numFmtId="0" fontId="40" fillId="0" borderId="16" xfId="0" quotePrefix="1" applyFont="1" applyBorder="1" applyAlignment="1" applyProtection="1">
      <alignment horizontal="left" vertical="top" wrapText="1"/>
      <protection hidden="1"/>
    </xf>
    <xf numFmtId="0" fontId="41" fillId="0" borderId="0" xfId="0" applyFont="1" applyBorder="1" applyAlignment="1" applyProtection="1">
      <alignment horizontal="center"/>
      <protection locked="0"/>
    </xf>
    <xf numFmtId="0" fontId="43" fillId="0" borderId="15" xfId="0" applyFont="1" applyFill="1" applyBorder="1" applyAlignment="1" applyProtection="1">
      <alignment horizontal="center" vertical="center"/>
      <protection locked="0"/>
    </xf>
    <xf numFmtId="0" fontId="43" fillId="0" borderId="8" xfId="0" applyFont="1" applyFill="1" applyBorder="1" applyAlignment="1" applyProtection="1">
      <alignment horizontal="center" vertical="center"/>
      <protection locked="0"/>
    </xf>
    <xf numFmtId="0" fontId="72" fillId="33" borderId="8" xfId="0" applyFont="1" applyFill="1" applyBorder="1" applyAlignment="1" applyProtection="1">
      <alignment horizontal="center" vertical="center"/>
      <protection hidden="1"/>
    </xf>
    <xf numFmtId="0" fontId="62" fillId="18" borderId="9" xfId="0" applyFont="1" applyFill="1" applyBorder="1" applyAlignment="1" applyProtection="1">
      <alignment horizontal="left" vertical="center" wrapText="1"/>
      <protection hidden="1"/>
    </xf>
    <xf numFmtId="0" fontId="62" fillId="18" borderId="22" xfId="0" applyFont="1" applyFill="1" applyBorder="1" applyAlignment="1" applyProtection="1">
      <alignment horizontal="left" vertical="center" wrapText="1"/>
      <protection hidden="1"/>
    </xf>
    <xf numFmtId="0" fontId="62" fillId="18" borderId="12" xfId="0" applyFont="1" applyFill="1" applyBorder="1" applyAlignment="1" applyProtection="1">
      <alignment horizontal="left" vertical="center" wrapText="1"/>
      <protection hidden="1"/>
    </xf>
    <xf numFmtId="0" fontId="72" fillId="5" borderId="9" xfId="0" applyFont="1" applyFill="1" applyBorder="1" applyAlignment="1" applyProtection="1">
      <alignment horizontal="center" vertical="center" wrapText="1"/>
      <protection hidden="1"/>
    </xf>
    <xf numFmtId="0" fontId="72" fillId="5" borderId="22" xfId="0" applyFont="1" applyFill="1" applyBorder="1" applyAlignment="1" applyProtection="1">
      <alignment horizontal="center" vertical="center" wrapText="1"/>
      <protection hidden="1"/>
    </xf>
    <xf numFmtId="0" fontId="72" fillId="5" borderId="12" xfId="0" applyFont="1" applyFill="1" applyBorder="1" applyAlignment="1" applyProtection="1">
      <alignment horizontal="center" vertical="center" wrapText="1"/>
      <protection hidden="1"/>
    </xf>
    <xf numFmtId="0" fontId="40" fillId="0" borderId="9" xfId="0" applyFont="1" applyFill="1" applyBorder="1" applyAlignment="1" applyProtection="1">
      <alignment horizontal="left" vertical="center" wrapText="1"/>
      <protection hidden="1"/>
    </xf>
    <xf numFmtId="0" fontId="40" fillId="0" borderId="12" xfId="0" applyFont="1" applyFill="1" applyBorder="1" applyAlignment="1" applyProtection="1">
      <alignment horizontal="left" vertical="center" wrapText="1"/>
      <protection hidden="1"/>
    </xf>
    <xf numFmtId="0" fontId="41" fillId="0" borderId="22" xfId="0" applyFont="1" applyFill="1" applyBorder="1" applyAlignment="1" applyProtection="1">
      <alignment horizontal="left"/>
      <protection hidden="1"/>
    </xf>
    <xf numFmtId="0" fontId="41" fillId="0" borderId="12" xfId="0" applyFont="1" applyFill="1" applyBorder="1" applyAlignment="1" applyProtection="1">
      <alignment horizontal="left"/>
      <protection hidden="1"/>
    </xf>
    <xf numFmtId="178" fontId="72" fillId="0" borderId="9" xfId="1" applyNumberFormat="1" applyFont="1" applyBorder="1" applyAlignment="1" applyProtection="1">
      <alignment horizontal="center" vertical="top" wrapText="1"/>
      <protection hidden="1"/>
    </xf>
    <xf numFmtId="178" fontId="72" fillId="0" borderId="22" xfId="1" applyNumberFormat="1" applyFont="1" applyBorder="1" applyAlignment="1" applyProtection="1">
      <alignment horizontal="center" vertical="top" wrapText="1"/>
      <protection hidden="1"/>
    </xf>
    <xf numFmtId="178" fontId="72" fillId="0" borderId="12" xfId="1" applyNumberFormat="1" applyFont="1" applyBorder="1" applyAlignment="1" applyProtection="1">
      <alignment horizontal="center" vertical="top" wrapText="1"/>
      <protection hidden="1"/>
    </xf>
    <xf numFmtId="0" fontId="41" fillId="6" borderId="9" xfId="0" applyFont="1" applyFill="1" applyBorder="1" applyAlignment="1" applyProtection="1">
      <alignment horizontal="center" vertical="center" wrapText="1"/>
      <protection hidden="1"/>
    </xf>
    <xf numFmtId="0" fontId="41" fillId="6" borderId="12" xfId="0" applyFont="1" applyFill="1" applyBorder="1" applyAlignment="1" applyProtection="1">
      <alignment horizontal="center" vertical="center" wrapText="1"/>
      <protection hidden="1"/>
    </xf>
    <xf numFmtId="0" fontId="40" fillId="0" borderId="8" xfId="0" applyFont="1" applyBorder="1" applyAlignment="1" applyProtection="1">
      <alignment horizontal="center"/>
      <protection hidden="1"/>
    </xf>
    <xf numFmtId="0" fontId="41" fillId="6" borderId="22" xfId="0" applyFont="1" applyFill="1" applyBorder="1" applyAlignment="1" applyProtection="1">
      <alignment horizontal="center" vertical="center" wrapText="1"/>
      <protection hidden="1"/>
    </xf>
    <xf numFmtId="0" fontId="40" fillId="0" borderId="3" xfId="0" applyFont="1" applyBorder="1" applyAlignment="1" applyProtection="1">
      <alignment horizontal="left" vertical="center"/>
      <protection hidden="1"/>
    </xf>
    <xf numFmtId="0" fontId="40" fillId="0" borderId="7" xfId="0" applyFont="1" applyBorder="1" applyAlignment="1" applyProtection="1">
      <alignment horizontal="left" vertical="center"/>
      <protection hidden="1"/>
    </xf>
    <xf numFmtId="0" fontId="40" fillId="0" borderId="16" xfId="0" applyFont="1" applyBorder="1" applyAlignment="1" applyProtection="1">
      <alignment horizontal="left" vertical="center"/>
      <protection hidden="1"/>
    </xf>
    <xf numFmtId="0" fontId="40" fillId="0" borderId="4" xfId="0" applyFont="1" applyBorder="1" applyAlignment="1" applyProtection="1">
      <alignment horizontal="left" vertical="center"/>
      <protection hidden="1"/>
    </xf>
    <xf numFmtId="0" fontId="40" fillId="0" borderId="0" xfId="0" applyFont="1" applyBorder="1" applyAlignment="1" applyProtection="1">
      <alignment horizontal="left" vertical="center"/>
      <protection hidden="1"/>
    </xf>
    <xf numFmtId="0" fontId="40" fillId="0" borderId="5" xfId="0" applyFont="1" applyBorder="1" applyAlignment="1" applyProtection="1">
      <alignment horizontal="left" vertical="center"/>
      <protection hidden="1"/>
    </xf>
    <xf numFmtId="0" fontId="40" fillId="0" borderId="6" xfId="0" applyFont="1" applyBorder="1" applyAlignment="1" applyProtection="1">
      <alignment horizontal="left" vertical="center"/>
      <protection hidden="1"/>
    </xf>
    <xf numFmtId="0" fontId="40" fillId="0" borderId="10" xfId="0" applyFont="1" applyBorder="1" applyAlignment="1" applyProtection="1">
      <alignment horizontal="left" vertical="center"/>
      <protection hidden="1"/>
    </xf>
    <xf numFmtId="0" fontId="40" fillId="0" borderId="11" xfId="0" applyFont="1" applyBorder="1" applyAlignment="1" applyProtection="1">
      <alignment horizontal="left" vertical="center"/>
      <protection hidden="1"/>
    </xf>
    <xf numFmtId="0" fontId="41" fillId="12" borderId="9" xfId="0" applyFont="1" applyFill="1" applyBorder="1" applyAlignment="1" applyProtection="1">
      <alignment horizontal="left" vertical="center" wrapText="1"/>
      <protection hidden="1"/>
    </xf>
    <xf numFmtId="0" fontId="41" fillId="12" borderId="22" xfId="0" applyFont="1" applyFill="1" applyBorder="1" applyAlignment="1" applyProtection="1">
      <alignment horizontal="left" vertical="center" wrapText="1"/>
      <protection hidden="1"/>
    </xf>
    <xf numFmtId="0" fontId="41" fillId="12" borderId="12" xfId="0" applyFont="1" applyFill="1" applyBorder="1" applyAlignment="1" applyProtection="1">
      <alignment horizontal="left" vertical="center" wrapText="1"/>
      <protection hidden="1"/>
    </xf>
    <xf numFmtId="0" fontId="72" fillId="0" borderId="9" xfId="0" applyFont="1" applyBorder="1" applyAlignment="1" applyProtection="1">
      <alignment horizontal="center" vertical="top" wrapText="1"/>
      <protection hidden="1"/>
    </xf>
    <xf numFmtId="0" fontId="72" fillId="0" borderId="22" xfId="0" applyFont="1" applyBorder="1" applyAlignment="1" applyProtection="1">
      <alignment horizontal="center" vertical="top" wrapText="1"/>
      <protection hidden="1"/>
    </xf>
    <xf numFmtId="0" fontId="72" fillId="0" borderId="12" xfId="0" applyFont="1" applyBorder="1" applyAlignment="1" applyProtection="1">
      <alignment horizontal="center" vertical="top" wrapText="1"/>
      <protection hidden="1"/>
    </xf>
    <xf numFmtId="0" fontId="41" fillId="16" borderId="9" xfId="0" applyFont="1" applyFill="1" applyBorder="1" applyAlignment="1" applyProtection="1">
      <alignment horizontal="center" vertical="center" wrapText="1"/>
      <protection hidden="1"/>
    </xf>
    <xf numFmtId="0" fontId="41" fillId="16" borderId="22" xfId="0" applyFont="1" applyFill="1" applyBorder="1" applyAlignment="1" applyProtection="1">
      <alignment horizontal="center" vertical="center" wrapText="1"/>
      <protection hidden="1"/>
    </xf>
    <xf numFmtId="0" fontId="41" fillId="16" borderId="12" xfId="0" applyFont="1" applyFill="1" applyBorder="1" applyAlignment="1" applyProtection="1">
      <alignment horizontal="center" vertical="center" wrapText="1"/>
      <protection hidden="1"/>
    </xf>
    <xf numFmtId="0" fontId="72" fillId="0" borderId="9" xfId="0" applyFont="1" applyBorder="1" applyAlignment="1" applyProtection="1">
      <alignment horizontal="center" vertical="center" wrapText="1"/>
      <protection hidden="1"/>
    </xf>
    <xf numFmtId="0" fontId="72" fillId="0" borderId="22" xfId="0" applyFont="1" applyBorder="1" applyAlignment="1" applyProtection="1">
      <alignment horizontal="center" vertical="center" wrapText="1"/>
      <protection hidden="1"/>
    </xf>
    <xf numFmtId="0" fontId="72" fillId="0" borderId="12" xfId="0" applyFont="1" applyBorder="1" applyAlignment="1" applyProtection="1">
      <alignment horizontal="center" vertical="center" wrapText="1"/>
      <protection hidden="1"/>
    </xf>
    <xf numFmtId="0" fontId="72" fillId="0" borderId="8" xfId="0" applyFont="1" applyBorder="1" applyAlignment="1" applyProtection="1">
      <alignment horizontal="center" vertical="center" wrapText="1"/>
      <protection hidden="1"/>
    </xf>
    <xf numFmtId="0" fontId="41" fillId="0" borderId="3" xfId="0" applyFont="1" applyBorder="1" applyAlignment="1" applyProtection="1">
      <alignment horizontal="center" vertical="center"/>
      <protection hidden="1"/>
    </xf>
    <xf numFmtId="0" fontId="41" fillId="0" borderId="7" xfId="0" applyFont="1" applyBorder="1" applyAlignment="1" applyProtection="1">
      <alignment horizontal="center" vertical="center"/>
      <protection hidden="1"/>
    </xf>
    <xf numFmtId="0" fontId="41" fillId="0" borderId="16" xfId="0" applyFont="1" applyBorder="1" applyAlignment="1" applyProtection="1">
      <alignment horizontal="center" vertical="center"/>
      <protection hidden="1"/>
    </xf>
    <xf numFmtId="0" fontId="41" fillId="0" borderId="6" xfId="0" applyFont="1" applyBorder="1" applyAlignment="1" applyProtection="1">
      <alignment horizontal="center" vertical="center"/>
      <protection hidden="1"/>
    </xf>
    <xf numFmtId="0" fontId="41" fillId="0" borderId="10" xfId="0" applyFont="1" applyBorder="1" applyAlignment="1" applyProtection="1">
      <alignment horizontal="center" vertical="center"/>
      <protection hidden="1"/>
    </xf>
    <xf numFmtId="0" fontId="41" fillId="0" borderId="11" xfId="0" applyFont="1" applyBorder="1" applyAlignment="1" applyProtection="1">
      <alignment horizontal="center" vertical="center"/>
      <protection hidden="1"/>
    </xf>
    <xf numFmtId="0" fontId="41" fillId="0" borderId="0" xfId="0" applyFont="1" applyBorder="1" applyAlignment="1" applyProtection="1">
      <alignment horizontal="left" vertical="center" wrapText="1"/>
      <protection hidden="1"/>
    </xf>
    <xf numFmtId="0" fontId="40" fillId="0" borderId="44" xfId="0" applyFont="1" applyBorder="1" applyAlignment="1" applyProtection="1">
      <alignment horizontal="left" vertical="center"/>
      <protection hidden="1"/>
    </xf>
    <xf numFmtId="0" fontId="40" fillId="0" borderId="8" xfId="0" applyFont="1" applyFill="1" applyBorder="1" applyAlignment="1" applyProtection="1">
      <alignment horizontal="left" vertical="center" wrapText="1"/>
      <protection hidden="1"/>
    </xf>
    <xf numFmtId="0" fontId="41" fillId="2" borderId="8" xfId="0" applyFont="1" applyFill="1" applyBorder="1" applyAlignment="1" applyProtection="1">
      <alignment horizontal="left" vertical="center" wrapText="1"/>
      <protection hidden="1"/>
    </xf>
    <xf numFmtId="0" fontId="41" fillId="2" borderId="9" xfId="0" applyFont="1" applyFill="1" applyBorder="1" applyAlignment="1" applyProtection="1">
      <alignment horizontal="left" vertical="center" wrapText="1"/>
      <protection hidden="1"/>
    </xf>
    <xf numFmtId="0" fontId="41" fillId="2" borderId="12" xfId="0" applyFont="1" applyFill="1" applyBorder="1" applyAlignment="1" applyProtection="1">
      <alignment horizontal="left" vertical="center" wrapText="1"/>
      <protection hidden="1"/>
    </xf>
    <xf numFmtId="0" fontId="40" fillId="0" borderId="0" xfId="0" applyFont="1" applyBorder="1" applyAlignment="1" applyProtection="1">
      <alignment horizontal="center" vertical="top" wrapText="1"/>
      <protection locked="0"/>
    </xf>
    <xf numFmtId="178" fontId="72" fillId="0" borderId="9" xfId="1" applyNumberFormat="1" applyFont="1" applyBorder="1" applyAlignment="1" applyProtection="1">
      <alignment vertical="center"/>
      <protection hidden="1"/>
    </xf>
    <xf numFmtId="178" fontId="72" fillId="0" borderId="22" xfId="1" applyNumberFormat="1" applyFont="1" applyBorder="1" applyAlignment="1" applyProtection="1">
      <alignment vertical="center"/>
      <protection hidden="1"/>
    </xf>
    <xf numFmtId="0" fontId="41" fillId="12" borderId="53" xfId="0" applyFont="1" applyFill="1" applyBorder="1" applyAlignment="1" applyProtection="1">
      <alignment horizontal="left" vertical="center"/>
      <protection hidden="1"/>
    </xf>
    <xf numFmtId="0" fontId="41" fillId="12" borderId="41" xfId="0" applyFont="1" applyFill="1" applyBorder="1" applyAlignment="1" applyProtection="1">
      <alignment horizontal="left" vertical="center"/>
      <protection hidden="1"/>
    </xf>
    <xf numFmtId="0" fontId="41" fillId="12" borderId="117" xfId="0" applyFont="1" applyFill="1" applyBorder="1" applyAlignment="1" applyProtection="1">
      <alignment horizontal="left" vertical="center"/>
      <protection hidden="1"/>
    </xf>
    <xf numFmtId="167" fontId="72" fillId="0" borderId="8" xfId="0" applyNumberFormat="1" applyFont="1" applyBorder="1" applyAlignment="1" applyProtection="1">
      <alignment horizontal="center" vertical="center"/>
      <protection hidden="1"/>
    </xf>
    <xf numFmtId="0" fontId="9" fillId="0" borderId="0" xfId="0" applyFont="1" applyFill="1" applyBorder="1" applyAlignment="1" applyProtection="1">
      <alignment horizontal="center" vertical="top" wrapText="1"/>
      <protection locked="0"/>
    </xf>
    <xf numFmtId="0" fontId="26" fillId="0" borderId="0" xfId="0" applyFont="1" applyFill="1" applyBorder="1" applyAlignment="1" applyProtection="1">
      <alignment horizontal="center" vertical="top"/>
      <protection locked="0"/>
    </xf>
    <xf numFmtId="0" fontId="41" fillId="2" borderId="15" xfId="0" applyFont="1" applyFill="1" applyBorder="1" applyAlignment="1" applyProtection="1">
      <alignment horizontal="left" vertical="top"/>
      <protection locked="0"/>
    </xf>
    <xf numFmtId="0" fontId="41" fillId="2" borderId="8" xfId="0" applyFont="1" applyFill="1" applyBorder="1" applyAlignment="1" applyProtection="1">
      <alignment horizontal="left" vertical="top"/>
      <protection locked="0"/>
    </xf>
    <xf numFmtId="0" fontId="41" fillId="2" borderId="8" xfId="0" applyFont="1" applyFill="1" applyBorder="1" applyAlignment="1" applyProtection="1">
      <alignment horizontal="center" vertical="center"/>
      <protection hidden="1"/>
    </xf>
    <xf numFmtId="0" fontId="41" fillId="10" borderId="44" xfId="0" applyFont="1" applyFill="1" applyBorder="1" applyAlignment="1" applyProtection="1">
      <alignment horizontal="left" vertical="center"/>
      <protection hidden="1"/>
    </xf>
    <xf numFmtId="0" fontId="41" fillId="15" borderId="71" xfId="0" applyFont="1" applyFill="1" applyBorder="1" applyAlignment="1" applyProtection="1">
      <alignment horizontal="center" vertical="center"/>
      <protection locked="0"/>
    </xf>
    <xf numFmtId="0" fontId="41" fillId="15" borderId="56" xfId="0" applyFont="1" applyFill="1" applyBorder="1" applyAlignment="1" applyProtection="1">
      <alignment horizontal="center" vertical="center"/>
      <protection locked="0"/>
    </xf>
    <xf numFmtId="0" fontId="40" fillId="5" borderId="58" xfId="0" applyFont="1" applyFill="1" applyBorder="1" applyAlignment="1" applyProtection="1">
      <alignment horizontal="left" vertical="center"/>
      <protection hidden="1"/>
    </xf>
    <xf numFmtId="0" fontId="40" fillId="5" borderId="8" xfId="0" applyFont="1" applyFill="1" applyBorder="1" applyAlignment="1" applyProtection="1">
      <alignment horizontal="left" vertical="center"/>
      <protection hidden="1"/>
    </xf>
    <xf numFmtId="0" fontId="40" fillId="5" borderId="98" xfId="0" applyFont="1" applyFill="1" applyBorder="1" applyAlignment="1" applyProtection="1">
      <alignment horizontal="left" vertical="center"/>
      <protection hidden="1"/>
    </xf>
    <xf numFmtId="0" fontId="40" fillId="5" borderId="58" xfId="0" applyFont="1" applyFill="1" applyBorder="1" applyAlignment="1" applyProtection="1">
      <alignment horizontal="left" vertical="center" wrapText="1"/>
      <protection hidden="1"/>
    </xf>
    <xf numFmtId="0" fontId="40" fillId="5" borderId="79" xfId="0" applyFont="1" applyFill="1" applyBorder="1" applyAlignment="1" applyProtection="1">
      <alignment horizontal="left" vertical="center"/>
      <protection hidden="1"/>
    </xf>
    <xf numFmtId="0" fontId="40" fillId="5" borderId="71" xfId="0" applyFont="1" applyFill="1" applyBorder="1" applyAlignment="1" applyProtection="1">
      <alignment horizontal="left" vertical="center"/>
      <protection hidden="1"/>
    </xf>
    <xf numFmtId="0" fontId="40" fillId="5" borderId="144" xfId="0" applyFont="1" applyFill="1" applyBorder="1" applyAlignment="1" applyProtection="1">
      <alignment horizontal="left" vertical="center"/>
      <protection hidden="1"/>
    </xf>
    <xf numFmtId="0" fontId="41" fillId="15" borderId="5" xfId="0" applyFont="1" applyFill="1" applyBorder="1" applyAlignment="1" applyProtection="1">
      <alignment horizontal="center" vertical="center" wrapText="1"/>
      <protection hidden="1"/>
    </xf>
    <xf numFmtId="0" fontId="41" fillId="10" borderId="49" xfId="0" applyFont="1" applyFill="1" applyBorder="1" applyAlignment="1" applyProtection="1">
      <alignment horizontal="left" vertical="center"/>
      <protection hidden="1"/>
    </xf>
    <xf numFmtId="0" fontId="41" fillId="10" borderId="48" xfId="0" applyFont="1" applyFill="1" applyBorder="1" applyAlignment="1" applyProtection="1">
      <alignment horizontal="left" vertical="center"/>
      <protection hidden="1"/>
    </xf>
    <xf numFmtId="0" fontId="41" fillId="10" borderId="118" xfId="0" applyFont="1" applyFill="1" applyBorder="1" applyAlignment="1" applyProtection="1">
      <alignment horizontal="left" vertical="center"/>
      <protection hidden="1"/>
    </xf>
    <xf numFmtId="0" fontId="40" fillId="0" borderId="49" xfId="0" applyFont="1" applyBorder="1" applyAlignment="1" applyProtection="1">
      <alignment horizontal="left" vertical="center"/>
      <protection hidden="1"/>
    </xf>
    <xf numFmtId="0" fontId="40" fillId="0" borderId="48" xfId="0" applyFont="1" applyBorder="1" applyAlignment="1" applyProtection="1">
      <alignment horizontal="left" vertical="center"/>
      <protection hidden="1"/>
    </xf>
    <xf numFmtId="0" fontId="40" fillId="0" borderId="118" xfId="0" applyFont="1" applyBorder="1" applyAlignment="1" applyProtection="1">
      <alignment horizontal="left" vertical="center"/>
      <protection hidden="1"/>
    </xf>
    <xf numFmtId="0" fontId="162" fillId="0" borderId="15" xfId="0" applyFont="1" applyFill="1" applyBorder="1" applyAlignment="1" applyProtection="1">
      <alignment horizontal="center" vertical="center" wrapText="1"/>
      <protection locked="0"/>
    </xf>
    <xf numFmtId="0" fontId="162" fillId="0" borderId="8" xfId="0" applyFont="1" applyFill="1" applyBorder="1" applyAlignment="1" applyProtection="1">
      <alignment horizontal="center" vertical="center" wrapText="1"/>
      <protection locked="0"/>
    </xf>
    <xf numFmtId="0" fontId="41" fillId="5" borderId="58" xfId="0" applyFont="1" applyFill="1" applyBorder="1" applyAlignment="1" applyProtection="1">
      <alignment horizontal="left" vertical="center"/>
      <protection hidden="1"/>
    </xf>
    <xf numFmtId="0" fontId="41" fillId="5" borderId="8" xfId="0" applyFont="1" applyFill="1" applyBorder="1" applyAlignment="1" applyProtection="1">
      <alignment horizontal="left" vertical="center"/>
      <protection hidden="1"/>
    </xf>
    <xf numFmtId="0" fontId="41" fillId="5" borderId="98" xfId="0" applyFont="1" applyFill="1" applyBorder="1" applyAlignment="1" applyProtection="1">
      <alignment horizontal="left" vertical="center"/>
      <protection hidden="1"/>
    </xf>
    <xf numFmtId="167" fontId="72" fillId="0" borderId="9" xfId="0" applyNumberFormat="1" applyFont="1" applyBorder="1" applyAlignment="1" applyProtection="1">
      <alignment horizontal="center" vertical="center"/>
      <protection hidden="1"/>
    </xf>
    <xf numFmtId="167" fontId="72" fillId="0" borderId="22" xfId="0" applyNumberFormat="1" applyFont="1" applyBorder="1" applyAlignment="1" applyProtection="1">
      <alignment horizontal="center" vertical="center"/>
      <protection hidden="1"/>
    </xf>
    <xf numFmtId="0" fontId="72" fillId="0" borderId="9" xfId="0" applyFont="1" applyBorder="1" applyAlignment="1" applyProtection="1">
      <alignment horizontal="center" vertical="center"/>
      <protection hidden="1"/>
    </xf>
    <xf numFmtId="0" fontId="72" fillId="0" borderId="22" xfId="0" applyFont="1" applyBorder="1" applyAlignment="1" applyProtection="1">
      <alignment horizontal="center" vertical="center"/>
      <protection hidden="1"/>
    </xf>
    <xf numFmtId="0" fontId="40" fillId="0" borderId="14" xfId="0" applyFont="1" applyBorder="1" applyAlignment="1" applyProtection="1">
      <alignment horizontal="center" vertical="center" wrapText="1"/>
      <protection locked="0"/>
    </xf>
    <xf numFmtId="0" fontId="162" fillId="0" borderId="73" xfId="0" applyFont="1" applyFill="1" applyBorder="1" applyAlignment="1" applyProtection="1">
      <alignment horizontal="center" vertical="center" wrapText="1"/>
      <protection locked="0"/>
    </xf>
    <xf numFmtId="0" fontId="43" fillId="0" borderId="52" xfId="0" applyFont="1" applyFill="1" applyBorder="1" applyAlignment="1" applyProtection="1">
      <alignment horizontal="center" vertical="center" wrapText="1"/>
      <protection locked="0"/>
    </xf>
    <xf numFmtId="0" fontId="43" fillId="0" borderId="74" xfId="0" applyFont="1" applyFill="1" applyBorder="1" applyAlignment="1" applyProtection="1">
      <alignment horizontal="center" vertical="center" wrapText="1"/>
      <protection locked="0"/>
    </xf>
    <xf numFmtId="0" fontId="43" fillId="0" borderId="4" xfId="0" applyFont="1" applyFill="1" applyBorder="1" applyAlignment="1" applyProtection="1">
      <alignment horizontal="center" vertical="center" wrapText="1"/>
      <protection locked="0"/>
    </xf>
    <xf numFmtId="0" fontId="43" fillId="0" borderId="0" xfId="0" applyFont="1" applyFill="1" applyBorder="1" applyAlignment="1" applyProtection="1">
      <alignment horizontal="center" vertical="center" wrapText="1"/>
      <protection locked="0"/>
    </xf>
    <xf numFmtId="0" fontId="43" fillId="0" borderId="5" xfId="0" applyFont="1" applyFill="1" applyBorder="1" applyAlignment="1" applyProtection="1">
      <alignment horizontal="center" vertical="center" wrapText="1"/>
      <protection locked="0"/>
    </xf>
    <xf numFmtId="0" fontId="43" fillId="0" borderId="6" xfId="0" applyFont="1" applyFill="1" applyBorder="1" applyAlignment="1" applyProtection="1">
      <alignment horizontal="center" vertical="center" wrapText="1"/>
      <protection locked="0"/>
    </xf>
    <xf numFmtId="0" fontId="43" fillId="0" borderId="10" xfId="0" applyFont="1" applyFill="1" applyBorder="1" applyAlignment="1" applyProtection="1">
      <alignment horizontal="center" vertical="center" wrapText="1"/>
      <protection locked="0"/>
    </xf>
    <xf numFmtId="0" fontId="43" fillId="0" borderId="11" xfId="0" applyFont="1" applyFill="1" applyBorder="1" applyAlignment="1" applyProtection="1">
      <alignment horizontal="center" vertical="center" wrapText="1"/>
      <protection locked="0"/>
    </xf>
    <xf numFmtId="0" fontId="40" fillId="0" borderId="13" xfId="0" applyFont="1" applyBorder="1" applyAlignment="1" applyProtection="1">
      <alignment horizontal="center"/>
      <protection locked="0"/>
    </xf>
    <xf numFmtId="0" fontId="40" fillId="0" borderId="14" xfId="0" applyFont="1" applyBorder="1" applyAlignment="1" applyProtection="1">
      <alignment horizontal="center"/>
      <protection locked="0"/>
    </xf>
    <xf numFmtId="0" fontId="40" fillId="0" borderId="15" xfId="0" applyFont="1" applyBorder="1" applyAlignment="1" applyProtection="1">
      <alignment horizontal="center"/>
      <protection locked="0"/>
    </xf>
    <xf numFmtId="0" fontId="41" fillId="0" borderId="13" xfId="0" applyFont="1" applyBorder="1" applyAlignment="1" applyProtection="1">
      <alignment horizontal="center" vertical="center"/>
      <protection hidden="1"/>
    </xf>
    <xf numFmtId="0" fontId="41" fillId="0" borderId="15" xfId="0" applyFont="1" applyBorder="1" applyAlignment="1" applyProtection="1">
      <alignment horizontal="center" vertical="center"/>
      <protection hidden="1"/>
    </xf>
    <xf numFmtId="0" fontId="40" fillId="0" borderId="16" xfId="0" applyFont="1" applyBorder="1" applyAlignment="1" applyProtection="1">
      <alignment horizontal="center" vertical="center"/>
      <protection hidden="1"/>
    </xf>
    <xf numFmtId="0" fontId="40" fillId="0" borderId="6" xfId="0" applyFont="1" applyBorder="1" applyAlignment="1" applyProtection="1">
      <alignment horizontal="center" vertical="center"/>
      <protection hidden="1"/>
    </xf>
    <xf numFmtId="0" fontId="40" fillId="0" borderId="11" xfId="0" applyFont="1" applyBorder="1" applyAlignment="1" applyProtection="1">
      <alignment horizontal="center" vertical="center"/>
      <protection hidden="1"/>
    </xf>
    <xf numFmtId="0" fontId="41" fillId="7" borderId="9" xfId="0" applyFont="1" applyFill="1" applyBorder="1" applyAlignment="1" applyProtection="1">
      <alignment horizontal="center" vertical="center" wrapText="1"/>
      <protection hidden="1"/>
    </xf>
    <xf numFmtId="0" fontId="41" fillId="7" borderId="22" xfId="0" applyFont="1" applyFill="1" applyBorder="1" applyAlignment="1" applyProtection="1">
      <alignment horizontal="center" vertical="center" wrapText="1"/>
      <protection hidden="1"/>
    </xf>
    <xf numFmtId="0" fontId="41" fillId="7" borderId="12" xfId="0" applyFont="1" applyFill="1" applyBorder="1" applyAlignment="1" applyProtection="1">
      <alignment horizontal="center" vertical="center" wrapText="1"/>
      <protection hidden="1"/>
    </xf>
    <xf numFmtId="0" fontId="41" fillId="7" borderId="13" xfId="0" applyFont="1" applyFill="1" applyBorder="1" applyAlignment="1" applyProtection="1">
      <alignment horizontal="center" vertical="center" wrapText="1"/>
      <protection hidden="1"/>
    </xf>
    <xf numFmtId="0" fontId="41" fillId="7" borderId="15" xfId="0" applyFont="1" applyFill="1" applyBorder="1" applyAlignment="1" applyProtection="1">
      <alignment horizontal="center" vertical="center" wrapText="1"/>
      <protection hidden="1"/>
    </xf>
    <xf numFmtId="0" fontId="6" fillId="0" borderId="0" xfId="0" applyFont="1" applyBorder="1" applyAlignment="1" applyProtection="1">
      <alignment horizontal="center" vertical="center"/>
      <protection locked="0"/>
    </xf>
    <xf numFmtId="0" fontId="73" fillId="2" borderId="9" xfId="0" applyFont="1" applyFill="1" applyBorder="1" applyAlignment="1" applyProtection="1">
      <alignment horizontal="center" vertical="center" wrapText="1"/>
      <protection hidden="1"/>
    </xf>
    <xf numFmtId="0" fontId="73" fillId="2" borderId="22" xfId="0" applyFont="1" applyFill="1" applyBorder="1" applyAlignment="1" applyProtection="1">
      <alignment horizontal="center" vertical="center" wrapText="1"/>
      <protection hidden="1"/>
    </xf>
    <xf numFmtId="0" fontId="73" fillId="2" borderId="12" xfId="0" applyFont="1" applyFill="1" applyBorder="1" applyAlignment="1" applyProtection="1">
      <alignment horizontal="center" vertical="center" wrapText="1"/>
      <protection hidden="1"/>
    </xf>
    <xf numFmtId="0" fontId="41" fillId="2" borderId="9" xfId="0" applyFont="1" applyFill="1" applyBorder="1" applyAlignment="1" applyProtection="1">
      <alignment horizontal="center" vertical="center" wrapText="1"/>
      <protection hidden="1"/>
    </xf>
    <xf numFmtId="0" fontId="41" fillId="2" borderId="22" xfId="0" applyFont="1" applyFill="1" applyBorder="1" applyAlignment="1" applyProtection="1">
      <alignment horizontal="center" vertical="center" wrapText="1"/>
      <protection hidden="1"/>
    </xf>
    <xf numFmtId="0" fontId="41" fillId="2" borderId="12" xfId="0" applyFont="1" applyFill="1" applyBorder="1" applyAlignment="1" applyProtection="1">
      <alignment horizontal="center" vertical="center" wrapText="1"/>
      <protection hidden="1"/>
    </xf>
    <xf numFmtId="0" fontId="40" fillId="0" borderId="15" xfId="0" applyFont="1" applyBorder="1" applyAlignment="1" applyProtection="1">
      <alignment horizontal="center" vertical="center"/>
      <protection locked="0"/>
    </xf>
    <xf numFmtId="0" fontId="40" fillId="0" borderId="13" xfId="0" applyFont="1" applyBorder="1" applyAlignment="1" applyProtection="1">
      <alignment horizontal="left" vertical="center" wrapText="1"/>
      <protection locked="0"/>
    </xf>
    <xf numFmtId="0" fontId="40" fillId="0" borderId="14" xfId="0" applyFont="1" applyBorder="1" applyAlignment="1" applyProtection="1">
      <alignment horizontal="left" vertical="center" wrapText="1"/>
      <protection locked="0"/>
    </xf>
    <xf numFmtId="178" fontId="72" fillId="0" borderId="9" xfId="1" applyNumberFormat="1" applyFont="1" applyBorder="1" applyAlignment="1" applyProtection="1">
      <alignment horizontal="center" vertical="center" wrapText="1"/>
      <protection hidden="1"/>
    </xf>
    <xf numFmtId="178" fontId="72" fillId="0" borderId="12" xfId="1" applyNumberFormat="1" applyFont="1" applyBorder="1" applyAlignment="1" applyProtection="1">
      <alignment horizontal="center" vertical="center" wrapText="1"/>
      <protection hidden="1"/>
    </xf>
    <xf numFmtId="0" fontId="41" fillId="0" borderId="0" xfId="0" applyFont="1" applyFill="1" applyBorder="1" applyAlignment="1" applyProtection="1">
      <alignment horizontal="left"/>
      <protection hidden="1"/>
    </xf>
    <xf numFmtId="0" fontId="40" fillId="0" borderId="3" xfId="0" applyFont="1" applyFill="1" applyBorder="1" applyAlignment="1" applyProtection="1">
      <alignment horizontal="left" vertical="center" wrapText="1"/>
      <protection hidden="1"/>
    </xf>
    <xf numFmtId="0" fontId="40" fillId="0" borderId="7" xfId="0" applyFont="1" applyFill="1" applyBorder="1" applyAlignment="1" applyProtection="1">
      <alignment horizontal="left" vertical="center" wrapText="1"/>
      <protection hidden="1"/>
    </xf>
    <xf numFmtId="0" fontId="40" fillId="0" borderId="16" xfId="0" applyFont="1" applyFill="1" applyBorder="1" applyAlignment="1" applyProtection="1">
      <alignment horizontal="left" vertical="center" wrapText="1"/>
      <protection hidden="1"/>
    </xf>
    <xf numFmtId="0" fontId="40" fillId="0" borderId="4" xfId="0" applyFont="1" applyFill="1" applyBorder="1" applyAlignment="1" applyProtection="1">
      <alignment horizontal="left" vertical="center" wrapText="1"/>
      <protection hidden="1"/>
    </xf>
    <xf numFmtId="0" fontId="40" fillId="0" borderId="0" xfId="0" applyFont="1" applyFill="1" applyBorder="1" applyAlignment="1" applyProtection="1">
      <alignment horizontal="left" vertical="center" wrapText="1"/>
      <protection hidden="1"/>
    </xf>
    <xf numFmtId="0" fontId="40" fillId="0" borderId="5" xfId="0" applyFont="1" applyFill="1" applyBorder="1" applyAlignment="1" applyProtection="1">
      <alignment horizontal="left" vertical="center" wrapText="1"/>
      <protection hidden="1"/>
    </xf>
    <xf numFmtId="0" fontId="40" fillId="0" borderId="6" xfId="0" applyFont="1" applyFill="1" applyBorder="1" applyAlignment="1" applyProtection="1">
      <alignment horizontal="left" vertical="center" wrapText="1"/>
      <protection hidden="1"/>
    </xf>
    <xf numFmtId="0" fontId="40" fillId="0" borderId="10" xfId="0" applyFont="1" applyFill="1" applyBorder="1" applyAlignment="1" applyProtection="1">
      <alignment horizontal="left" vertical="center" wrapText="1"/>
      <protection hidden="1"/>
    </xf>
    <xf numFmtId="0" fontId="40" fillId="0" borderId="11" xfId="0" applyFont="1" applyFill="1" applyBorder="1" applyAlignment="1" applyProtection="1">
      <alignment horizontal="left" vertical="center" wrapText="1"/>
      <protection hidden="1"/>
    </xf>
    <xf numFmtId="0" fontId="40" fillId="0" borderId="3" xfId="0" quotePrefix="1" applyFont="1" applyBorder="1" applyAlignment="1" applyProtection="1">
      <alignment horizontal="left" wrapText="1"/>
      <protection hidden="1"/>
    </xf>
    <xf numFmtId="0" fontId="40" fillId="0" borderId="7" xfId="0" quotePrefix="1" applyFont="1" applyBorder="1" applyAlignment="1" applyProtection="1">
      <alignment horizontal="left" wrapText="1"/>
      <protection hidden="1"/>
    </xf>
    <xf numFmtId="0" fontId="40" fillId="0" borderId="16" xfId="0" quotePrefix="1" applyFont="1" applyBorder="1" applyAlignment="1" applyProtection="1">
      <alignment horizontal="left" wrapText="1"/>
      <protection hidden="1"/>
    </xf>
    <xf numFmtId="0" fontId="40" fillId="0" borderId="4" xfId="0" quotePrefix="1" applyFont="1" applyBorder="1" applyAlignment="1" applyProtection="1">
      <alignment horizontal="left" wrapText="1"/>
      <protection hidden="1"/>
    </xf>
    <xf numFmtId="0" fontId="40" fillId="0" borderId="0" xfId="0" quotePrefix="1" applyFont="1" applyBorder="1" applyAlignment="1" applyProtection="1">
      <alignment horizontal="left" wrapText="1"/>
      <protection hidden="1"/>
    </xf>
    <xf numFmtId="0" fontId="40" fillId="0" borderId="5" xfId="0" quotePrefix="1" applyFont="1" applyBorder="1" applyAlignment="1" applyProtection="1">
      <alignment horizontal="left" wrapText="1"/>
      <protection hidden="1"/>
    </xf>
    <xf numFmtId="0" fontId="40" fillId="0" borderId="6" xfId="0" quotePrefix="1" applyFont="1" applyBorder="1" applyAlignment="1" applyProtection="1">
      <alignment horizontal="left" wrapText="1"/>
      <protection hidden="1"/>
    </xf>
    <xf numFmtId="0" fontId="40" fillId="0" borderId="10" xfId="0" quotePrefix="1" applyFont="1" applyBorder="1" applyAlignment="1" applyProtection="1">
      <alignment horizontal="left" wrapText="1"/>
      <protection hidden="1"/>
    </xf>
    <xf numFmtId="0" fontId="40" fillId="0" borderId="11" xfId="0" quotePrefix="1" applyFont="1" applyBorder="1" applyAlignment="1" applyProtection="1">
      <alignment horizontal="left" wrapText="1"/>
      <protection hidden="1"/>
    </xf>
    <xf numFmtId="0" fontId="40" fillId="6" borderId="22" xfId="0" applyFont="1" applyFill="1" applyBorder="1" applyAlignment="1" applyProtection="1">
      <alignment horizontal="center" vertical="center" wrapText="1"/>
      <protection hidden="1"/>
    </xf>
    <xf numFmtId="0" fontId="40" fillId="6" borderId="12" xfId="0" applyFont="1" applyFill="1" applyBorder="1" applyAlignment="1" applyProtection="1">
      <alignment horizontal="center" vertical="center" wrapText="1"/>
      <protection hidden="1"/>
    </xf>
    <xf numFmtId="172" fontId="72" fillId="0" borderId="8" xfId="24" applyNumberFormat="1" applyFont="1" applyBorder="1" applyAlignment="1" applyProtection="1">
      <alignment horizontal="center" vertical="center" wrapText="1"/>
      <protection hidden="1"/>
    </xf>
    <xf numFmtId="0" fontId="44" fillId="0" borderId="8" xfId="0" applyFont="1" applyBorder="1" applyAlignment="1" applyProtection="1">
      <alignment vertical="top" wrapText="1"/>
      <protection hidden="1"/>
    </xf>
    <xf numFmtId="0" fontId="44" fillId="0" borderId="9" xfId="0" applyFont="1" applyBorder="1" applyAlignment="1" applyProtection="1">
      <alignment vertical="center" wrapText="1"/>
      <protection hidden="1"/>
    </xf>
    <xf numFmtId="0" fontId="44" fillId="0" borderId="22" xfId="0" applyFont="1" applyBorder="1" applyAlignment="1" applyProtection="1">
      <alignment vertical="center" wrapText="1"/>
      <protection hidden="1"/>
    </xf>
    <xf numFmtId="0" fontId="44" fillId="0" borderId="12" xfId="0" applyFont="1" applyBorder="1" applyAlignment="1" applyProtection="1">
      <alignment vertical="center" wrapText="1"/>
      <protection hidden="1"/>
    </xf>
    <xf numFmtId="0" fontId="41" fillId="0" borderId="0" xfId="0" applyFont="1" applyAlignment="1" applyProtection="1">
      <alignment horizontal="left" vertical="top" wrapText="1"/>
      <protection hidden="1"/>
    </xf>
    <xf numFmtId="0" fontId="40" fillId="2" borderId="9" xfId="0" applyFont="1" applyFill="1" applyBorder="1" applyAlignment="1" applyProtection="1">
      <alignment horizontal="center" vertical="center" wrapText="1"/>
      <protection hidden="1"/>
    </xf>
    <xf numFmtId="0" fontId="40" fillId="2" borderId="22" xfId="0" applyFont="1" applyFill="1" applyBorder="1" applyAlignment="1" applyProtection="1">
      <alignment horizontal="center" vertical="center" wrapText="1"/>
      <protection hidden="1"/>
    </xf>
    <xf numFmtId="0" fontId="40" fillId="2" borderId="12" xfId="0" applyFont="1" applyFill="1" applyBorder="1" applyAlignment="1" applyProtection="1">
      <alignment horizontal="center" vertical="center" wrapText="1"/>
      <protection hidden="1"/>
    </xf>
    <xf numFmtId="2" fontId="72" fillId="33" borderId="8" xfId="0" applyNumberFormat="1" applyFont="1" applyFill="1" applyBorder="1" applyAlignment="1" applyProtection="1">
      <alignment horizontal="center" vertical="center"/>
      <protection hidden="1"/>
    </xf>
    <xf numFmtId="9" fontId="41" fillId="0" borderId="13" xfId="24" applyFont="1" applyBorder="1" applyAlignment="1" applyProtection="1">
      <alignment horizontal="center" vertical="center" wrapText="1"/>
      <protection hidden="1"/>
    </xf>
    <xf numFmtId="9" fontId="41" fillId="0" borderId="14" xfId="24" applyFont="1" applyBorder="1" applyAlignment="1" applyProtection="1">
      <alignment horizontal="center" vertical="center" wrapText="1"/>
      <protection hidden="1"/>
    </xf>
    <xf numFmtId="0" fontId="41" fillId="0" borderId="9" xfId="0" applyFont="1" applyFill="1" applyBorder="1" applyAlignment="1" applyProtection="1">
      <alignment horizontal="left"/>
      <protection hidden="1"/>
    </xf>
    <xf numFmtId="9" fontId="41" fillId="0" borderId="15" xfId="24" applyFont="1" applyBorder="1" applyAlignment="1" applyProtection="1">
      <alignment horizontal="center" vertical="center" wrapText="1"/>
      <protection hidden="1"/>
    </xf>
    <xf numFmtId="0" fontId="41" fillId="7" borderId="3" xfId="0" applyFont="1" applyFill="1" applyBorder="1" applyAlignment="1" applyProtection="1">
      <alignment horizontal="center" vertical="center" wrapText="1"/>
      <protection hidden="1"/>
    </xf>
    <xf numFmtId="0" fontId="41" fillId="7" borderId="16" xfId="0" applyFont="1" applyFill="1" applyBorder="1" applyAlignment="1" applyProtection="1">
      <alignment horizontal="center" vertical="center" wrapText="1"/>
      <protection hidden="1"/>
    </xf>
    <xf numFmtId="0" fontId="41" fillId="7" borderId="6" xfId="0" applyFont="1" applyFill="1" applyBorder="1" applyAlignment="1" applyProtection="1">
      <alignment horizontal="center" vertical="center" wrapText="1"/>
      <protection hidden="1"/>
    </xf>
    <xf numFmtId="0" fontId="41" fillId="7" borderId="11" xfId="0" applyFont="1" applyFill="1" applyBorder="1" applyAlignment="1" applyProtection="1">
      <alignment horizontal="center" vertical="center" wrapText="1"/>
      <protection hidden="1"/>
    </xf>
    <xf numFmtId="168" fontId="45" fillId="0" borderId="9" xfId="22" quotePrefix="1" applyFont="1" applyBorder="1" applyAlignment="1" applyProtection="1">
      <alignment horizontal="left" vertical="top" wrapText="1"/>
      <protection hidden="1"/>
    </xf>
    <xf numFmtId="168" fontId="45" fillId="0" borderId="22" xfId="22" quotePrefix="1" applyFont="1" applyBorder="1" applyAlignment="1" applyProtection="1">
      <alignment horizontal="left" vertical="top" wrapText="1"/>
      <protection hidden="1"/>
    </xf>
    <xf numFmtId="168" fontId="45" fillId="0" borderId="12" xfId="22" quotePrefix="1" applyFont="1" applyBorder="1" applyAlignment="1" applyProtection="1">
      <alignment horizontal="left" vertical="top" wrapText="1"/>
      <protection hidden="1"/>
    </xf>
    <xf numFmtId="0" fontId="40" fillId="0" borderId="9" xfId="0" applyFont="1" applyBorder="1" applyAlignment="1" applyProtection="1">
      <alignment horizontal="left" vertical="top" wrapText="1"/>
      <protection hidden="1"/>
    </xf>
    <xf numFmtId="0" fontId="40" fillId="0" borderId="22" xfId="0" applyFont="1" applyBorder="1" applyAlignment="1" applyProtection="1">
      <alignment horizontal="left" vertical="top" wrapText="1"/>
      <protection hidden="1"/>
    </xf>
    <xf numFmtId="0" fontId="40" fillId="0" borderId="12" xfId="0" applyFont="1" applyBorder="1" applyAlignment="1" applyProtection="1">
      <alignment horizontal="left" vertical="top" wrapText="1"/>
      <protection hidden="1"/>
    </xf>
    <xf numFmtId="168" fontId="45" fillId="5" borderId="22" xfId="22" quotePrefix="1" applyFont="1" applyFill="1" applyBorder="1" applyAlignment="1" applyProtection="1">
      <alignment horizontal="left" vertical="top" wrapText="1"/>
      <protection hidden="1"/>
    </xf>
    <xf numFmtId="0" fontId="41" fillId="15" borderId="3" xfId="0" applyFont="1" applyFill="1" applyBorder="1" applyAlignment="1" applyProtection="1">
      <alignment horizontal="center" vertical="center"/>
      <protection hidden="1"/>
    </xf>
    <xf numFmtId="0" fontId="41" fillId="15" borderId="7" xfId="0" applyFont="1" applyFill="1" applyBorder="1" applyAlignment="1" applyProtection="1">
      <alignment horizontal="center" vertical="center"/>
      <protection hidden="1"/>
    </xf>
    <xf numFmtId="0" fontId="41" fillId="15" borderId="6" xfId="0" applyFont="1" applyFill="1" applyBorder="1" applyAlignment="1" applyProtection="1">
      <alignment horizontal="center" vertical="center"/>
      <protection hidden="1"/>
    </xf>
    <xf numFmtId="0" fontId="41" fillId="15" borderId="10" xfId="0" applyFont="1" applyFill="1" applyBorder="1" applyAlignment="1" applyProtection="1">
      <alignment horizontal="center" vertical="center"/>
      <protection hidden="1"/>
    </xf>
    <xf numFmtId="0" fontId="8" fillId="0" borderId="0" xfId="0" applyFont="1" applyAlignment="1" applyProtection="1">
      <alignment horizontal="center" vertical="center"/>
      <protection locked="0"/>
    </xf>
    <xf numFmtId="0" fontId="41" fillId="10" borderId="9" xfId="0" applyFont="1" applyFill="1" applyBorder="1" applyAlignment="1" applyProtection="1">
      <alignment horizontal="left" vertical="center" wrapText="1"/>
      <protection hidden="1"/>
    </xf>
    <xf numFmtId="0" fontId="41" fillId="10" borderId="22" xfId="0" applyFont="1" applyFill="1" applyBorder="1" applyAlignment="1" applyProtection="1">
      <alignment horizontal="left" vertical="center" wrapText="1"/>
      <protection hidden="1"/>
    </xf>
    <xf numFmtId="0" fontId="41" fillId="10" borderId="12" xfId="0" applyFont="1" applyFill="1" applyBorder="1" applyAlignment="1" applyProtection="1">
      <alignment horizontal="left" vertical="center" wrapText="1"/>
      <protection hidden="1"/>
    </xf>
    <xf numFmtId="0" fontId="163" fillId="2" borderId="3" xfId="0" applyFont="1" applyFill="1" applyBorder="1" applyAlignment="1" applyProtection="1">
      <alignment horizontal="left" vertical="top" wrapText="1"/>
      <protection locked="0"/>
    </xf>
    <xf numFmtId="0" fontId="163" fillId="2" borderId="7" xfId="0" applyFont="1" applyFill="1" applyBorder="1" applyAlignment="1" applyProtection="1">
      <alignment horizontal="left" vertical="top" wrapText="1"/>
      <protection locked="0"/>
    </xf>
    <xf numFmtId="0" fontId="163" fillId="2" borderId="16" xfId="0" applyFont="1" applyFill="1" applyBorder="1" applyAlignment="1" applyProtection="1">
      <alignment horizontal="left" vertical="top" wrapText="1"/>
      <protection locked="0"/>
    </xf>
    <xf numFmtId="0" fontId="163" fillId="2" borderId="4" xfId="0" applyFont="1" applyFill="1" applyBorder="1" applyAlignment="1" applyProtection="1">
      <alignment horizontal="left" vertical="top" wrapText="1"/>
      <protection locked="0"/>
    </xf>
    <xf numFmtId="0" fontId="163" fillId="2" borderId="0" xfId="0" applyFont="1" applyFill="1" applyBorder="1" applyAlignment="1" applyProtection="1">
      <alignment horizontal="left" vertical="top" wrapText="1"/>
      <protection locked="0"/>
    </xf>
    <xf numFmtId="0" fontId="163" fillId="2" borderId="5" xfId="0" applyFont="1" applyFill="1" applyBorder="1" applyAlignment="1" applyProtection="1">
      <alignment horizontal="left" vertical="top" wrapText="1"/>
      <protection locked="0"/>
    </xf>
    <xf numFmtId="0" fontId="163" fillId="2" borderId="6" xfId="0" applyFont="1" applyFill="1" applyBorder="1" applyAlignment="1" applyProtection="1">
      <alignment horizontal="left" vertical="top" wrapText="1"/>
      <protection locked="0"/>
    </xf>
    <xf numFmtId="0" fontId="163" fillId="2" borderId="10" xfId="0" applyFont="1" applyFill="1" applyBorder="1" applyAlignment="1" applyProtection="1">
      <alignment horizontal="left" vertical="top" wrapText="1"/>
      <protection locked="0"/>
    </xf>
    <xf numFmtId="0" fontId="163" fillId="2" borderId="11" xfId="0" applyFont="1" applyFill="1" applyBorder="1" applyAlignment="1" applyProtection="1">
      <alignment horizontal="left" vertical="top" wrapText="1"/>
      <protection locked="0"/>
    </xf>
    <xf numFmtId="0" fontId="41" fillId="15" borderId="144" xfId="0" applyFont="1" applyFill="1" applyBorder="1" applyAlignment="1" applyProtection="1">
      <alignment horizontal="center" vertical="center"/>
      <protection locked="0"/>
    </xf>
    <xf numFmtId="0" fontId="41" fillId="0" borderId="0" xfId="0" applyFont="1" applyAlignment="1" applyProtection="1">
      <alignment horizontal="left" wrapText="1"/>
      <protection hidden="1"/>
    </xf>
    <xf numFmtId="0" fontId="72" fillId="0" borderId="8" xfId="0" quotePrefix="1" applyFont="1" applyBorder="1" applyAlignment="1" applyProtection="1">
      <alignment horizontal="center" vertical="center"/>
      <protection hidden="1"/>
    </xf>
    <xf numFmtId="0" fontId="72" fillId="0" borderId="8" xfId="0" applyFont="1" applyBorder="1" applyAlignment="1" applyProtection="1">
      <alignment horizontal="center" vertical="center"/>
      <protection hidden="1"/>
    </xf>
    <xf numFmtId="0" fontId="40" fillId="0" borderId="0" xfId="0" applyFont="1" applyAlignment="1" applyProtection="1">
      <alignment horizontal="left" vertical="top" wrapText="1"/>
      <protection hidden="1"/>
    </xf>
    <xf numFmtId="0" fontId="41" fillId="0" borderId="44" xfId="0" applyFont="1" applyBorder="1" applyAlignment="1" applyProtection="1">
      <alignment horizontal="left" vertical="center"/>
      <protection hidden="1"/>
    </xf>
    <xf numFmtId="178" fontId="72" fillId="0" borderId="9" xfId="0" applyNumberFormat="1" applyFont="1" applyBorder="1" applyAlignment="1" applyProtection="1">
      <alignment horizontal="left" vertical="center"/>
      <protection hidden="1"/>
    </xf>
    <xf numFmtId="178" fontId="72" fillId="0" borderId="22" xfId="0" applyNumberFormat="1" applyFont="1" applyBorder="1" applyAlignment="1" applyProtection="1">
      <alignment horizontal="left" vertical="center"/>
      <protection hidden="1"/>
    </xf>
    <xf numFmtId="178" fontId="72" fillId="0" borderId="12" xfId="0" applyNumberFormat="1" applyFont="1" applyBorder="1" applyAlignment="1" applyProtection="1">
      <alignment horizontal="left" vertical="center"/>
      <protection hidden="1"/>
    </xf>
    <xf numFmtId="0" fontId="72" fillId="0" borderId="9" xfId="0" applyFont="1" applyBorder="1" applyAlignment="1" applyProtection="1">
      <alignment horizontal="left" vertical="center"/>
      <protection hidden="1"/>
    </xf>
    <xf numFmtId="0" fontId="72" fillId="0" borderId="22" xfId="0" applyFont="1" applyBorder="1" applyAlignment="1" applyProtection="1">
      <alignment horizontal="left" vertical="center"/>
      <protection hidden="1"/>
    </xf>
    <xf numFmtId="0" fontId="72" fillId="0" borderId="12" xfId="0" applyFont="1" applyBorder="1" applyAlignment="1" applyProtection="1">
      <alignment horizontal="left" vertical="center"/>
      <protection hidden="1"/>
    </xf>
    <xf numFmtId="0" fontId="72" fillId="0" borderId="12" xfId="0" applyFont="1" applyBorder="1" applyAlignment="1" applyProtection="1">
      <alignment horizontal="center" vertical="center"/>
      <protection hidden="1"/>
    </xf>
    <xf numFmtId="178" fontId="72" fillId="0" borderId="8" xfId="0" quotePrefix="1" applyNumberFormat="1" applyFont="1" applyBorder="1" applyAlignment="1" applyProtection="1">
      <alignment horizontal="center" vertical="center"/>
      <protection hidden="1"/>
    </xf>
    <xf numFmtId="178" fontId="72" fillId="0" borderId="8" xfId="0" applyNumberFormat="1" applyFont="1" applyBorder="1" applyAlignment="1" applyProtection="1">
      <alignment horizontal="center" vertical="center"/>
      <protection hidden="1"/>
    </xf>
    <xf numFmtId="0" fontId="48" fillId="2" borderId="8" xfId="0" applyFont="1" applyFill="1" applyBorder="1" applyAlignment="1" applyProtection="1">
      <alignment horizontal="left" vertical="top" wrapText="1"/>
      <protection locked="0"/>
    </xf>
    <xf numFmtId="0" fontId="41" fillId="0" borderId="0" xfId="0" applyFont="1" applyBorder="1" applyAlignment="1" applyProtection="1">
      <alignment horizontal="left" vertical="top" wrapText="1"/>
      <protection hidden="1"/>
    </xf>
    <xf numFmtId="0" fontId="41" fillId="0" borderId="9" xfId="0" applyFont="1" applyBorder="1" applyAlignment="1" applyProtection="1">
      <alignment horizontal="center"/>
      <protection hidden="1"/>
    </xf>
    <xf numFmtId="0" fontId="41" fillId="0" borderId="22" xfId="0" applyFont="1" applyBorder="1" applyAlignment="1" applyProtection="1">
      <alignment horizontal="center"/>
      <protection hidden="1"/>
    </xf>
    <xf numFmtId="0" fontId="41" fillId="0" borderId="12" xfId="0" applyFont="1" applyBorder="1" applyAlignment="1" applyProtection="1">
      <alignment horizontal="center"/>
      <protection hidden="1"/>
    </xf>
    <xf numFmtId="0" fontId="40" fillId="0" borderId="3" xfId="0" applyFont="1" applyFill="1" applyBorder="1" applyAlignment="1" applyProtection="1">
      <alignment horizontal="center" vertical="center" wrapText="1"/>
      <protection locked="0"/>
    </xf>
    <xf numFmtId="0" fontId="40" fillId="0" borderId="7" xfId="0" applyFont="1" applyFill="1" applyBorder="1" applyAlignment="1" applyProtection="1">
      <alignment horizontal="center" vertical="center" wrapText="1"/>
      <protection locked="0"/>
    </xf>
    <xf numFmtId="0" fontId="40" fillId="0" borderId="16" xfId="0" applyFont="1" applyFill="1" applyBorder="1" applyAlignment="1" applyProtection="1">
      <alignment horizontal="center" vertical="center" wrapText="1"/>
      <protection locked="0"/>
    </xf>
    <xf numFmtId="0" fontId="40" fillId="0" borderId="4" xfId="0" applyFont="1" applyFill="1" applyBorder="1" applyAlignment="1" applyProtection="1">
      <alignment horizontal="center" vertical="center" wrapText="1"/>
      <protection locked="0"/>
    </xf>
    <xf numFmtId="0" fontId="40" fillId="0" borderId="0" xfId="0" applyFont="1" applyFill="1" applyBorder="1" applyAlignment="1" applyProtection="1">
      <alignment horizontal="center" vertical="center" wrapText="1"/>
      <protection locked="0"/>
    </xf>
    <xf numFmtId="0" fontId="40" fillId="0" borderId="5" xfId="0" applyFont="1" applyFill="1" applyBorder="1" applyAlignment="1" applyProtection="1">
      <alignment horizontal="center" vertical="center" wrapText="1"/>
      <protection locked="0"/>
    </xf>
    <xf numFmtId="0" fontId="40" fillId="0" borderId="6" xfId="0" applyFont="1" applyFill="1" applyBorder="1" applyAlignment="1" applyProtection="1">
      <alignment horizontal="center" vertical="center" wrapText="1"/>
      <protection locked="0"/>
    </xf>
    <xf numFmtId="0" fontId="40" fillId="0" borderId="10" xfId="0" applyFont="1" applyFill="1" applyBorder="1" applyAlignment="1" applyProtection="1">
      <alignment horizontal="center" vertical="center" wrapText="1"/>
      <protection locked="0"/>
    </xf>
    <xf numFmtId="0" fontId="40" fillId="0" borderId="11" xfId="0" applyFont="1" applyFill="1" applyBorder="1" applyAlignment="1" applyProtection="1">
      <alignment horizontal="center" vertical="center" wrapText="1"/>
      <protection locked="0"/>
    </xf>
    <xf numFmtId="2" fontId="73" fillId="2" borderId="22" xfId="0" applyNumberFormat="1" applyFont="1" applyFill="1" applyBorder="1" applyAlignment="1" applyProtection="1">
      <alignment horizontal="center" vertical="center"/>
      <protection hidden="1"/>
    </xf>
    <xf numFmtId="0" fontId="42" fillId="0" borderId="13" xfId="0" applyFont="1" applyBorder="1" applyAlignment="1" applyProtection="1">
      <alignment horizontal="center" vertical="center"/>
      <protection locked="0"/>
    </xf>
    <xf numFmtId="0" fontId="42" fillId="0" borderId="14" xfId="0" applyFont="1" applyBorder="1" applyAlignment="1" applyProtection="1">
      <alignment horizontal="center" vertical="center"/>
      <protection locked="0"/>
    </xf>
    <xf numFmtId="0" fontId="48" fillId="0" borderId="13" xfId="0" applyFont="1" applyBorder="1" applyAlignment="1" applyProtection="1">
      <alignment horizontal="center" vertical="center"/>
      <protection locked="0"/>
    </xf>
    <xf numFmtId="0" fontId="48" fillId="0" borderId="14" xfId="0" applyFont="1" applyBorder="1" applyAlignment="1" applyProtection="1">
      <alignment horizontal="center" vertical="center"/>
      <protection locked="0"/>
    </xf>
    <xf numFmtId="0" fontId="40" fillId="0" borderId="16" xfId="0" applyFont="1" applyBorder="1" applyAlignment="1" applyProtection="1">
      <alignment horizontal="center" vertical="center"/>
      <protection locked="0"/>
    </xf>
    <xf numFmtId="0" fontId="40" fillId="0" borderId="11" xfId="0" applyFont="1" applyBorder="1" applyAlignment="1" applyProtection="1">
      <alignment horizontal="center" vertical="center"/>
      <protection locked="0"/>
    </xf>
    <xf numFmtId="0" fontId="40" fillId="0" borderId="3" xfId="0" quotePrefix="1" applyFont="1" applyFill="1" applyBorder="1" applyAlignment="1" applyProtection="1">
      <alignment horizontal="center" vertical="center" wrapText="1"/>
      <protection locked="0"/>
    </xf>
    <xf numFmtId="0" fontId="40" fillId="0" borderId="5" xfId="0" applyFont="1" applyBorder="1" applyAlignment="1" applyProtection="1">
      <alignment horizontal="center" vertical="center"/>
      <protection locked="0"/>
    </xf>
    <xf numFmtId="0" fontId="41" fillId="2" borderId="3" xfId="0" quotePrefix="1" applyFont="1" applyFill="1" applyBorder="1" applyAlignment="1" applyProtection="1">
      <alignment horizontal="left" vertical="top"/>
      <protection locked="0"/>
    </xf>
    <xf numFmtId="0" fontId="41" fillId="2" borderId="7" xfId="0" quotePrefix="1" applyFont="1" applyFill="1" applyBorder="1" applyAlignment="1" applyProtection="1">
      <alignment horizontal="left" vertical="top"/>
      <protection locked="0"/>
    </xf>
    <xf numFmtId="0" fontId="41" fillId="2" borderId="7" xfId="0" applyFont="1" applyFill="1" applyBorder="1" applyAlignment="1" applyProtection="1">
      <alignment horizontal="left" vertical="top"/>
      <protection locked="0"/>
    </xf>
    <xf numFmtId="0" fontId="41" fillId="2" borderId="16" xfId="0" applyFont="1" applyFill="1" applyBorder="1" applyAlignment="1" applyProtection="1">
      <alignment horizontal="left" vertical="top"/>
      <protection locked="0"/>
    </xf>
    <xf numFmtId="0" fontId="41" fillId="2" borderId="4" xfId="0" quotePrefix="1" applyFont="1" applyFill="1" applyBorder="1" applyAlignment="1" applyProtection="1">
      <alignment horizontal="left" vertical="top"/>
      <protection locked="0"/>
    </xf>
    <xf numFmtId="0" fontId="41" fillId="2" borderId="0" xfId="0" quotePrefix="1" applyFont="1" applyFill="1" applyBorder="1" applyAlignment="1" applyProtection="1">
      <alignment horizontal="left" vertical="top"/>
      <protection locked="0"/>
    </xf>
    <xf numFmtId="0" fontId="41" fillId="2" borderId="0" xfId="0" applyFont="1" applyFill="1" applyBorder="1" applyAlignment="1" applyProtection="1">
      <alignment horizontal="left" vertical="top"/>
      <protection locked="0"/>
    </xf>
    <xf numFmtId="0" fontId="41" fillId="2" borderId="5" xfId="0" applyFont="1" applyFill="1" applyBorder="1" applyAlignment="1" applyProtection="1">
      <alignment horizontal="left" vertical="top"/>
      <protection locked="0"/>
    </xf>
    <xf numFmtId="0" fontId="41" fillId="2" borderId="6" xfId="0" applyFont="1" applyFill="1" applyBorder="1" applyAlignment="1" applyProtection="1">
      <alignment horizontal="left" vertical="top"/>
      <protection locked="0"/>
    </xf>
    <xf numFmtId="0" fontId="41" fillId="2" borderId="10" xfId="0" applyFont="1" applyFill="1" applyBorder="1" applyAlignment="1" applyProtection="1">
      <alignment horizontal="left" vertical="top"/>
      <protection locked="0"/>
    </xf>
    <xf numFmtId="0" fontId="41" fillId="2" borderId="11" xfId="0" applyFont="1" applyFill="1" applyBorder="1" applyAlignment="1" applyProtection="1">
      <alignment horizontal="left" vertical="top"/>
      <protection locked="0"/>
    </xf>
    <xf numFmtId="0" fontId="41" fillId="0" borderId="9" xfId="0" applyFont="1" applyBorder="1" applyAlignment="1" applyProtection="1">
      <alignment horizontal="center" vertical="top"/>
      <protection hidden="1"/>
    </xf>
    <xf numFmtId="0" fontId="41" fillId="0" borderId="22" xfId="0" applyFont="1" applyBorder="1" applyAlignment="1" applyProtection="1">
      <alignment horizontal="center" vertical="top"/>
      <protection hidden="1"/>
    </xf>
    <xf numFmtId="0" fontId="41" fillId="0" borderId="12" xfId="0" applyFont="1" applyBorder="1" applyAlignment="1" applyProtection="1">
      <alignment horizontal="center" vertical="top"/>
      <protection hidden="1"/>
    </xf>
    <xf numFmtId="0" fontId="40" fillId="0" borderId="4" xfId="0" applyFont="1" applyBorder="1" applyAlignment="1" applyProtection="1">
      <alignment horizontal="left" vertical="top"/>
      <protection hidden="1"/>
    </xf>
    <xf numFmtId="0" fontId="40" fillId="0" borderId="0" xfId="0" applyFont="1" applyBorder="1" applyAlignment="1" applyProtection="1">
      <alignment horizontal="left" vertical="top"/>
      <protection hidden="1"/>
    </xf>
    <xf numFmtId="0" fontId="40" fillId="0" borderId="5" xfId="0" applyFont="1" applyBorder="1" applyAlignment="1" applyProtection="1">
      <alignment horizontal="left" vertical="top"/>
      <protection hidden="1"/>
    </xf>
    <xf numFmtId="0" fontId="41" fillId="0" borderId="10" xfId="0" applyFont="1" applyBorder="1" applyAlignment="1" applyProtection="1">
      <alignment horizontal="left" vertical="center"/>
      <protection hidden="1"/>
    </xf>
    <xf numFmtId="0" fontId="41" fillId="0" borderId="11" xfId="0" applyFont="1" applyBorder="1" applyAlignment="1" applyProtection="1">
      <alignment horizontal="left" vertical="center"/>
      <protection hidden="1"/>
    </xf>
    <xf numFmtId="0" fontId="40" fillId="0" borderId="8" xfId="0" applyFont="1" applyBorder="1" applyAlignment="1" applyProtection="1">
      <alignment horizontal="left" vertical="center"/>
      <protection hidden="1"/>
    </xf>
    <xf numFmtId="0" fontId="72" fillId="0" borderId="0" xfId="0" applyFont="1" applyAlignment="1" applyProtection="1">
      <alignment horizontal="left" vertical="top" wrapText="1"/>
      <protection hidden="1"/>
    </xf>
    <xf numFmtId="0" fontId="40" fillId="0" borderId="0" xfId="0" applyFont="1" applyAlignment="1" applyProtection="1">
      <alignment horizontal="left" vertical="top" wrapText="1"/>
      <protection locked="0"/>
    </xf>
    <xf numFmtId="0" fontId="40" fillId="0" borderId="0" xfId="0" applyFont="1" applyAlignment="1" applyProtection="1">
      <alignment horizontal="center"/>
      <protection locked="0"/>
    </xf>
    <xf numFmtId="0" fontId="72" fillId="0" borderId="9" xfId="0" applyFont="1" applyBorder="1" applyAlignment="1" applyProtection="1">
      <alignment horizontal="left" vertical="center" wrapText="1"/>
      <protection hidden="1"/>
    </xf>
    <xf numFmtId="0" fontId="72" fillId="0" borderId="22" xfId="0" applyFont="1" applyBorder="1" applyAlignment="1" applyProtection="1">
      <alignment horizontal="left" vertical="center" wrapText="1"/>
      <protection hidden="1"/>
    </xf>
    <xf numFmtId="0" fontId="41" fillId="0" borderId="0" xfId="0" applyFont="1" applyBorder="1" applyAlignment="1" applyProtection="1">
      <alignment horizontal="left"/>
      <protection hidden="1"/>
    </xf>
    <xf numFmtId="0" fontId="41" fillId="0" borderId="9" xfId="0" applyFont="1" applyBorder="1" applyAlignment="1" applyProtection="1">
      <alignment horizontal="center" vertical="top" wrapText="1"/>
      <protection hidden="1"/>
    </xf>
    <xf numFmtId="0" fontId="41" fillId="0" borderId="22" xfId="0" applyFont="1" applyBorder="1" applyAlignment="1" applyProtection="1">
      <alignment horizontal="center" vertical="top" wrapText="1"/>
      <protection hidden="1"/>
    </xf>
    <xf numFmtId="0" fontId="41" fillId="0" borderId="12" xfId="0" applyFont="1" applyBorder="1" applyAlignment="1" applyProtection="1">
      <alignment horizontal="center" vertical="top" wrapText="1"/>
      <protection hidden="1"/>
    </xf>
    <xf numFmtId="0" fontId="40" fillId="14" borderId="6" xfId="0" applyFont="1" applyFill="1" applyBorder="1" applyAlignment="1" applyProtection="1">
      <alignment horizontal="center" vertical="center" wrapText="1"/>
      <protection locked="0"/>
    </xf>
    <xf numFmtId="0" fontId="40" fillId="14" borderId="10" xfId="0" applyFont="1" applyFill="1" applyBorder="1" applyAlignment="1" applyProtection="1">
      <alignment horizontal="center" vertical="center" wrapText="1"/>
      <protection locked="0"/>
    </xf>
    <xf numFmtId="0" fontId="40" fillId="14" borderId="11" xfId="0" applyFont="1" applyFill="1" applyBorder="1" applyAlignment="1" applyProtection="1">
      <alignment horizontal="center" vertical="center" wrapText="1"/>
      <protection locked="0"/>
    </xf>
    <xf numFmtId="0" fontId="41" fillId="12" borderId="42" xfId="0" applyFont="1" applyFill="1" applyBorder="1" applyAlignment="1" applyProtection="1">
      <alignment horizontal="left" vertical="center"/>
      <protection hidden="1"/>
    </xf>
    <xf numFmtId="0" fontId="41" fillId="12" borderId="10" xfId="0" applyFont="1" applyFill="1" applyBorder="1" applyAlignment="1" applyProtection="1">
      <alignment horizontal="left" vertical="center"/>
      <protection hidden="1"/>
    </xf>
    <xf numFmtId="0" fontId="41" fillId="12" borderId="43" xfId="0" applyFont="1" applyFill="1" applyBorder="1" applyAlignment="1" applyProtection="1">
      <alignment horizontal="left" vertical="center"/>
      <protection hidden="1"/>
    </xf>
    <xf numFmtId="0" fontId="41" fillId="0" borderId="0" xfId="0" applyFont="1" applyAlignment="1" applyProtection="1">
      <alignment horizontal="left"/>
      <protection hidden="1"/>
    </xf>
    <xf numFmtId="169" fontId="45" fillId="0" borderId="10" xfId="22" applyNumberFormat="1" applyFont="1" applyFill="1" applyBorder="1" applyAlignment="1" applyProtection="1">
      <alignment horizontal="center" vertical="center"/>
      <protection hidden="1"/>
    </xf>
    <xf numFmtId="166" fontId="41" fillId="8" borderId="9" xfId="2" applyNumberFormat="1" applyFont="1" applyFill="1" applyBorder="1" applyAlignment="1" applyProtection="1">
      <alignment horizontal="center" vertical="center" wrapText="1"/>
      <protection locked="0"/>
    </xf>
    <xf numFmtId="166" fontId="41" fillId="8" borderId="22" xfId="2" applyNumberFormat="1" applyFont="1" applyFill="1" applyBorder="1" applyAlignment="1" applyProtection="1">
      <alignment horizontal="center" vertical="center" wrapText="1"/>
      <protection locked="0"/>
    </xf>
    <xf numFmtId="166" fontId="41" fillId="8" borderId="12" xfId="2" applyNumberFormat="1" applyFont="1" applyFill="1" applyBorder="1" applyAlignment="1" applyProtection="1">
      <alignment horizontal="center" vertical="center" wrapText="1"/>
      <protection locked="0"/>
    </xf>
    <xf numFmtId="166" fontId="40" fillId="0" borderId="7" xfId="2" applyNumberFormat="1" applyFont="1" applyBorder="1" applyAlignment="1" applyProtection="1">
      <alignment horizontal="left" vertical="center" wrapText="1"/>
      <protection hidden="1"/>
    </xf>
    <xf numFmtId="166" fontId="40" fillId="0" borderId="0" xfId="2" applyNumberFormat="1" applyFont="1" applyBorder="1" applyAlignment="1" applyProtection="1">
      <alignment horizontal="left" vertical="center" wrapText="1"/>
      <protection hidden="1"/>
    </xf>
    <xf numFmtId="166" fontId="40" fillId="0" borderId="10" xfId="2" applyNumberFormat="1" applyFont="1" applyBorder="1" applyAlignment="1" applyProtection="1">
      <alignment horizontal="left" vertical="center" wrapText="1"/>
      <protection hidden="1"/>
    </xf>
    <xf numFmtId="0" fontId="73" fillId="2" borderId="8" xfId="0" applyFont="1" applyFill="1" applyBorder="1" applyAlignment="1" applyProtection="1">
      <alignment horizontal="center"/>
      <protection hidden="1"/>
    </xf>
    <xf numFmtId="10" fontId="72" fillId="0" borderId="8" xfId="24" applyNumberFormat="1" applyFont="1" applyBorder="1" applyAlignment="1" applyProtection="1">
      <alignment vertical="center" wrapText="1"/>
      <protection hidden="1"/>
    </xf>
    <xf numFmtId="10" fontId="73" fillId="0" borderId="8" xfId="24" applyNumberFormat="1" applyFont="1" applyBorder="1" applyAlignment="1" applyProtection="1">
      <alignment vertical="center" wrapText="1"/>
      <protection hidden="1"/>
    </xf>
    <xf numFmtId="0" fontId="40" fillId="0" borderId="4" xfId="0" applyFont="1" applyBorder="1" applyAlignment="1" applyProtection="1">
      <alignment horizontal="left" vertical="top" wrapText="1"/>
      <protection locked="0"/>
    </xf>
    <xf numFmtId="0" fontId="40" fillId="0" borderId="0" xfId="0" applyFont="1" applyBorder="1" applyAlignment="1" applyProtection="1">
      <alignment horizontal="left" vertical="top" wrapText="1"/>
      <protection locked="0"/>
    </xf>
    <xf numFmtId="0" fontId="40" fillId="0" borderId="5" xfId="0" applyFont="1" applyBorder="1" applyAlignment="1" applyProtection="1">
      <alignment horizontal="left" vertical="top" wrapText="1"/>
      <protection locked="0"/>
    </xf>
    <xf numFmtId="0" fontId="40" fillId="0" borderId="6" xfId="0" applyFont="1" applyBorder="1" applyAlignment="1" applyProtection="1">
      <alignment horizontal="left" vertical="top" wrapText="1"/>
      <protection locked="0"/>
    </xf>
    <xf numFmtId="0" fontId="40" fillId="0" borderId="10" xfId="0" applyFont="1" applyBorder="1" applyAlignment="1" applyProtection="1">
      <alignment horizontal="left" vertical="top" wrapText="1"/>
      <protection locked="0"/>
    </xf>
    <xf numFmtId="0" fontId="40" fillId="0" borderId="11" xfId="0" applyFont="1" applyBorder="1" applyAlignment="1" applyProtection="1">
      <alignment horizontal="left" vertical="top" wrapText="1"/>
      <protection locked="0"/>
    </xf>
    <xf numFmtId="0" fontId="41" fillId="2" borderId="3" xfId="0" applyFont="1" applyFill="1" applyBorder="1" applyAlignment="1" applyProtection="1">
      <alignment horizontal="left"/>
      <protection hidden="1"/>
    </xf>
    <xf numFmtId="0" fontId="41" fillId="2" borderId="7" xfId="0" applyFont="1" applyFill="1" applyBorder="1" applyAlignment="1" applyProtection="1">
      <alignment horizontal="left"/>
      <protection hidden="1"/>
    </xf>
    <xf numFmtId="0" fontId="41" fillId="2" borderId="16" xfId="0" applyFont="1" applyFill="1" applyBorder="1" applyAlignment="1" applyProtection="1">
      <alignment horizontal="left"/>
      <protection hidden="1"/>
    </xf>
    <xf numFmtId="0" fontId="41" fillId="2" borderId="4" xfId="0" applyFont="1" applyFill="1" applyBorder="1" applyAlignment="1" applyProtection="1">
      <alignment horizontal="left"/>
      <protection hidden="1"/>
    </xf>
    <xf numFmtId="0" fontId="41" fillId="2" borderId="0" xfId="0" applyFont="1" applyFill="1" applyBorder="1" applyAlignment="1" applyProtection="1">
      <alignment horizontal="left"/>
      <protection hidden="1"/>
    </xf>
    <xf numFmtId="0" fontId="41" fillId="2" borderId="5" xfId="0" applyFont="1" applyFill="1" applyBorder="1" applyAlignment="1" applyProtection="1">
      <alignment horizontal="left"/>
      <protection hidden="1"/>
    </xf>
    <xf numFmtId="2" fontId="72" fillId="2" borderId="8" xfId="0" applyNumberFormat="1" applyFont="1" applyFill="1" applyBorder="1" applyAlignment="1" applyProtection="1">
      <alignment horizontal="center"/>
      <protection hidden="1"/>
    </xf>
    <xf numFmtId="2" fontId="73" fillId="2" borderId="8" xfId="2" applyNumberFormat="1" applyFont="1" applyFill="1" applyBorder="1" applyAlignment="1" applyProtection="1">
      <alignment horizontal="center" vertical="center"/>
      <protection hidden="1"/>
    </xf>
    <xf numFmtId="0" fontId="41" fillId="6" borderId="0" xfId="0" applyFont="1" applyFill="1" applyBorder="1" applyAlignment="1" applyProtection="1">
      <alignment horizontal="center"/>
      <protection locked="0"/>
    </xf>
    <xf numFmtId="0" fontId="41" fillId="6" borderId="5" xfId="0" applyFont="1" applyFill="1" applyBorder="1" applyAlignment="1" applyProtection="1">
      <alignment horizontal="center"/>
      <protection locked="0"/>
    </xf>
    <xf numFmtId="2" fontId="73" fillId="2" borderId="8" xfId="2" applyNumberFormat="1" applyFont="1" applyFill="1" applyBorder="1" applyAlignment="1" applyProtection="1">
      <alignment horizontal="center" vertical="center" wrapText="1"/>
      <protection hidden="1"/>
    </xf>
    <xf numFmtId="0" fontId="63" fillId="0" borderId="9" xfId="0" applyFont="1" applyBorder="1" applyAlignment="1" applyProtection="1">
      <alignment horizontal="left" vertical="top" wrapText="1"/>
      <protection locked="0"/>
    </xf>
    <xf numFmtId="0" fontId="63" fillId="0" borderId="22" xfId="0" applyFont="1" applyBorder="1" applyAlignment="1" applyProtection="1">
      <alignment horizontal="left" vertical="top" wrapText="1"/>
      <protection locked="0"/>
    </xf>
    <xf numFmtId="0" fontId="63" fillId="0" borderId="12" xfId="0" applyFont="1" applyBorder="1" applyAlignment="1" applyProtection="1">
      <alignment horizontal="left" vertical="top" wrapText="1"/>
      <protection locked="0"/>
    </xf>
    <xf numFmtId="0" fontId="41" fillId="2" borderId="3" xfId="0" applyFont="1" applyFill="1" applyBorder="1" applyAlignment="1" applyProtection="1">
      <alignment horizontal="left" vertical="top"/>
      <protection locked="0"/>
    </xf>
    <xf numFmtId="0" fontId="41" fillId="2" borderId="4" xfId="0" applyFont="1" applyFill="1" applyBorder="1" applyAlignment="1" applyProtection="1">
      <alignment horizontal="left" vertical="top"/>
      <protection locked="0"/>
    </xf>
    <xf numFmtId="0" fontId="40" fillId="0" borderId="7" xfId="0" quotePrefix="1" applyFont="1" applyFill="1" applyBorder="1" applyAlignment="1" applyProtection="1">
      <alignment horizontal="center" vertical="center" wrapText="1"/>
      <protection locked="0"/>
    </xf>
    <xf numFmtId="0" fontId="40" fillId="0" borderId="16" xfId="0" quotePrefix="1" applyFont="1" applyFill="1" applyBorder="1" applyAlignment="1" applyProtection="1">
      <alignment horizontal="center" vertical="center" wrapText="1"/>
      <protection locked="0"/>
    </xf>
    <xf numFmtId="0" fontId="40" fillId="0" borderId="4" xfId="0" quotePrefix="1" applyFont="1" applyFill="1" applyBorder="1" applyAlignment="1" applyProtection="1">
      <alignment horizontal="center" vertical="center" wrapText="1"/>
      <protection locked="0"/>
    </xf>
    <xf numFmtId="0" fontId="40" fillId="0" borderId="0" xfId="0" quotePrefix="1" applyFont="1" applyFill="1" applyBorder="1" applyAlignment="1" applyProtection="1">
      <alignment horizontal="center" vertical="center" wrapText="1"/>
      <protection locked="0"/>
    </xf>
    <xf numFmtId="0" fontId="40" fillId="0" borderId="5" xfId="0" quotePrefix="1" applyFont="1" applyFill="1" applyBorder="1" applyAlignment="1" applyProtection="1">
      <alignment horizontal="center" vertical="center" wrapText="1"/>
      <protection locked="0"/>
    </xf>
    <xf numFmtId="0" fontId="40" fillId="0" borderId="10" xfId="0" applyFont="1" applyBorder="1" applyAlignment="1" applyProtection="1">
      <alignment horizontal="center" vertical="top" wrapText="1"/>
      <protection hidden="1"/>
    </xf>
    <xf numFmtId="0" fontId="39" fillId="4" borderId="50" xfId="0" applyFont="1" applyFill="1" applyBorder="1" applyAlignment="1" applyProtection="1">
      <alignment horizontal="center" vertical="center" wrapText="1"/>
      <protection hidden="1"/>
    </xf>
    <xf numFmtId="0" fontId="39" fillId="4" borderId="52" xfId="0" applyFont="1" applyFill="1" applyBorder="1" applyAlignment="1" applyProtection="1">
      <alignment horizontal="center" vertical="center" wrapText="1"/>
      <protection hidden="1"/>
    </xf>
    <xf numFmtId="0" fontId="39" fillId="4" borderId="65" xfId="0" applyFont="1" applyFill="1" applyBorder="1" applyAlignment="1" applyProtection="1">
      <alignment horizontal="center" vertical="center" wrapText="1"/>
      <protection hidden="1"/>
    </xf>
    <xf numFmtId="0" fontId="39" fillId="4" borderId="67" xfId="0" applyFont="1" applyFill="1" applyBorder="1" applyAlignment="1" applyProtection="1">
      <alignment horizontal="center" vertical="top" wrapText="1"/>
      <protection hidden="1"/>
    </xf>
    <xf numFmtId="0" fontId="39" fillId="4" borderId="64" xfId="0" applyFont="1" applyFill="1" applyBorder="1" applyAlignment="1" applyProtection="1">
      <alignment horizontal="center" vertical="top" wrapText="1"/>
      <protection hidden="1"/>
    </xf>
    <xf numFmtId="0" fontId="39" fillId="4" borderId="68" xfId="0" applyFont="1" applyFill="1" applyBorder="1" applyAlignment="1" applyProtection="1">
      <alignment horizontal="center" vertical="top" wrapText="1"/>
      <protection hidden="1"/>
    </xf>
    <xf numFmtId="0" fontId="40" fillId="0" borderId="3" xfId="0" applyFont="1" applyBorder="1" applyAlignment="1" applyProtection="1">
      <alignment horizontal="center" vertical="top" wrapText="1"/>
      <protection locked="0"/>
    </xf>
    <xf numFmtId="0" fontId="40" fillId="0" borderId="7" xfId="0" applyFont="1" applyBorder="1" applyAlignment="1" applyProtection="1">
      <alignment horizontal="center" vertical="top" wrapText="1"/>
      <protection locked="0"/>
    </xf>
    <xf numFmtId="0" fontId="40" fillId="0" borderId="4" xfId="0" applyFont="1" applyBorder="1" applyAlignment="1" applyProtection="1">
      <alignment horizontal="center" vertical="top" wrapText="1"/>
      <protection locked="0"/>
    </xf>
    <xf numFmtId="0" fontId="40" fillId="0" borderId="6" xfId="0" applyFont="1" applyBorder="1" applyAlignment="1" applyProtection="1">
      <alignment horizontal="center" vertical="top" wrapText="1"/>
      <protection locked="0"/>
    </xf>
    <xf numFmtId="0" fontId="40" fillId="0" borderId="10" xfId="0" applyFont="1" applyBorder="1" applyAlignment="1" applyProtection="1">
      <alignment horizontal="center" vertical="top" wrapText="1"/>
      <protection locked="0"/>
    </xf>
    <xf numFmtId="0" fontId="41" fillId="0" borderId="8" xfId="0" applyFont="1" applyBorder="1" applyAlignment="1" applyProtection="1">
      <alignment horizontal="center" vertical="top" wrapText="1"/>
      <protection hidden="1"/>
    </xf>
    <xf numFmtId="0" fontId="40" fillId="0" borderId="16" xfId="0" applyFont="1" applyBorder="1" applyAlignment="1" applyProtection="1">
      <alignment horizontal="center" vertical="top" wrapText="1"/>
      <protection locked="0"/>
    </xf>
    <xf numFmtId="0" fontId="72" fillId="0" borderId="3" xfId="0" applyFont="1" applyBorder="1" applyAlignment="1" applyProtection="1">
      <alignment horizontal="left" vertical="center" wrapText="1"/>
      <protection hidden="1"/>
    </xf>
    <xf numFmtId="0" fontId="72" fillId="0" borderId="7" xfId="0" applyFont="1" applyBorder="1" applyAlignment="1" applyProtection="1">
      <alignment horizontal="left" vertical="center" wrapText="1"/>
      <protection hidden="1"/>
    </xf>
    <xf numFmtId="0" fontId="72" fillId="0" borderId="16" xfId="0" applyFont="1" applyBorder="1" applyAlignment="1" applyProtection="1">
      <alignment horizontal="left" vertical="center" wrapText="1"/>
      <protection hidden="1"/>
    </xf>
    <xf numFmtId="0" fontId="72" fillId="0" borderId="6" xfId="0" applyFont="1" applyBorder="1" applyAlignment="1" applyProtection="1">
      <alignment horizontal="left" vertical="center" wrapText="1"/>
      <protection hidden="1"/>
    </xf>
    <xf numFmtId="0" fontId="72" fillId="0" borderId="10" xfId="0" applyFont="1" applyBorder="1" applyAlignment="1" applyProtection="1">
      <alignment horizontal="left" vertical="center" wrapText="1"/>
      <protection hidden="1"/>
    </xf>
    <xf numFmtId="0" fontId="72" fillId="0" borderId="11" xfId="0" applyFont="1" applyBorder="1" applyAlignment="1" applyProtection="1">
      <alignment horizontal="left" vertical="center" wrapText="1"/>
      <protection hidden="1"/>
    </xf>
    <xf numFmtId="0" fontId="41" fillId="0" borderId="13" xfId="0" applyFont="1" applyBorder="1" applyAlignment="1" applyProtection="1">
      <alignment horizontal="center" vertical="top" wrapText="1"/>
      <protection hidden="1"/>
    </xf>
    <xf numFmtId="0" fontId="41" fillId="2" borderId="3" xfId="0" quotePrefix="1" applyFont="1" applyFill="1" applyBorder="1" applyAlignment="1" applyProtection="1">
      <alignment horizontal="left" vertical="top" wrapText="1"/>
      <protection locked="0"/>
    </xf>
    <xf numFmtId="0" fontId="41" fillId="2" borderId="7" xfId="0" quotePrefix="1" applyFont="1" applyFill="1" applyBorder="1" applyAlignment="1" applyProtection="1">
      <alignment horizontal="left" vertical="top" wrapText="1"/>
      <protection locked="0"/>
    </xf>
    <xf numFmtId="0" fontId="41" fillId="2" borderId="4" xfId="0" quotePrefix="1" applyFont="1" applyFill="1" applyBorder="1" applyAlignment="1" applyProtection="1">
      <alignment horizontal="left" vertical="top" wrapText="1"/>
      <protection locked="0"/>
    </xf>
    <xf numFmtId="0" fontId="41" fillId="2" borderId="0" xfId="0" quotePrefix="1" applyFont="1" applyFill="1" applyBorder="1" applyAlignment="1" applyProtection="1">
      <alignment horizontal="left" vertical="top" wrapText="1"/>
      <protection locked="0"/>
    </xf>
    <xf numFmtId="0" fontId="41" fillId="0" borderId="7" xfId="0" applyFont="1" applyBorder="1" applyAlignment="1" applyProtection="1">
      <alignment horizontal="center" vertical="top" wrapText="1"/>
      <protection hidden="1"/>
    </xf>
    <xf numFmtId="0" fontId="40" fillId="0" borderId="0" xfId="0" applyFont="1" applyBorder="1" applyAlignment="1" applyProtection="1">
      <alignment horizontal="center" vertical="top" wrapText="1"/>
      <protection hidden="1"/>
    </xf>
    <xf numFmtId="0" fontId="41" fillId="5" borderId="55" xfId="0" applyFont="1" applyFill="1" applyBorder="1" applyAlignment="1" applyProtection="1">
      <alignment horizontal="left" vertical="center"/>
      <protection hidden="1"/>
    </xf>
    <xf numFmtId="0" fontId="41" fillId="5" borderId="56" xfId="0" applyFont="1" applyFill="1" applyBorder="1" applyAlignment="1" applyProtection="1">
      <alignment horizontal="left" vertical="center"/>
      <protection hidden="1"/>
    </xf>
    <xf numFmtId="0" fontId="41" fillId="5" borderId="69" xfId="0" applyFont="1" applyFill="1" applyBorder="1" applyAlignment="1" applyProtection="1">
      <alignment horizontal="left" vertical="center"/>
      <protection hidden="1"/>
    </xf>
    <xf numFmtId="0" fontId="40" fillId="0" borderId="9" xfId="0" applyFont="1" applyBorder="1" applyAlignment="1" applyProtection="1">
      <alignment horizontal="center"/>
      <protection hidden="1"/>
    </xf>
    <xf numFmtId="0" fontId="40" fillId="0" borderId="22" xfId="0" applyFont="1" applyBorder="1" applyAlignment="1" applyProtection="1">
      <alignment horizontal="center"/>
      <protection hidden="1"/>
    </xf>
    <xf numFmtId="0" fontId="40" fillId="0" borderId="12" xfId="0" applyFont="1" applyBorder="1" applyAlignment="1" applyProtection="1">
      <alignment horizontal="center"/>
      <protection hidden="1"/>
    </xf>
    <xf numFmtId="0" fontId="40" fillId="0" borderId="13" xfId="0" applyFont="1" applyFill="1" applyBorder="1" applyAlignment="1" applyProtection="1">
      <alignment horizontal="left" vertical="center" wrapText="1"/>
      <protection hidden="1"/>
    </xf>
    <xf numFmtId="0" fontId="51" fillId="0" borderId="10" xfId="0" applyFont="1" applyBorder="1" applyAlignment="1" applyProtection="1">
      <alignment horizontal="left" vertical="top" wrapText="1"/>
      <protection hidden="1"/>
    </xf>
    <xf numFmtId="0" fontId="41" fillId="15" borderId="3" xfId="0" applyFont="1" applyFill="1" applyBorder="1" applyAlignment="1" applyProtection="1">
      <alignment horizontal="center" vertical="center" wrapText="1"/>
      <protection hidden="1"/>
    </xf>
    <xf numFmtId="0" fontId="41" fillId="15" borderId="7" xfId="0" applyFont="1" applyFill="1" applyBorder="1" applyAlignment="1" applyProtection="1">
      <alignment horizontal="center" vertical="center" wrapText="1"/>
      <protection hidden="1"/>
    </xf>
    <xf numFmtId="0" fontId="41" fillId="15" borderId="16" xfId="0" applyFont="1" applyFill="1" applyBorder="1" applyAlignment="1" applyProtection="1">
      <alignment horizontal="center" vertical="center" wrapText="1"/>
      <protection hidden="1"/>
    </xf>
    <xf numFmtId="10" fontId="72" fillId="0" borderId="8" xfId="0" applyNumberFormat="1" applyFont="1" applyBorder="1" applyAlignment="1" applyProtection="1">
      <alignment horizontal="center" vertical="center" wrapText="1"/>
      <protection hidden="1"/>
    </xf>
    <xf numFmtId="165" fontId="43" fillId="0" borderId="9" xfId="1" applyFont="1" applyBorder="1" applyAlignment="1" applyProtection="1">
      <alignment horizontal="center" vertical="center" wrapText="1"/>
      <protection hidden="1"/>
    </xf>
    <xf numFmtId="165" fontId="43" fillId="0" borderId="12" xfId="1" applyFont="1" applyBorder="1" applyAlignment="1" applyProtection="1">
      <alignment horizontal="center" vertical="center" wrapText="1"/>
      <protection hidden="1"/>
    </xf>
    <xf numFmtId="9" fontId="41" fillId="5" borderId="13" xfId="24" applyFont="1" applyFill="1" applyBorder="1" applyAlignment="1" applyProtection="1">
      <alignment horizontal="center" vertical="center" wrapText="1"/>
      <protection hidden="1"/>
    </xf>
    <xf numFmtId="9" fontId="41" fillId="5" borderId="14" xfId="24" applyFont="1" applyFill="1" applyBorder="1" applyAlignment="1" applyProtection="1">
      <alignment horizontal="center" vertical="center" wrapText="1"/>
      <protection hidden="1"/>
    </xf>
    <xf numFmtId="9" fontId="41" fillId="5" borderId="15" xfId="24" applyFont="1" applyFill="1" applyBorder="1" applyAlignment="1" applyProtection="1">
      <alignment horizontal="center" vertical="center" wrapText="1"/>
      <protection hidden="1"/>
    </xf>
    <xf numFmtId="0" fontId="41" fillId="0" borderId="3" xfId="0" applyFont="1" applyFill="1" applyBorder="1" applyAlignment="1" applyProtection="1">
      <alignment horizontal="center" vertical="center" wrapText="1"/>
      <protection hidden="1"/>
    </xf>
    <xf numFmtId="0" fontId="41" fillId="0" borderId="7" xfId="0" applyFont="1" applyFill="1" applyBorder="1" applyAlignment="1" applyProtection="1">
      <alignment horizontal="center" vertical="center" wrapText="1"/>
      <protection hidden="1"/>
    </xf>
    <xf numFmtId="0" fontId="41" fillId="0" borderId="16" xfId="0" applyFont="1" applyFill="1" applyBorder="1" applyAlignment="1" applyProtection="1">
      <alignment horizontal="center" vertical="center" wrapText="1"/>
      <protection hidden="1"/>
    </xf>
    <xf numFmtId="0" fontId="41" fillId="0" borderId="6" xfId="0" applyFont="1" applyFill="1" applyBorder="1" applyAlignment="1" applyProtection="1">
      <alignment horizontal="center" vertical="center" wrapText="1"/>
      <protection hidden="1"/>
    </xf>
    <xf numFmtId="0" fontId="41" fillId="0" borderId="10" xfId="0" applyFont="1" applyFill="1" applyBorder="1" applyAlignment="1" applyProtection="1">
      <alignment horizontal="center" vertical="center" wrapText="1"/>
      <protection hidden="1"/>
    </xf>
    <xf numFmtId="0" fontId="41" fillId="0" borderId="11" xfId="0" applyFont="1" applyFill="1" applyBorder="1" applyAlignment="1" applyProtection="1">
      <alignment horizontal="center" vertical="center" wrapText="1"/>
      <protection hidden="1"/>
    </xf>
    <xf numFmtId="0" fontId="171" fillId="33" borderId="3" xfId="0" applyFont="1" applyFill="1" applyBorder="1" applyAlignment="1" applyProtection="1">
      <alignment horizontal="left" vertical="top" wrapText="1"/>
      <protection locked="0"/>
    </xf>
    <xf numFmtId="0" fontId="171" fillId="33" borderId="7" xfId="0" applyFont="1" applyFill="1" applyBorder="1" applyAlignment="1" applyProtection="1">
      <alignment horizontal="left" vertical="top" wrapText="1"/>
      <protection locked="0"/>
    </xf>
    <xf numFmtId="0" fontId="171" fillId="33" borderId="16" xfId="0" applyFont="1" applyFill="1" applyBorder="1" applyAlignment="1" applyProtection="1">
      <alignment horizontal="left" vertical="top" wrapText="1"/>
      <protection locked="0"/>
    </xf>
    <xf numFmtId="0" fontId="171" fillId="33" borderId="4" xfId="0" applyFont="1" applyFill="1" applyBorder="1" applyAlignment="1" applyProtection="1">
      <alignment horizontal="left" vertical="top" wrapText="1"/>
      <protection locked="0"/>
    </xf>
    <xf numFmtId="0" fontId="171" fillId="33" borderId="0" xfId="0" applyFont="1" applyFill="1" applyBorder="1" applyAlignment="1" applyProtection="1">
      <alignment horizontal="left" vertical="top" wrapText="1"/>
      <protection locked="0"/>
    </xf>
    <xf numFmtId="0" fontId="171" fillId="33" borderId="5" xfId="0" applyFont="1" applyFill="1" applyBorder="1" applyAlignment="1" applyProtection="1">
      <alignment horizontal="left" vertical="top" wrapText="1"/>
      <protection locked="0"/>
    </xf>
    <xf numFmtId="0" fontId="171" fillId="33" borderId="6" xfId="0" applyFont="1" applyFill="1" applyBorder="1" applyAlignment="1" applyProtection="1">
      <alignment horizontal="left" vertical="top" wrapText="1"/>
      <protection locked="0"/>
    </xf>
    <xf numFmtId="0" fontId="171" fillId="33" borderId="10" xfId="0" applyFont="1" applyFill="1" applyBorder="1" applyAlignment="1" applyProtection="1">
      <alignment horizontal="left" vertical="top" wrapText="1"/>
      <protection locked="0"/>
    </xf>
    <xf numFmtId="0" fontId="171" fillId="33" borderId="11" xfId="0" applyFont="1" applyFill="1" applyBorder="1" applyAlignment="1" applyProtection="1">
      <alignment horizontal="left" vertical="top" wrapText="1"/>
      <protection locked="0"/>
    </xf>
    <xf numFmtId="165" fontId="41" fillId="33" borderId="3" xfId="1" applyFont="1" applyFill="1" applyBorder="1" applyAlignment="1" applyProtection="1">
      <alignment horizontal="center" vertical="center" wrapText="1"/>
      <protection hidden="1"/>
    </xf>
    <xf numFmtId="165" fontId="40" fillId="33" borderId="16" xfId="1" applyFont="1" applyFill="1" applyBorder="1" applyAlignment="1" applyProtection="1">
      <alignment horizontal="center" vertical="center" wrapText="1"/>
      <protection hidden="1"/>
    </xf>
    <xf numFmtId="165" fontId="40" fillId="33" borderId="6" xfId="1" applyFont="1" applyFill="1" applyBorder="1" applyAlignment="1" applyProtection="1">
      <alignment horizontal="center" vertical="center" wrapText="1"/>
      <protection hidden="1"/>
    </xf>
    <xf numFmtId="165" fontId="40" fillId="33" borderId="11" xfId="1" applyFont="1" applyFill="1" applyBorder="1" applyAlignment="1" applyProtection="1">
      <alignment horizontal="center" vertical="center" wrapText="1"/>
      <protection hidden="1"/>
    </xf>
    <xf numFmtId="164" fontId="41" fillId="33" borderId="9" xfId="0" applyNumberFormat="1" applyFont="1" applyFill="1" applyBorder="1" applyAlignment="1" applyProtection="1">
      <alignment horizontal="center" vertical="center" wrapText="1"/>
      <protection hidden="1"/>
    </xf>
    <xf numFmtId="164" fontId="40" fillId="33" borderId="12" xfId="0" applyNumberFormat="1" applyFont="1" applyFill="1" applyBorder="1" applyAlignment="1" applyProtection="1">
      <alignment horizontal="center" vertical="center" wrapText="1"/>
      <protection hidden="1"/>
    </xf>
    <xf numFmtId="0" fontId="41" fillId="0" borderId="8" xfId="0" applyFont="1" applyFill="1" applyBorder="1" applyAlignment="1" applyProtection="1">
      <alignment horizontal="center" vertical="center" wrapText="1"/>
      <protection hidden="1"/>
    </xf>
    <xf numFmtId="0" fontId="41" fillId="0" borderId="9" xfId="0" applyFont="1" applyFill="1" applyBorder="1" applyAlignment="1" applyProtection="1">
      <alignment horizontal="center" vertical="center" wrapText="1"/>
      <protection hidden="1"/>
    </xf>
    <xf numFmtId="170" fontId="45" fillId="0" borderId="22" xfId="2" applyNumberFormat="1" applyFont="1" applyBorder="1" applyAlignment="1" applyProtection="1">
      <alignment horizontal="center" vertical="center"/>
      <protection hidden="1"/>
    </xf>
    <xf numFmtId="170" fontId="72" fillId="0" borderId="22" xfId="0" applyNumberFormat="1" applyFont="1" applyBorder="1" applyAlignment="1" applyProtection="1">
      <alignment horizontal="center"/>
      <protection hidden="1"/>
    </xf>
    <xf numFmtId="164" fontId="45" fillId="0" borderId="22" xfId="2" applyFont="1" applyBorder="1" applyAlignment="1" applyProtection="1">
      <alignment horizontal="center" vertical="center"/>
      <protection hidden="1"/>
    </xf>
    <xf numFmtId="0" fontId="6" fillId="0" borderId="0" xfId="0" applyFont="1" applyBorder="1" applyAlignment="1" applyProtection="1">
      <alignment horizontal="center" vertical="center"/>
      <protection locked="0" hidden="1"/>
    </xf>
    <xf numFmtId="0" fontId="41" fillId="0" borderId="13" xfId="0" applyFont="1" applyBorder="1" applyAlignment="1" applyProtection="1">
      <alignment horizontal="center" vertical="center" wrapText="1"/>
      <protection hidden="1"/>
    </xf>
    <xf numFmtId="0" fontId="41" fillId="0" borderId="15" xfId="0" applyFont="1" applyBorder="1" applyAlignment="1" applyProtection="1">
      <alignment horizontal="center" vertical="center" wrapText="1"/>
      <protection hidden="1"/>
    </xf>
    <xf numFmtId="0" fontId="40" fillId="0" borderId="0" xfId="0" applyFont="1" applyAlignment="1" applyProtection="1">
      <alignment horizontal="center" vertical="top" wrapText="1"/>
      <protection locked="0"/>
    </xf>
    <xf numFmtId="0" fontId="72" fillId="0" borderId="8" xfId="0" applyFont="1" applyBorder="1" applyAlignment="1" applyProtection="1">
      <alignment vertical="center" wrapText="1"/>
      <protection hidden="1"/>
    </xf>
    <xf numFmtId="0" fontId="40" fillId="0" borderId="0" xfId="0" applyFont="1" applyAlignment="1" applyProtection="1">
      <alignment horizontal="left"/>
      <protection locked="0"/>
    </xf>
    <xf numFmtId="178" fontId="73" fillId="0" borderId="9" xfId="1" applyNumberFormat="1" applyFont="1" applyBorder="1" applyAlignment="1" applyProtection="1">
      <alignment vertical="center" wrapText="1"/>
      <protection hidden="1"/>
    </xf>
    <xf numFmtId="178" fontId="73" fillId="0" borderId="22" xfId="1" applyNumberFormat="1" applyFont="1" applyBorder="1" applyAlignment="1" applyProtection="1">
      <alignment vertical="center" wrapText="1"/>
      <protection hidden="1"/>
    </xf>
    <xf numFmtId="195" fontId="72" fillId="0" borderId="0" xfId="0" applyNumberFormat="1" applyFont="1" applyAlignment="1" applyProtection="1">
      <alignment horizontal="left" vertical="top" wrapText="1"/>
      <protection hidden="1"/>
    </xf>
    <xf numFmtId="0" fontId="45" fillId="0" borderId="0" xfId="0" applyFont="1" applyAlignment="1" applyProtection="1">
      <alignment horizontal="left" vertical="top" wrapText="1"/>
      <protection locked="0"/>
    </xf>
    <xf numFmtId="0" fontId="41" fillId="15" borderId="127" xfId="0" applyFont="1" applyFill="1" applyBorder="1" applyAlignment="1" applyProtection="1">
      <alignment horizontal="center" vertical="center" wrapText="1"/>
      <protection hidden="1"/>
    </xf>
    <xf numFmtId="0" fontId="41" fillId="0" borderId="4" xfId="0" applyFont="1" applyBorder="1" applyAlignment="1" applyProtection="1">
      <alignment horizontal="center" vertical="center" wrapText="1"/>
      <protection locked="0"/>
    </xf>
    <xf numFmtId="0" fontId="41" fillId="0" borderId="5" xfId="0" applyFont="1" applyBorder="1" applyAlignment="1" applyProtection="1">
      <alignment horizontal="center" vertical="center" wrapText="1"/>
      <protection locked="0"/>
    </xf>
    <xf numFmtId="0" fontId="41" fillId="0" borderId="4" xfId="0" quotePrefix="1" applyFont="1" applyBorder="1" applyAlignment="1" applyProtection="1">
      <alignment horizontal="center" vertical="top" wrapText="1"/>
      <protection locked="0"/>
    </xf>
    <xf numFmtId="0" fontId="41" fillId="0" borderId="5" xfId="0" applyFont="1" applyBorder="1" applyAlignment="1" applyProtection="1">
      <alignment horizontal="center" vertical="top" wrapText="1"/>
      <protection locked="0"/>
    </xf>
    <xf numFmtId="0" fontId="40" fillId="0" borderId="9" xfId="0" applyFont="1" applyBorder="1" applyAlignment="1" applyProtection="1">
      <alignment horizontal="center" vertical="top" wrapText="1"/>
      <protection locked="0"/>
    </xf>
    <xf numFmtId="0" fontId="40" fillId="0" borderId="12" xfId="0" applyFont="1" applyBorder="1" applyAlignment="1" applyProtection="1">
      <alignment horizontal="center" vertical="top" wrapText="1"/>
      <protection locked="0"/>
    </xf>
    <xf numFmtId="164" fontId="61" fillId="0" borderId="9" xfId="0" applyNumberFormat="1" applyFont="1" applyBorder="1" applyAlignment="1" applyProtection="1">
      <alignment horizontal="center" vertical="center" wrapText="1"/>
      <protection locked="0"/>
    </xf>
    <xf numFmtId="164" fontId="61" fillId="0" borderId="12" xfId="0" applyNumberFormat="1" applyFont="1" applyBorder="1" applyAlignment="1" applyProtection="1">
      <alignment horizontal="center" vertical="center" wrapText="1"/>
      <protection locked="0"/>
    </xf>
    <xf numFmtId="0" fontId="40" fillId="16" borderId="22" xfId="0" applyFont="1" applyFill="1" applyBorder="1" applyAlignment="1" applyProtection="1">
      <alignment horizontal="center" vertical="center" wrapText="1"/>
      <protection hidden="1"/>
    </xf>
    <xf numFmtId="0" fontId="40" fillId="16" borderId="12" xfId="0" applyFont="1" applyFill="1" applyBorder="1" applyAlignment="1" applyProtection="1">
      <alignment horizontal="center" vertical="center" wrapText="1"/>
      <protection hidden="1"/>
    </xf>
    <xf numFmtId="178" fontId="55" fillId="16" borderId="9" xfId="0" applyNumberFormat="1" applyFont="1" applyFill="1" applyBorder="1" applyAlignment="1" applyProtection="1">
      <alignment horizontal="center" vertical="center" wrapText="1"/>
      <protection hidden="1"/>
    </xf>
    <xf numFmtId="178" fontId="55" fillId="16" borderId="12" xfId="0" applyNumberFormat="1" applyFont="1" applyFill="1" applyBorder="1" applyAlignment="1" applyProtection="1">
      <alignment horizontal="center" vertical="center" wrapText="1"/>
      <protection hidden="1"/>
    </xf>
    <xf numFmtId="186" fontId="55" fillId="16" borderId="9" xfId="9" applyNumberFormat="1" applyFont="1" applyFill="1" applyBorder="1" applyAlignment="1" applyProtection="1">
      <alignment horizontal="right" vertical="center" wrapText="1"/>
      <protection hidden="1"/>
    </xf>
    <xf numFmtId="186" fontId="55" fillId="16" borderId="12" xfId="9" applyNumberFormat="1" applyFont="1" applyFill="1" applyBorder="1" applyAlignment="1" applyProtection="1">
      <alignment horizontal="right" vertical="center" wrapText="1"/>
      <protection hidden="1"/>
    </xf>
    <xf numFmtId="0" fontId="41" fillId="0" borderId="9" xfId="0" applyFont="1" applyBorder="1" applyAlignment="1" applyProtection="1">
      <alignment horizontal="left" vertical="center" wrapText="1"/>
      <protection locked="0"/>
    </xf>
    <xf numFmtId="0" fontId="41" fillId="0" borderId="22" xfId="0" applyFont="1" applyBorder="1" applyAlignment="1" applyProtection="1">
      <alignment horizontal="left" vertical="center" wrapText="1"/>
      <protection locked="0"/>
    </xf>
    <xf numFmtId="0" fontId="41" fillId="0" borderId="12" xfId="0" applyFont="1" applyBorder="1" applyAlignment="1" applyProtection="1">
      <alignment horizontal="left" vertical="center" wrapText="1"/>
      <protection locked="0"/>
    </xf>
    <xf numFmtId="165" fontId="43" fillId="0" borderId="9" xfId="9" applyFont="1" applyBorder="1" applyAlignment="1" applyProtection="1">
      <alignment horizontal="center" vertical="center" wrapText="1"/>
      <protection locked="0"/>
    </xf>
    <xf numFmtId="165" fontId="43" fillId="0" borderId="12" xfId="9" applyFont="1" applyBorder="1" applyAlignment="1" applyProtection="1">
      <alignment horizontal="center" vertical="center" wrapText="1"/>
      <protection locked="0"/>
    </xf>
    <xf numFmtId="9" fontId="41" fillId="5" borderId="13" xfId="25" applyFont="1" applyFill="1" applyBorder="1" applyAlignment="1" applyProtection="1">
      <alignment horizontal="center" vertical="center" wrapText="1"/>
      <protection hidden="1"/>
    </xf>
    <xf numFmtId="9" fontId="41" fillId="5" borderId="14" xfId="25" applyFont="1" applyFill="1" applyBorder="1" applyAlignment="1" applyProtection="1">
      <alignment horizontal="center" vertical="center" wrapText="1"/>
      <protection hidden="1"/>
    </xf>
    <xf numFmtId="9" fontId="41" fillId="5" borderId="15" xfId="25" applyFont="1" applyFill="1" applyBorder="1" applyAlignment="1" applyProtection="1">
      <alignment horizontal="center" vertical="center" wrapText="1"/>
      <protection hidden="1"/>
    </xf>
    <xf numFmtId="0" fontId="77" fillId="5" borderId="9" xfId="0" applyFont="1" applyFill="1" applyBorder="1" applyAlignment="1" applyProtection="1">
      <alignment horizontal="center" vertical="center" wrapText="1"/>
      <protection hidden="1"/>
    </xf>
    <xf numFmtId="0" fontId="77" fillId="5" borderId="22" xfId="0" applyFont="1" applyFill="1" applyBorder="1" applyAlignment="1" applyProtection="1">
      <alignment horizontal="center" vertical="center" wrapText="1"/>
      <protection hidden="1"/>
    </xf>
    <xf numFmtId="0" fontId="77" fillId="5" borderId="12" xfId="0" applyFont="1" applyFill="1" applyBorder="1" applyAlignment="1" applyProtection="1">
      <alignment horizontal="center" vertical="center" wrapText="1"/>
      <protection hidden="1"/>
    </xf>
    <xf numFmtId="178" fontId="55" fillId="5" borderId="9" xfId="9" applyNumberFormat="1" applyFont="1" applyFill="1" applyBorder="1" applyAlignment="1" applyProtection="1">
      <alignment horizontal="center" vertical="center" wrapText="1"/>
      <protection hidden="1"/>
    </xf>
    <xf numFmtId="178" fontId="55" fillId="5" borderId="12" xfId="9" applyNumberFormat="1" applyFont="1" applyFill="1" applyBorder="1" applyAlignment="1" applyProtection="1">
      <alignment horizontal="center" vertical="center" wrapText="1"/>
      <protection hidden="1"/>
    </xf>
    <xf numFmtId="9" fontId="43" fillId="0" borderId="9" xfId="25" applyFont="1" applyBorder="1" applyAlignment="1" applyProtection="1">
      <alignment horizontal="center" vertical="center" wrapText="1"/>
      <protection locked="0"/>
    </xf>
    <xf numFmtId="9" fontId="43" fillId="0" borderId="12" xfId="25" applyFont="1" applyBorder="1" applyAlignment="1" applyProtection="1">
      <alignment horizontal="center" vertical="center" wrapText="1"/>
      <protection locked="0"/>
    </xf>
    <xf numFmtId="9" fontId="41" fillId="0" borderId="13" xfId="25" applyFont="1" applyBorder="1" applyAlignment="1" applyProtection="1">
      <alignment horizontal="center" vertical="center" wrapText="1"/>
      <protection hidden="1"/>
    </xf>
    <xf numFmtId="9" fontId="41" fillId="0" borderId="14" xfId="25" applyFont="1" applyBorder="1" applyAlignment="1" applyProtection="1">
      <alignment horizontal="center" vertical="center" wrapText="1"/>
      <protection hidden="1"/>
    </xf>
    <xf numFmtId="9" fontId="41" fillId="0" borderId="15" xfId="25" applyFont="1" applyBorder="1" applyAlignment="1" applyProtection="1">
      <alignment horizontal="center" vertical="center" wrapText="1"/>
      <protection hidden="1"/>
    </xf>
    <xf numFmtId="165" fontId="61" fillId="0" borderId="9" xfId="9" applyFont="1" applyBorder="1" applyAlignment="1" applyProtection="1">
      <alignment horizontal="center" vertical="center" wrapText="1"/>
      <protection hidden="1"/>
    </xf>
    <xf numFmtId="165" fontId="61" fillId="0" borderId="12" xfId="9" applyFont="1" applyBorder="1" applyAlignment="1" applyProtection="1">
      <alignment horizontal="center" vertical="center" wrapText="1"/>
      <protection hidden="1"/>
    </xf>
    <xf numFmtId="0" fontId="72" fillId="0" borderId="12" xfId="0" applyFont="1" applyBorder="1" applyAlignment="1" applyProtection="1">
      <alignment horizontal="left" vertical="center" wrapText="1"/>
      <protection hidden="1"/>
    </xf>
    <xf numFmtId="178" fontId="72" fillId="0" borderId="9" xfId="9" applyNumberFormat="1" applyFont="1" applyBorder="1" applyAlignment="1" applyProtection="1">
      <alignment horizontal="left" vertical="center" wrapText="1"/>
      <protection hidden="1"/>
    </xf>
    <xf numFmtId="178" fontId="72" fillId="0" borderId="12" xfId="9" applyNumberFormat="1" applyFont="1" applyBorder="1" applyAlignment="1" applyProtection="1">
      <alignment horizontal="left" vertical="center" wrapText="1"/>
      <protection hidden="1"/>
    </xf>
    <xf numFmtId="0" fontId="40" fillId="0" borderId="13" xfId="0" applyFont="1" applyBorder="1" applyAlignment="1" applyProtection="1">
      <alignment horizontal="center" vertical="top" wrapText="1"/>
      <protection hidden="1"/>
    </xf>
    <xf numFmtId="0" fontId="40" fillId="0" borderId="15" xfId="0" applyFont="1" applyBorder="1" applyAlignment="1" applyProtection="1">
      <alignment horizontal="center" vertical="top" wrapText="1"/>
      <protection hidden="1"/>
    </xf>
    <xf numFmtId="0" fontId="72" fillId="0" borderId="9" xfId="0" applyNumberFormat="1" applyFont="1" applyBorder="1" applyAlignment="1" applyProtection="1">
      <alignment horizontal="left" vertical="center" wrapText="1"/>
      <protection hidden="1"/>
    </xf>
    <xf numFmtId="0" fontId="72" fillId="0" borderId="12" xfId="0" applyNumberFormat="1" applyFont="1" applyBorder="1" applyAlignment="1" applyProtection="1">
      <alignment horizontal="left" vertical="center" wrapText="1"/>
      <protection hidden="1"/>
    </xf>
    <xf numFmtId="0" fontId="43" fillId="0" borderId="9" xfId="9" applyNumberFormat="1" applyFont="1" applyBorder="1" applyAlignment="1" applyProtection="1">
      <alignment horizontal="left" vertical="center" wrapText="1"/>
      <protection hidden="1"/>
    </xf>
    <xf numFmtId="0" fontId="43" fillId="0" borderId="12" xfId="9" applyNumberFormat="1" applyFont="1" applyBorder="1" applyAlignment="1" applyProtection="1">
      <alignment horizontal="left" vertical="center" wrapText="1"/>
      <protection hidden="1"/>
    </xf>
    <xf numFmtId="43" fontId="72" fillId="0" borderId="9" xfId="9" applyNumberFormat="1" applyFont="1" applyBorder="1" applyAlignment="1" applyProtection="1">
      <alignment horizontal="left" vertical="center" wrapText="1"/>
      <protection hidden="1"/>
    </xf>
    <xf numFmtId="178" fontId="72" fillId="0" borderId="9" xfId="9" applyNumberFormat="1" applyFont="1" applyBorder="1" applyAlignment="1" applyProtection="1">
      <alignment horizontal="center" vertical="center" wrapText="1"/>
      <protection hidden="1"/>
    </xf>
    <xf numFmtId="178" fontId="72" fillId="0" borderId="12" xfId="9" applyNumberFormat="1" applyFont="1" applyBorder="1" applyAlignment="1" applyProtection="1">
      <alignment horizontal="center" vertical="center" wrapText="1"/>
      <protection hidden="1"/>
    </xf>
    <xf numFmtId="178" fontId="72" fillId="0" borderId="9" xfId="0" applyNumberFormat="1" applyFont="1" applyBorder="1" applyAlignment="1" applyProtection="1">
      <alignment horizontal="center" vertical="center" wrapText="1"/>
      <protection hidden="1"/>
    </xf>
    <xf numFmtId="178" fontId="72" fillId="0" borderId="12" xfId="0" applyNumberFormat="1" applyFont="1" applyBorder="1" applyAlignment="1" applyProtection="1">
      <alignment horizontal="center" vertical="center" wrapText="1"/>
      <protection hidden="1"/>
    </xf>
    <xf numFmtId="0" fontId="40" fillId="0" borderId="14" xfId="0" applyFont="1" applyBorder="1" applyAlignment="1" applyProtection="1">
      <alignment horizontal="center" vertical="top" wrapText="1"/>
      <protection hidden="1"/>
    </xf>
    <xf numFmtId="0" fontId="40" fillId="0" borderId="5" xfId="0" applyFont="1" applyBorder="1" applyAlignment="1" applyProtection="1">
      <alignment horizontal="center" vertical="top" wrapText="1"/>
      <protection locked="0"/>
    </xf>
    <xf numFmtId="0" fontId="40" fillId="0" borderId="11" xfId="0" applyFont="1" applyBorder="1" applyAlignment="1" applyProtection="1">
      <alignment horizontal="center" vertical="top" wrapText="1"/>
      <protection locked="0"/>
    </xf>
    <xf numFmtId="0" fontId="40" fillId="0" borderId="8" xfId="0" applyFont="1" applyBorder="1" applyAlignment="1" applyProtection="1">
      <alignment horizontal="center" vertical="top" wrapText="1"/>
      <protection hidden="1"/>
    </xf>
    <xf numFmtId="0" fontId="40" fillId="0" borderId="3" xfId="0" applyFont="1" applyBorder="1" applyAlignment="1" applyProtection="1">
      <alignment horizontal="center" vertical="center" wrapText="1"/>
      <protection hidden="1"/>
    </xf>
    <xf numFmtId="0" fontId="40" fillId="0" borderId="16" xfId="0" applyFont="1" applyBorder="1" applyAlignment="1" applyProtection="1">
      <alignment horizontal="center" vertical="center" wrapText="1"/>
      <protection hidden="1"/>
    </xf>
    <xf numFmtId="0" fontId="40" fillId="0" borderId="6" xfId="0" applyFont="1" applyBorder="1" applyAlignment="1" applyProtection="1">
      <alignment horizontal="center" vertical="center" wrapText="1"/>
      <protection hidden="1"/>
    </xf>
    <xf numFmtId="0" fontId="40" fillId="0" borderId="11" xfId="0" applyFont="1" applyBorder="1" applyAlignment="1" applyProtection="1">
      <alignment horizontal="center" vertical="center" wrapText="1"/>
      <protection hidden="1"/>
    </xf>
    <xf numFmtId="0" fontId="40" fillId="0" borderId="3" xfId="9" applyNumberFormat="1" applyFont="1" applyBorder="1" applyAlignment="1" applyProtection="1">
      <alignment horizontal="center" vertical="center" wrapText="1"/>
      <protection hidden="1"/>
    </xf>
    <xf numFmtId="0" fontId="40" fillId="0" borderId="16" xfId="9" applyNumberFormat="1" applyFont="1" applyBorder="1" applyAlignment="1" applyProtection="1">
      <alignment horizontal="center" vertical="center" wrapText="1"/>
      <protection hidden="1"/>
    </xf>
    <xf numFmtId="0" fontId="40" fillId="0" borderId="6" xfId="9" applyNumberFormat="1" applyFont="1" applyBorder="1" applyAlignment="1" applyProtection="1">
      <alignment horizontal="center" vertical="center" wrapText="1"/>
      <protection hidden="1"/>
    </xf>
    <xf numFmtId="0" fontId="40" fillId="0" borderId="11" xfId="9" applyNumberFormat="1" applyFont="1" applyBorder="1" applyAlignment="1" applyProtection="1">
      <alignment horizontal="center" vertical="center" wrapText="1"/>
      <protection hidden="1"/>
    </xf>
    <xf numFmtId="0" fontId="62" fillId="18" borderId="9" xfId="0" applyFont="1" applyFill="1" applyBorder="1" applyAlignment="1" applyProtection="1">
      <alignment horizontal="left" vertical="top" wrapText="1"/>
      <protection hidden="1"/>
    </xf>
    <xf numFmtId="0" fontId="41" fillId="18" borderId="22" xfId="0" applyFont="1" applyFill="1" applyBorder="1" applyAlignment="1" applyProtection="1">
      <alignment horizontal="left" vertical="top" wrapText="1"/>
      <protection hidden="1"/>
    </xf>
    <xf numFmtId="0" fontId="41" fillId="18" borderId="12" xfId="0" applyFont="1" applyFill="1" applyBorder="1" applyAlignment="1" applyProtection="1">
      <alignment horizontal="left" vertical="top" wrapText="1"/>
      <protection hidden="1"/>
    </xf>
    <xf numFmtId="178" fontId="40" fillId="0" borderId="3" xfId="9" applyNumberFormat="1" applyFont="1" applyBorder="1" applyAlignment="1" applyProtection="1">
      <alignment horizontal="center" vertical="center" wrapText="1"/>
      <protection locked="0"/>
    </xf>
    <xf numFmtId="178" fontId="40" fillId="0" borderId="16" xfId="9" applyNumberFormat="1" applyFont="1" applyBorder="1" applyAlignment="1" applyProtection="1">
      <alignment horizontal="center" vertical="center" wrapText="1"/>
      <protection locked="0"/>
    </xf>
    <xf numFmtId="178" fontId="40" fillId="0" borderId="4" xfId="9" applyNumberFormat="1" applyFont="1" applyBorder="1" applyAlignment="1" applyProtection="1">
      <alignment horizontal="center" vertical="center" wrapText="1"/>
      <protection locked="0"/>
    </xf>
    <xf numFmtId="178" fontId="40" fillId="0" borderId="5" xfId="9" applyNumberFormat="1" applyFont="1" applyBorder="1" applyAlignment="1" applyProtection="1">
      <alignment horizontal="center" vertical="center" wrapText="1"/>
      <protection locked="0"/>
    </xf>
    <xf numFmtId="178" fontId="40" fillId="0" borderId="6" xfId="9" applyNumberFormat="1" applyFont="1" applyBorder="1" applyAlignment="1" applyProtection="1">
      <alignment horizontal="center" vertical="center" wrapText="1"/>
      <protection locked="0"/>
    </xf>
    <xf numFmtId="178" fontId="40" fillId="0" borderId="11" xfId="9" applyNumberFormat="1" applyFont="1" applyBorder="1" applyAlignment="1" applyProtection="1">
      <alignment horizontal="center" vertical="center" wrapText="1"/>
      <protection locked="0"/>
    </xf>
    <xf numFmtId="0" fontId="40" fillId="0" borderId="3" xfId="0" applyFont="1" applyBorder="1" applyAlignment="1" applyProtection="1">
      <alignment horizontal="left" vertical="top" wrapText="1"/>
      <protection locked="0"/>
    </xf>
    <xf numFmtId="0" fontId="40" fillId="0" borderId="16" xfId="0" applyFont="1" applyBorder="1" applyAlignment="1" applyProtection="1">
      <alignment horizontal="left" vertical="top" wrapText="1"/>
      <protection locked="0"/>
    </xf>
    <xf numFmtId="178" fontId="40" fillId="0" borderId="13" xfId="9" applyNumberFormat="1" applyFont="1" applyBorder="1" applyAlignment="1" applyProtection="1">
      <alignment horizontal="center" vertical="center" wrapText="1"/>
      <protection locked="0"/>
    </xf>
    <xf numFmtId="178" fontId="40" fillId="0" borderId="14" xfId="9" applyNumberFormat="1" applyFont="1" applyBorder="1" applyAlignment="1" applyProtection="1">
      <alignment horizontal="center" vertical="center" wrapText="1"/>
      <protection locked="0"/>
    </xf>
    <xf numFmtId="178" fontId="40" fillId="0" borderId="15" xfId="9" applyNumberFormat="1" applyFont="1" applyBorder="1" applyAlignment="1" applyProtection="1">
      <alignment horizontal="center" vertical="center" wrapText="1"/>
      <protection locked="0"/>
    </xf>
    <xf numFmtId="178" fontId="40" fillId="0" borderId="9" xfId="9" applyNumberFormat="1" applyFont="1" applyBorder="1" applyAlignment="1" applyProtection="1">
      <alignment horizontal="center" vertical="center" wrapText="1"/>
      <protection locked="0"/>
    </xf>
    <xf numFmtId="178" fontId="40" fillId="0" borderId="12" xfId="9" applyNumberFormat="1" applyFont="1" applyBorder="1" applyAlignment="1" applyProtection="1">
      <alignment horizontal="center" vertical="center" wrapText="1"/>
      <protection locked="0"/>
    </xf>
    <xf numFmtId="178" fontId="40" fillId="0" borderId="13" xfId="9" applyNumberFormat="1" applyFont="1" applyBorder="1" applyAlignment="1" applyProtection="1">
      <alignment horizontal="center" vertical="center" wrapText="1"/>
      <protection hidden="1"/>
    </xf>
    <xf numFmtId="178" fontId="40" fillId="0" borderId="15" xfId="9" applyNumberFormat="1" applyFont="1" applyBorder="1" applyAlignment="1" applyProtection="1">
      <alignment horizontal="center" vertical="center" wrapText="1"/>
      <protection hidden="1"/>
    </xf>
    <xf numFmtId="178" fontId="40" fillId="0" borderId="9" xfId="9" applyNumberFormat="1" applyFont="1" applyBorder="1" applyAlignment="1" applyProtection="1">
      <alignment horizontal="center" vertical="center" wrapText="1"/>
      <protection hidden="1"/>
    </xf>
    <xf numFmtId="178" fontId="40" fillId="0" borderId="12" xfId="9" applyNumberFormat="1" applyFont="1" applyBorder="1" applyAlignment="1" applyProtection="1">
      <alignment horizontal="center" vertical="center" wrapText="1"/>
      <protection hidden="1"/>
    </xf>
    <xf numFmtId="0" fontId="41" fillId="12" borderId="9" xfId="0" applyFont="1" applyFill="1" applyBorder="1" applyAlignment="1" applyProtection="1">
      <alignment horizontal="left" vertical="top" wrapText="1"/>
      <protection hidden="1"/>
    </xf>
    <xf numFmtId="0" fontId="41" fillId="12" borderId="22" xfId="0" applyFont="1" applyFill="1" applyBorder="1" applyAlignment="1" applyProtection="1">
      <alignment horizontal="left" vertical="top" wrapText="1"/>
      <protection hidden="1"/>
    </xf>
    <xf numFmtId="0" fontId="41" fillId="12" borderId="12" xfId="0" applyFont="1" applyFill="1" applyBorder="1" applyAlignment="1" applyProtection="1">
      <alignment horizontal="left" vertical="top" wrapText="1"/>
      <protection hidden="1"/>
    </xf>
    <xf numFmtId="0" fontId="41" fillId="22" borderId="8" xfId="0" applyFont="1" applyFill="1" applyBorder="1" applyAlignment="1" applyProtection="1">
      <alignment horizontal="center" vertical="center" wrapText="1"/>
      <protection hidden="1"/>
    </xf>
    <xf numFmtId="0" fontId="40" fillId="0" borderId="8" xfId="0" applyFont="1" applyBorder="1" applyAlignment="1" applyProtection="1">
      <alignment horizontal="center" vertical="top" wrapText="1"/>
      <protection locked="0"/>
    </xf>
    <xf numFmtId="0" fontId="41" fillId="10" borderId="9" xfId="0" applyFont="1" applyFill="1" applyBorder="1" applyAlignment="1" applyProtection="1">
      <alignment horizontal="left" vertical="top" wrapText="1"/>
      <protection hidden="1"/>
    </xf>
    <xf numFmtId="0" fontId="41" fillId="10" borderId="22" xfId="0" applyFont="1" applyFill="1" applyBorder="1" applyAlignment="1" applyProtection="1">
      <alignment horizontal="left" vertical="top" wrapText="1"/>
      <protection hidden="1"/>
    </xf>
    <xf numFmtId="0" fontId="41" fillId="10" borderId="12" xfId="0" applyFont="1" applyFill="1" applyBorder="1" applyAlignment="1" applyProtection="1">
      <alignment horizontal="left" vertical="top" wrapText="1"/>
      <protection hidden="1"/>
    </xf>
    <xf numFmtId="0" fontId="40" fillId="0" borderId="4" xfId="0" applyFont="1" applyBorder="1" applyAlignment="1" applyProtection="1">
      <alignment horizontal="center" vertical="center" wrapText="1"/>
      <protection hidden="1"/>
    </xf>
    <xf numFmtId="0" fontId="40" fillId="0" borderId="3" xfId="0" applyFont="1" applyBorder="1" applyAlignment="1" applyProtection="1">
      <alignment horizontal="left" vertical="center" wrapText="1"/>
      <protection locked="0"/>
    </xf>
    <xf numFmtId="0" fontId="40" fillId="0" borderId="16" xfId="0" applyFont="1" applyBorder="1" applyAlignment="1" applyProtection="1">
      <alignment horizontal="left" vertical="center" wrapText="1"/>
      <protection locked="0"/>
    </xf>
    <xf numFmtId="0" fontId="40" fillId="0" borderId="4" xfId="0" applyFont="1" applyBorder="1" applyAlignment="1" applyProtection="1">
      <alignment horizontal="left" vertical="center" wrapText="1"/>
      <protection locked="0"/>
    </xf>
    <xf numFmtId="0" fontId="40" fillId="0" borderId="5" xfId="0" applyFont="1" applyBorder="1" applyAlignment="1" applyProtection="1">
      <alignment horizontal="left" vertical="center" wrapText="1"/>
      <protection locked="0"/>
    </xf>
    <xf numFmtId="0" fontId="40" fillId="0" borderId="3" xfId="0" applyFont="1" applyBorder="1" applyAlignment="1" applyProtection="1">
      <alignment horizontal="center" vertical="top" wrapText="1"/>
      <protection hidden="1"/>
    </xf>
    <xf numFmtId="0" fontId="40" fillId="0" borderId="4" xfId="0" applyFont="1" applyBorder="1" applyAlignment="1" applyProtection="1">
      <alignment horizontal="center" vertical="top" wrapText="1"/>
      <protection hidden="1"/>
    </xf>
    <xf numFmtId="0" fontId="40" fillId="0" borderId="6" xfId="0" applyFont="1" applyBorder="1" applyAlignment="1" applyProtection="1">
      <alignment horizontal="center" vertical="top" wrapText="1"/>
      <protection hidden="1"/>
    </xf>
    <xf numFmtId="0" fontId="40" fillId="0" borderId="16" xfId="0" applyFont="1" applyBorder="1" applyAlignment="1" applyProtection="1">
      <alignment horizontal="center" vertical="top" wrapText="1"/>
      <protection hidden="1"/>
    </xf>
    <xf numFmtId="0" fontId="40" fillId="0" borderId="5" xfId="0" applyFont="1" applyBorder="1" applyAlignment="1" applyProtection="1">
      <alignment horizontal="center" vertical="top" wrapText="1"/>
      <protection hidden="1"/>
    </xf>
    <xf numFmtId="0" fontId="40" fillId="0" borderId="11" xfId="0" applyFont="1" applyBorder="1" applyAlignment="1" applyProtection="1">
      <alignment horizontal="center" vertical="top" wrapText="1"/>
      <protection hidden="1"/>
    </xf>
    <xf numFmtId="0" fontId="40" fillId="0" borderId="0" xfId="0" quotePrefix="1" applyFont="1" applyAlignment="1" applyProtection="1">
      <alignment horizontal="center" vertical="center" wrapText="1"/>
      <protection locked="0"/>
    </xf>
    <xf numFmtId="0" fontId="40" fillId="0" borderId="0" xfId="0" applyFont="1" applyAlignment="1" applyProtection="1">
      <alignment horizontal="left" wrapText="1"/>
      <protection locked="0"/>
    </xf>
    <xf numFmtId="0" fontId="39" fillId="4" borderId="62" xfId="0" applyFont="1" applyFill="1" applyBorder="1" applyAlignment="1" applyProtection="1">
      <alignment horizontal="center" vertical="center" wrapText="1"/>
      <protection hidden="1"/>
    </xf>
    <xf numFmtId="0" fontId="39" fillId="4" borderId="45" xfId="0" applyFont="1" applyFill="1" applyBorder="1" applyAlignment="1" applyProtection="1">
      <alignment horizontal="center" vertical="center" wrapText="1"/>
      <protection hidden="1"/>
    </xf>
    <xf numFmtId="0" fontId="39" fillId="4" borderId="63" xfId="0" applyFont="1" applyFill="1" applyBorder="1" applyAlignment="1" applyProtection="1">
      <alignment horizontal="center" vertical="center" wrapText="1"/>
      <protection hidden="1"/>
    </xf>
    <xf numFmtId="0" fontId="40" fillId="0" borderId="0" xfId="0" applyFont="1" applyAlignment="1" applyProtection="1">
      <alignment horizontal="left" vertical="center"/>
      <protection locked="0"/>
    </xf>
    <xf numFmtId="0" fontId="40" fillId="0" borderId="0" xfId="0" applyFont="1" applyAlignment="1" applyProtection="1">
      <alignment horizontal="left" vertical="center" wrapText="1"/>
      <protection locked="0"/>
    </xf>
    <xf numFmtId="0" fontId="40" fillId="0" borderId="0" xfId="0" applyFont="1" applyAlignment="1" applyProtection="1">
      <alignment horizontal="center" vertical="center" wrapText="1"/>
      <protection locked="0"/>
    </xf>
    <xf numFmtId="0" fontId="41" fillId="0" borderId="0" xfId="19" applyFont="1" applyBorder="1" applyAlignment="1" applyProtection="1">
      <alignment horizontal="center" vertical="center" wrapText="1"/>
      <protection locked="0"/>
    </xf>
    <xf numFmtId="0" fontId="40" fillId="0" borderId="0" xfId="19" applyFont="1" applyAlignment="1" applyProtection="1">
      <alignment vertical="center" wrapText="1"/>
      <protection locked="0"/>
    </xf>
    <xf numFmtId="0" fontId="41" fillId="0" borderId="0" xfId="19" applyFont="1" applyBorder="1" applyAlignment="1" applyProtection="1">
      <alignment horizontal="center" vertical="center" wrapText="1"/>
      <protection hidden="1"/>
    </xf>
    <xf numFmtId="0" fontId="41" fillId="0" borderId="0" xfId="19" applyFont="1" applyAlignment="1" applyProtection="1">
      <alignment horizontal="justify" vertical="center" wrapText="1"/>
      <protection locked="0"/>
    </xf>
    <xf numFmtId="0" fontId="40" fillId="9" borderId="50" xfId="19" applyFont="1" applyFill="1" applyBorder="1" applyAlignment="1" applyProtection="1">
      <alignment horizontal="center" vertical="center" wrapText="1"/>
      <protection locked="0"/>
    </xf>
    <xf numFmtId="0" fontId="40" fillId="9" borderId="52" xfId="19" applyFont="1" applyFill="1" applyBorder="1" applyAlignment="1" applyProtection="1">
      <alignment horizontal="center" vertical="center" wrapText="1"/>
      <protection locked="0"/>
    </xf>
    <xf numFmtId="0" fontId="40" fillId="9" borderId="74" xfId="19" applyFont="1" applyFill="1" applyBorder="1" applyAlignment="1" applyProtection="1">
      <alignment horizontal="center" vertical="center" wrapText="1"/>
      <protection locked="0"/>
    </xf>
    <xf numFmtId="0" fontId="40" fillId="9" borderId="66" xfId="19" applyFont="1" applyFill="1" applyBorder="1" applyAlignment="1" applyProtection="1">
      <alignment horizontal="center" vertical="center" wrapText="1"/>
      <protection locked="0"/>
    </xf>
    <xf numFmtId="0" fontId="40" fillId="9" borderId="0" xfId="19" applyFont="1" applyFill="1" applyBorder="1" applyAlignment="1" applyProtection="1">
      <alignment horizontal="center" vertical="center" wrapText="1"/>
      <protection locked="0"/>
    </xf>
    <xf numFmtId="0" fontId="40" fillId="9" borderId="5" xfId="19" applyFont="1" applyFill="1" applyBorder="1" applyAlignment="1" applyProtection="1">
      <alignment horizontal="center" vertical="center" wrapText="1"/>
      <protection locked="0"/>
    </xf>
    <xf numFmtId="0" fontId="40" fillId="9" borderId="67" xfId="19" applyFont="1" applyFill="1" applyBorder="1" applyAlignment="1" applyProtection="1">
      <alignment horizontal="center" vertical="center" wrapText="1"/>
      <protection locked="0"/>
    </xf>
    <xf numFmtId="0" fontId="40" fillId="9" borderId="64" xfId="19" applyFont="1" applyFill="1" applyBorder="1" applyAlignment="1" applyProtection="1">
      <alignment horizontal="center" vertical="center" wrapText="1"/>
      <protection locked="0"/>
    </xf>
    <xf numFmtId="0" fontId="40" fillId="9" borderId="127" xfId="19" applyFont="1" applyFill="1" applyBorder="1" applyAlignment="1" applyProtection="1">
      <alignment horizontal="center" vertical="center" wrapText="1"/>
      <protection locked="0"/>
    </xf>
    <xf numFmtId="2" fontId="55" fillId="9" borderId="70" xfId="19" applyNumberFormat="1" applyFont="1" applyFill="1" applyBorder="1" applyAlignment="1" applyProtection="1">
      <alignment horizontal="center" vertical="center" wrapText="1"/>
      <protection hidden="1"/>
    </xf>
    <xf numFmtId="2" fontId="55" fillId="9" borderId="14" xfId="19" applyNumberFormat="1" applyFont="1" applyFill="1" applyBorder="1" applyAlignment="1" applyProtection="1">
      <alignment horizontal="center" vertical="center" wrapText="1"/>
      <protection hidden="1"/>
    </xf>
    <xf numFmtId="2" fontId="55" fillId="9" borderId="112" xfId="19" applyNumberFormat="1" applyFont="1" applyFill="1" applyBorder="1" applyAlignment="1" applyProtection="1">
      <alignment horizontal="center" vertical="center" wrapText="1"/>
      <protection hidden="1"/>
    </xf>
    <xf numFmtId="0" fontId="55" fillId="9" borderId="73" xfId="19" applyFont="1" applyFill="1" applyBorder="1" applyAlignment="1" applyProtection="1">
      <alignment horizontal="center" vertical="center" wrapText="1"/>
      <protection hidden="1"/>
    </xf>
    <xf numFmtId="0" fontId="55" fillId="9" borderId="52" xfId="19" applyFont="1" applyFill="1" applyBorder="1" applyAlignment="1" applyProtection="1">
      <alignment horizontal="center" vertical="center" wrapText="1"/>
      <protection hidden="1"/>
    </xf>
    <xf numFmtId="0" fontId="55" fillId="9" borderId="65" xfId="19" applyFont="1" applyFill="1" applyBorder="1" applyAlignment="1" applyProtection="1">
      <alignment horizontal="center" vertical="center" wrapText="1"/>
      <protection hidden="1"/>
    </xf>
    <xf numFmtId="0" fontId="55" fillId="9" borderId="4" xfId="19" applyFont="1" applyFill="1" applyBorder="1" applyAlignment="1" applyProtection="1">
      <alignment horizontal="center" vertical="center" wrapText="1"/>
      <protection hidden="1"/>
    </xf>
    <xf numFmtId="0" fontId="55" fillId="9" borderId="0" xfId="19" applyFont="1" applyFill="1" applyBorder="1" applyAlignment="1" applyProtection="1">
      <alignment horizontal="center" vertical="center" wrapText="1"/>
      <protection hidden="1"/>
    </xf>
    <xf numFmtId="0" fontId="55" fillId="9" borderId="47" xfId="19" applyFont="1" applyFill="1" applyBorder="1" applyAlignment="1" applyProtection="1">
      <alignment horizontal="center" vertical="center" wrapText="1"/>
      <protection hidden="1"/>
    </xf>
    <xf numFmtId="0" fontId="55" fillId="9" borderId="128" xfId="19" applyFont="1" applyFill="1" applyBorder="1" applyAlignment="1" applyProtection="1">
      <alignment horizontal="center" vertical="center" wrapText="1"/>
      <protection hidden="1"/>
    </xf>
    <xf numFmtId="0" fontId="55" fillId="9" borderId="64" xfId="19" applyFont="1" applyFill="1" applyBorder="1" applyAlignment="1" applyProtection="1">
      <alignment horizontal="center" vertical="center" wrapText="1"/>
      <protection hidden="1"/>
    </xf>
    <xf numFmtId="0" fontId="55" fillId="9" borderId="68" xfId="19" applyFont="1" applyFill="1" applyBorder="1" applyAlignment="1" applyProtection="1">
      <alignment horizontal="center" vertical="center" wrapText="1"/>
      <protection hidden="1"/>
    </xf>
    <xf numFmtId="0" fontId="41" fillId="0" borderId="0" xfId="19" applyFont="1" applyAlignment="1" applyProtection="1">
      <alignment horizontal="center" vertical="center" wrapText="1"/>
      <protection hidden="1"/>
    </xf>
    <xf numFmtId="2" fontId="55" fillId="0" borderId="0" xfId="19" applyNumberFormat="1" applyFont="1" applyAlignment="1" applyProtection="1">
      <alignment horizontal="left" vertical="center" wrapText="1"/>
      <protection hidden="1"/>
    </xf>
    <xf numFmtId="0" fontId="55" fillId="0" borderId="0" xfId="19" applyFont="1" applyAlignment="1" applyProtection="1">
      <alignment horizontal="left" vertical="center" wrapText="1"/>
      <protection hidden="1"/>
    </xf>
    <xf numFmtId="0" fontId="41" fillId="0" borderId="58" xfId="0" applyFont="1" applyBorder="1" applyAlignment="1" applyProtection="1">
      <alignment horizontal="center" vertical="top" wrapText="1"/>
      <protection hidden="1"/>
    </xf>
    <xf numFmtId="0" fontId="72" fillId="0" borderId="21" xfId="0" applyFont="1" applyBorder="1" applyAlignment="1" applyProtection="1">
      <alignment horizontal="center"/>
      <protection hidden="1"/>
    </xf>
    <xf numFmtId="0" fontId="72" fillId="0" borderId="22" xfId="0" applyFont="1" applyBorder="1" applyAlignment="1" applyProtection="1">
      <alignment horizontal="center"/>
      <protection hidden="1"/>
    </xf>
    <xf numFmtId="0" fontId="72" fillId="0" borderId="44" xfId="0" applyFont="1" applyBorder="1" applyAlignment="1" applyProtection="1">
      <alignment horizontal="center"/>
      <protection hidden="1"/>
    </xf>
    <xf numFmtId="0" fontId="41" fillId="0" borderId="58" xfId="0" applyFont="1" applyBorder="1" applyAlignment="1" applyProtection="1">
      <alignment horizontal="center" vertical="center" wrapText="1"/>
      <protection hidden="1"/>
    </xf>
    <xf numFmtId="2" fontId="72" fillId="0" borderId="21" xfId="19" applyNumberFormat="1" applyFont="1" applyBorder="1" applyAlignment="1" applyProtection="1">
      <alignment horizontal="center" vertical="center" wrapText="1"/>
      <protection hidden="1"/>
    </xf>
    <xf numFmtId="2" fontId="72" fillId="0" borderId="22" xfId="19" applyNumberFormat="1" applyFont="1" applyBorder="1" applyAlignment="1" applyProtection="1">
      <alignment horizontal="center" vertical="center" wrapText="1"/>
      <protection hidden="1"/>
    </xf>
    <xf numFmtId="2" fontId="72" fillId="0" borderId="44" xfId="19" applyNumberFormat="1" applyFont="1" applyBorder="1" applyAlignment="1" applyProtection="1">
      <alignment horizontal="center" vertical="center" wrapText="1"/>
      <protection hidden="1"/>
    </xf>
    <xf numFmtId="0" fontId="41" fillId="0" borderId="55" xfId="0" applyFont="1" applyBorder="1" applyAlignment="1" applyProtection="1">
      <alignment horizontal="center" vertical="center" wrapText="1"/>
      <protection hidden="1"/>
    </xf>
    <xf numFmtId="0" fontId="41" fillId="0" borderId="56" xfId="0" applyFont="1" applyBorder="1" applyAlignment="1" applyProtection="1">
      <alignment horizontal="center" vertical="center" wrapText="1"/>
      <protection hidden="1"/>
    </xf>
    <xf numFmtId="0" fontId="41" fillId="0" borderId="61" xfId="0" applyFont="1" applyBorder="1" applyAlignment="1" applyProtection="1">
      <alignment horizontal="center" vertical="center" wrapText="1"/>
      <protection hidden="1"/>
    </xf>
    <xf numFmtId="2" fontId="55" fillId="0" borderId="49" xfId="19" applyNumberFormat="1" applyFont="1" applyBorder="1" applyAlignment="1" applyProtection="1">
      <alignment horizontal="center" vertical="center" wrapText="1"/>
      <protection hidden="1"/>
    </xf>
    <xf numFmtId="2" fontId="55" fillId="0" borderId="48" xfId="19" applyNumberFormat="1" applyFont="1" applyBorder="1" applyAlignment="1" applyProtection="1">
      <alignment horizontal="center" vertical="center" wrapText="1"/>
      <protection hidden="1"/>
    </xf>
    <xf numFmtId="2" fontId="55" fillId="0" borderId="118" xfId="19" applyNumberFormat="1" applyFont="1" applyBorder="1" applyAlignment="1" applyProtection="1">
      <alignment horizontal="center" vertical="center" wrapText="1"/>
      <protection hidden="1"/>
    </xf>
    <xf numFmtId="0" fontId="40" fillId="0" borderId="53" xfId="19" applyFont="1" applyBorder="1" applyAlignment="1" applyProtection="1">
      <alignment horizontal="justify" vertical="center" wrapText="1"/>
      <protection hidden="1"/>
    </xf>
    <xf numFmtId="0" fontId="40" fillId="0" borderId="41" xfId="19" applyFont="1" applyBorder="1" applyAlignment="1" applyProtection="1">
      <alignment vertical="center" wrapText="1"/>
      <protection hidden="1"/>
    </xf>
    <xf numFmtId="0" fontId="72" fillId="0" borderId="149" xfId="19" applyFont="1" applyBorder="1" applyAlignment="1" applyProtection="1">
      <alignment horizontal="center" vertical="center" wrapText="1"/>
      <protection hidden="1"/>
    </xf>
    <xf numFmtId="0" fontId="72" fillId="0" borderId="70" xfId="19" applyFont="1" applyBorder="1" applyAlignment="1" applyProtection="1">
      <alignment horizontal="center" vertical="center" wrapText="1"/>
      <protection hidden="1"/>
    </xf>
    <xf numFmtId="1" fontId="72" fillId="0" borderId="80" xfId="19" applyNumberFormat="1" applyFont="1" applyBorder="1" applyAlignment="1" applyProtection="1">
      <alignment horizontal="center" vertical="center" wrapText="1"/>
      <protection hidden="1"/>
    </xf>
    <xf numFmtId="1" fontId="72" fillId="0" borderId="41" xfId="19" applyNumberFormat="1" applyFont="1" applyBorder="1" applyAlignment="1" applyProtection="1">
      <alignment horizontal="center" vertical="center" wrapText="1"/>
      <protection hidden="1"/>
    </xf>
    <xf numFmtId="1" fontId="72" fillId="0" borderId="117" xfId="19" applyNumberFormat="1" applyFont="1" applyBorder="1" applyAlignment="1" applyProtection="1">
      <alignment horizontal="center" vertical="center" wrapText="1"/>
      <protection hidden="1"/>
    </xf>
    <xf numFmtId="0" fontId="40" fillId="0" borderId="4" xfId="19" applyFont="1" applyBorder="1" applyAlignment="1" applyProtection="1">
      <alignment horizontal="justify" vertical="center" wrapText="1"/>
      <protection hidden="1"/>
    </xf>
    <xf numFmtId="0" fontId="40" fillId="0" borderId="0" xfId="19" applyFont="1" applyBorder="1" applyAlignment="1" applyProtection="1">
      <alignment horizontal="justify" vertical="center" wrapText="1"/>
      <protection hidden="1"/>
    </xf>
    <xf numFmtId="0" fontId="40" fillId="0" borderId="5" xfId="19" applyFont="1" applyBorder="1" applyAlignment="1" applyProtection="1">
      <alignment horizontal="justify" vertical="center" wrapText="1"/>
      <protection hidden="1"/>
    </xf>
    <xf numFmtId="0" fontId="40" fillId="0" borderId="13" xfId="19" applyFont="1" applyBorder="1" applyAlignment="1" applyProtection="1">
      <alignment horizontal="center" vertical="center" wrapText="1"/>
      <protection locked="0"/>
    </xf>
    <xf numFmtId="0" fontId="40" fillId="0" borderId="3" xfId="19" applyFont="1" applyBorder="1" applyAlignment="1" applyProtection="1">
      <alignment horizontal="center" vertical="center" wrapText="1"/>
      <protection locked="0"/>
    </xf>
    <xf numFmtId="0" fontId="40" fillId="0" borderId="7" xfId="19" applyFont="1" applyBorder="1" applyAlignment="1" applyProtection="1">
      <alignment horizontal="center" vertical="center" wrapText="1"/>
      <protection locked="0"/>
    </xf>
    <xf numFmtId="0" fontId="40" fillId="0" borderId="16" xfId="19" applyFont="1" applyBorder="1" applyAlignment="1" applyProtection="1">
      <alignment horizontal="center" vertical="center" wrapText="1"/>
      <protection locked="0"/>
    </xf>
    <xf numFmtId="0" fontId="40" fillId="0" borderId="8" xfId="19" applyFont="1" applyBorder="1" applyAlignment="1" applyProtection="1">
      <alignment horizontal="center" vertical="center" wrapText="1"/>
      <protection locked="0"/>
    </xf>
    <xf numFmtId="0" fontId="40" fillId="0" borderId="9" xfId="19" applyFont="1" applyBorder="1" applyAlignment="1" applyProtection="1">
      <alignment horizontal="center" vertical="center" wrapText="1"/>
      <protection locked="0"/>
    </xf>
    <xf numFmtId="0" fontId="40" fillId="0" borderId="22" xfId="19" applyFont="1" applyBorder="1" applyAlignment="1" applyProtection="1">
      <alignment horizontal="center" vertical="center" wrapText="1"/>
      <protection locked="0"/>
    </xf>
    <xf numFmtId="0" fontId="40" fillId="0" borderId="12" xfId="19" applyFont="1" applyBorder="1" applyAlignment="1" applyProtection="1">
      <alignment horizontal="center" vertical="center" wrapText="1"/>
      <protection locked="0"/>
    </xf>
    <xf numFmtId="0" fontId="41" fillId="11" borderId="3" xfId="19" applyFont="1" applyFill="1" applyBorder="1" applyAlignment="1" applyProtection="1">
      <alignment horizontal="center" vertical="center" wrapText="1"/>
      <protection hidden="1"/>
    </xf>
    <xf numFmtId="0" fontId="41" fillId="11" borderId="16" xfId="19" applyFont="1" applyFill="1" applyBorder="1" applyAlignment="1" applyProtection="1">
      <alignment horizontal="center" vertical="center" wrapText="1"/>
      <protection hidden="1"/>
    </xf>
    <xf numFmtId="0" fontId="41" fillId="11" borderId="9" xfId="19" applyFont="1" applyFill="1" applyBorder="1" applyAlignment="1" applyProtection="1">
      <alignment horizontal="center" vertical="center" wrapText="1"/>
      <protection hidden="1"/>
    </xf>
    <xf numFmtId="0" fontId="41" fillId="11" borderId="22" xfId="19" applyFont="1" applyFill="1" applyBorder="1" applyAlignment="1" applyProtection="1">
      <alignment horizontal="center" vertical="center" wrapText="1"/>
      <protection hidden="1"/>
    </xf>
    <xf numFmtId="0" fontId="41" fillId="11" borderId="12" xfId="19" applyFont="1" applyFill="1" applyBorder="1" applyAlignment="1" applyProtection="1">
      <alignment horizontal="center" vertical="center" wrapText="1"/>
      <protection hidden="1"/>
    </xf>
    <xf numFmtId="0" fontId="40" fillId="0" borderId="3" xfId="19" applyFont="1" applyBorder="1" applyAlignment="1" applyProtection="1">
      <alignment horizontal="justify" vertical="center" wrapText="1"/>
      <protection hidden="1"/>
    </xf>
    <xf numFmtId="0" fontId="40" fillId="0" borderId="7" xfId="19" applyFont="1" applyBorder="1" applyAlignment="1" applyProtection="1">
      <alignment horizontal="justify" vertical="center" wrapText="1"/>
      <protection hidden="1"/>
    </xf>
    <xf numFmtId="0" fontId="40" fillId="0" borderId="16" xfId="19" applyFont="1" applyBorder="1" applyAlignment="1" applyProtection="1">
      <alignment horizontal="justify" vertical="center" wrapText="1"/>
      <protection hidden="1"/>
    </xf>
    <xf numFmtId="0" fontId="41" fillId="11" borderId="3" xfId="19" applyFont="1" applyFill="1" applyBorder="1" applyAlignment="1" applyProtection="1">
      <alignment vertical="center" wrapText="1"/>
      <protection hidden="1"/>
    </xf>
    <xf numFmtId="0" fontId="41" fillId="11" borderId="7" xfId="19" applyFont="1" applyFill="1" applyBorder="1" applyAlignment="1" applyProtection="1">
      <alignment vertical="center" wrapText="1"/>
      <protection hidden="1"/>
    </xf>
    <xf numFmtId="0" fontId="41" fillId="11" borderId="16" xfId="19" applyFont="1" applyFill="1" applyBorder="1" applyAlignment="1" applyProtection="1">
      <alignment vertical="center" wrapText="1"/>
      <protection hidden="1"/>
    </xf>
    <xf numFmtId="0" fontId="41" fillId="11" borderId="4" xfId="19" applyFont="1" applyFill="1" applyBorder="1" applyAlignment="1" applyProtection="1">
      <alignment vertical="center" wrapText="1"/>
      <protection hidden="1"/>
    </xf>
    <xf numFmtId="0" fontId="41" fillId="11" borderId="0" xfId="19" applyFont="1" applyFill="1" applyBorder="1" applyAlignment="1" applyProtection="1">
      <alignment vertical="center" wrapText="1"/>
      <protection hidden="1"/>
    </xf>
    <xf numFmtId="0" fontId="41" fillId="11" borderId="5" xfId="19" applyFont="1" applyFill="1" applyBorder="1" applyAlignment="1" applyProtection="1">
      <alignment vertical="center" wrapText="1"/>
      <protection hidden="1"/>
    </xf>
    <xf numFmtId="0" fontId="41" fillId="11" borderId="6" xfId="19" applyFont="1" applyFill="1" applyBorder="1" applyAlignment="1" applyProtection="1">
      <alignment vertical="center" wrapText="1"/>
      <protection hidden="1"/>
    </xf>
    <xf numFmtId="0" fontId="41" fillId="11" borderId="10" xfId="19" applyFont="1" applyFill="1" applyBorder="1" applyAlignment="1" applyProtection="1">
      <alignment vertical="center" wrapText="1"/>
      <protection hidden="1"/>
    </xf>
    <xf numFmtId="0" fontId="41" fillId="11" borderId="11" xfId="19" applyFont="1" applyFill="1" applyBorder="1" applyAlignment="1" applyProtection="1">
      <alignment vertical="center" wrapText="1"/>
      <protection hidden="1"/>
    </xf>
    <xf numFmtId="0" fontId="41" fillId="11" borderId="7" xfId="19" applyFont="1" applyFill="1" applyBorder="1" applyAlignment="1" applyProtection="1">
      <alignment horizontal="center" vertical="center" wrapText="1"/>
      <protection hidden="1"/>
    </xf>
    <xf numFmtId="0" fontId="41" fillId="11" borderId="6" xfId="19" applyFont="1" applyFill="1" applyBorder="1" applyAlignment="1" applyProtection="1">
      <alignment horizontal="center" vertical="center" wrapText="1"/>
      <protection hidden="1"/>
    </xf>
    <xf numFmtId="0" fontId="41" fillId="11" borderId="10" xfId="19" applyFont="1" applyFill="1" applyBorder="1" applyAlignment="1" applyProtection="1">
      <alignment horizontal="center" vertical="center" wrapText="1"/>
      <protection hidden="1"/>
    </xf>
    <xf numFmtId="0" fontId="41" fillId="11" borderId="11" xfId="19" applyFont="1" applyFill="1" applyBorder="1" applyAlignment="1" applyProtection="1">
      <alignment horizontal="center" vertical="center" wrapText="1"/>
      <protection hidden="1"/>
    </xf>
    <xf numFmtId="0" fontId="41" fillId="11" borderId="3" xfId="19" applyFont="1" applyFill="1" applyBorder="1" applyAlignment="1" applyProtection="1">
      <alignment horizontal="center" wrapText="1"/>
      <protection hidden="1"/>
    </xf>
    <xf numFmtId="0" fontId="41" fillId="11" borderId="7" xfId="19" applyFont="1" applyFill="1" applyBorder="1" applyAlignment="1" applyProtection="1">
      <alignment horizontal="center" wrapText="1"/>
      <protection hidden="1"/>
    </xf>
    <xf numFmtId="0" fontId="41" fillId="11" borderId="16" xfId="19" applyFont="1" applyFill="1" applyBorder="1" applyAlignment="1" applyProtection="1">
      <alignment horizontal="center" wrapText="1"/>
      <protection hidden="1"/>
    </xf>
    <xf numFmtId="0" fontId="41" fillId="11" borderId="6" xfId="19" applyFont="1" applyFill="1" applyBorder="1" applyAlignment="1" applyProtection="1">
      <alignment horizontal="center" wrapText="1"/>
      <protection hidden="1"/>
    </xf>
    <xf numFmtId="0" fontId="41" fillId="11" borderId="10" xfId="19" applyFont="1" applyFill="1" applyBorder="1" applyAlignment="1" applyProtection="1">
      <alignment horizontal="center" wrapText="1"/>
      <protection hidden="1"/>
    </xf>
    <xf numFmtId="0" fontId="41" fillId="11" borderId="11" xfId="19" applyFont="1" applyFill="1" applyBorder="1" applyAlignment="1" applyProtection="1">
      <alignment horizontal="center" wrapText="1"/>
      <protection hidden="1"/>
    </xf>
    <xf numFmtId="0" fontId="41" fillId="9" borderId="50" xfId="19" applyFont="1" applyFill="1" applyBorder="1" applyAlignment="1" applyProtection="1">
      <alignment horizontal="center" vertical="center" wrapText="1"/>
      <protection locked="0"/>
    </xf>
    <xf numFmtId="0" fontId="41" fillId="9" borderId="52" xfId="19" applyFont="1" applyFill="1" applyBorder="1" applyAlignment="1" applyProtection="1">
      <alignment horizontal="center" vertical="center" wrapText="1"/>
      <protection locked="0"/>
    </xf>
    <xf numFmtId="0" fontId="41" fillId="9" borderId="74" xfId="19" applyFont="1" applyFill="1" applyBorder="1" applyAlignment="1" applyProtection="1">
      <alignment horizontal="center" vertical="center" wrapText="1"/>
      <protection locked="0"/>
    </xf>
    <xf numFmtId="0" fontId="41" fillId="9" borderId="66" xfId="19" applyFont="1" applyFill="1" applyBorder="1" applyAlignment="1" applyProtection="1">
      <alignment horizontal="center" vertical="center" wrapText="1"/>
      <protection locked="0"/>
    </xf>
    <xf numFmtId="0" fontId="41" fillId="9" borderId="0" xfId="19" applyFont="1" applyFill="1" applyBorder="1" applyAlignment="1" applyProtection="1">
      <alignment horizontal="center" vertical="center" wrapText="1"/>
      <protection locked="0"/>
    </xf>
    <xf numFmtId="0" fontId="41" fillId="9" borderId="5" xfId="19" applyFont="1" applyFill="1" applyBorder="1" applyAlignment="1" applyProtection="1">
      <alignment horizontal="center" vertical="center" wrapText="1"/>
      <protection locked="0"/>
    </xf>
    <xf numFmtId="0" fontId="41" fillId="9" borderId="67" xfId="19" applyFont="1" applyFill="1" applyBorder="1" applyAlignment="1" applyProtection="1">
      <alignment horizontal="center" vertical="center" wrapText="1"/>
      <protection locked="0"/>
    </xf>
    <xf numFmtId="0" fontId="41" fillId="9" borderId="64" xfId="19" applyFont="1" applyFill="1" applyBorder="1" applyAlignment="1" applyProtection="1">
      <alignment horizontal="center" vertical="center" wrapText="1"/>
      <protection locked="0"/>
    </xf>
    <xf numFmtId="0" fontId="41" fillId="9" borderId="127" xfId="19" applyFont="1" applyFill="1" applyBorder="1" applyAlignment="1" applyProtection="1">
      <alignment horizontal="center" vertical="center" wrapText="1"/>
      <protection locked="0"/>
    </xf>
    <xf numFmtId="2" fontId="55" fillId="9" borderId="73" xfId="19" applyNumberFormat="1" applyFont="1" applyFill="1" applyBorder="1" applyAlignment="1" applyProtection="1">
      <alignment horizontal="center" vertical="center" wrapText="1"/>
      <protection hidden="1"/>
    </xf>
    <xf numFmtId="2" fontId="55" fillId="9" borderId="4" xfId="19" applyNumberFormat="1" applyFont="1" applyFill="1" applyBorder="1" applyAlignment="1" applyProtection="1">
      <alignment horizontal="center" vertical="center" wrapText="1"/>
      <protection hidden="1"/>
    </xf>
    <xf numFmtId="2" fontId="55" fillId="9" borderId="128" xfId="19" applyNumberFormat="1" applyFont="1" applyFill="1" applyBorder="1" applyAlignment="1" applyProtection="1">
      <alignment horizontal="center" vertical="center" wrapText="1"/>
      <protection hidden="1"/>
    </xf>
    <xf numFmtId="0" fontId="55" fillId="9" borderId="50" xfId="19" applyFont="1" applyFill="1" applyBorder="1" applyAlignment="1" applyProtection="1">
      <alignment horizontal="center" vertical="center" wrapText="1"/>
      <protection hidden="1"/>
    </xf>
    <xf numFmtId="0" fontId="55" fillId="9" borderId="66" xfId="19" applyFont="1" applyFill="1" applyBorder="1" applyAlignment="1" applyProtection="1">
      <alignment horizontal="center" vertical="center" wrapText="1"/>
      <protection hidden="1"/>
    </xf>
    <xf numFmtId="0" fontId="55" fillId="9" borderId="67" xfId="19" applyFont="1" applyFill="1" applyBorder="1" applyAlignment="1" applyProtection="1">
      <alignment horizontal="center" vertical="center" wrapText="1"/>
      <protection hidden="1"/>
    </xf>
    <xf numFmtId="0" fontId="41" fillId="0" borderId="0" xfId="19" applyFont="1" applyBorder="1" applyAlignment="1" applyProtection="1">
      <alignment horizontal="left" vertical="center" wrapText="1"/>
      <protection hidden="1"/>
    </xf>
    <xf numFmtId="0" fontId="55" fillId="0" borderId="21" xfId="0" applyFont="1" applyBorder="1" applyAlignment="1" applyProtection="1">
      <alignment horizontal="center"/>
      <protection hidden="1"/>
    </xf>
    <xf numFmtId="0" fontId="55" fillId="0" borderId="22" xfId="0" applyFont="1" applyBorder="1" applyAlignment="1" applyProtection="1">
      <alignment horizontal="center"/>
      <protection hidden="1"/>
    </xf>
    <xf numFmtId="0" fontId="55" fillId="0" borderId="44" xfId="0" applyFont="1" applyBorder="1" applyAlignment="1" applyProtection="1">
      <alignment horizontal="center"/>
      <protection hidden="1"/>
    </xf>
    <xf numFmtId="2" fontId="55" fillId="0" borderId="21" xfId="19" applyNumberFormat="1" applyFont="1" applyBorder="1" applyAlignment="1" applyProtection="1">
      <alignment horizontal="center" vertical="center" wrapText="1"/>
      <protection hidden="1"/>
    </xf>
    <xf numFmtId="2" fontId="55" fillId="0" borderId="22" xfId="19" applyNumberFormat="1" applyFont="1" applyBorder="1" applyAlignment="1" applyProtection="1">
      <alignment horizontal="center" vertical="center" wrapText="1"/>
      <protection hidden="1"/>
    </xf>
    <xf numFmtId="2" fontId="55" fillId="0" borderId="44" xfId="19" applyNumberFormat="1" applyFont="1" applyBorder="1" applyAlignment="1" applyProtection="1">
      <alignment horizontal="center" vertical="center" wrapText="1"/>
      <protection hidden="1"/>
    </xf>
    <xf numFmtId="0" fontId="55" fillId="0" borderId="149" xfId="19" applyFont="1" applyBorder="1" applyAlignment="1" applyProtection="1">
      <alignment horizontal="center" vertical="center" wrapText="1"/>
      <protection hidden="1"/>
    </xf>
    <xf numFmtId="0" fontId="55" fillId="0" borderId="70" xfId="19" applyFont="1" applyBorder="1" applyAlignment="1" applyProtection="1">
      <alignment horizontal="center" vertical="center" wrapText="1"/>
      <protection hidden="1"/>
    </xf>
    <xf numFmtId="1" fontId="55" fillId="0" borderId="80" xfId="19" applyNumberFormat="1" applyFont="1" applyBorder="1" applyAlignment="1" applyProtection="1">
      <alignment horizontal="center" vertical="center" wrapText="1"/>
      <protection hidden="1"/>
    </xf>
    <xf numFmtId="1" fontId="55" fillId="0" borderId="41" xfId="19" applyNumberFormat="1" applyFont="1" applyBorder="1" applyAlignment="1" applyProtection="1">
      <alignment horizontal="center" vertical="center" wrapText="1"/>
      <protection hidden="1"/>
    </xf>
    <xf numFmtId="1" fontId="55" fillId="0" borderId="117" xfId="19" applyNumberFormat="1" applyFont="1" applyBorder="1" applyAlignment="1" applyProtection="1">
      <alignment horizontal="center" vertical="center" wrapText="1"/>
      <protection hidden="1"/>
    </xf>
    <xf numFmtId="0" fontId="41" fillId="11" borderId="3" xfId="19" applyFont="1" applyFill="1" applyBorder="1" applyAlignment="1" applyProtection="1">
      <alignment horizontal="center" vertical="center" wrapText="1"/>
      <protection locked="0"/>
    </xf>
    <xf numFmtId="0" fontId="41" fillId="11" borderId="16" xfId="19" applyFont="1" applyFill="1" applyBorder="1" applyAlignment="1" applyProtection="1">
      <alignment horizontal="center" vertical="center" wrapText="1"/>
      <protection locked="0"/>
    </xf>
    <xf numFmtId="0" fontId="41" fillId="11" borderId="9" xfId="19" applyFont="1" applyFill="1" applyBorder="1" applyAlignment="1" applyProtection="1">
      <alignment horizontal="center" vertical="center" wrapText="1"/>
      <protection locked="0"/>
    </xf>
    <xf numFmtId="0" fontId="41" fillId="11" borderId="22" xfId="19" applyFont="1" applyFill="1" applyBorder="1" applyAlignment="1" applyProtection="1">
      <alignment horizontal="center" vertical="center" wrapText="1"/>
      <protection locked="0"/>
    </xf>
    <xf numFmtId="0" fontId="41" fillId="11" borderId="12" xfId="19" applyFont="1" applyFill="1" applyBorder="1" applyAlignment="1" applyProtection="1">
      <alignment horizontal="center" vertical="center" wrapText="1"/>
      <protection locked="0"/>
    </xf>
    <xf numFmtId="0" fontId="41" fillId="11" borderId="7" xfId="19" applyFont="1" applyFill="1" applyBorder="1" applyAlignment="1" applyProtection="1">
      <alignment horizontal="center" vertical="center" wrapText="1"/>
      <protection locked="0"/>
    </xf>
    <xf numFmtId="0" fontId="41" fillId="11" borderId="6" xfId="19" applyFont="1" applyFill="1" applyBorder="1" applyAlignment="1" applyProtection="1">
      <alignment horizontal="center" vertical="center" wrapText="1"/>
      <protection locked="0"/>
    </xf>
    <xf numFmtId="0" fontId="41" fillId="11" borderId="10" xfId="19" applyFont="1" applyFill="1" applyBorder="1" applyAlignment="1" applyProtection="1">
      <alignment horizontal="center" vertical="center" wrapText="1"/>
      <protection locked="0"/>
    </xf>
    <xf numFmtId="0" fontId="41" fillId="11" borderId="11" xfId="19" applyFont="1" applyFill="1" applyBorder="1" applyAlignment="1" applyProtection="1">
      <alignment horizontal="center" vertical="center" wrapText="1"/>
      <protection locked="0"/>
    </xf>
    <xf numFmtId="0" fontId="41" fillId="0" borderId="0" xfId="19" applyFont="1" applyAlignment="1" applyProtection="1">
      <alignment vertical="center" wrapText="1"/>
      <protection locked="0"/>
    </xf>
    <xf numFmtId="0" fontId="40" fillId="0" borderId="0" xfId="19" applyFont="1" applyAlignment="1" applyProtection="1">
      <alignment horizontal="justify" vertical="center" wrapText="1"/>
      <protection locked="0"/>
    </xf>
    <xf numFmtId="0" fontId="41" fillId="0" borderId="0" xfId="19" applyFont="1" applyBorder="1" applyAlignment="1" applyProtection="1">
      <alignment horizontal="left" vertical="center"/>
      <protection locked="0"/>
    </xf>
    <xf numFmtId="0" fontId="41" fillId="0" borderId="3" xfId="19" applyFont="1" applyFill="1" applyBorder="1" applyAlignment="1" applyProtection="1">
      <alignment horizontal="left" vertical="top" wrapText="1"/>
      <protection locked="0"/>
    </xf>
    <xf numFmtId="0" fontId="41" fillId="0" borderId="7" xfId="19" applyFont="1" applyFill="1" applyBorder="1" applyAlignment="1" applyProtection="1">
      <alignment horizontal="left" vertical="top" wrapText="1"/>
      <protection locked="0"/>
    </xf>
    <xf numFmtId="0" fontId="41" fillId="0" borderId="16" xfId="19" applyFont="1" applyFill="1" applyBorder="1" applyAlignment="1" applyProtection="1">
      <alignment horizontal="left" vertical="top" wrapText="1"/>
      <protection locked="0"/>
    </xf>
    <xf numFmtId="0" fontId="41" fillId="0" borderId="6" xfId="19" applyFont="1" applyFill="1" applyBorder="1" applyAlignment="1" applyProtection="1">
      <alignment horizontal="left" vertical="top" wrapText="1"/>
      <protection locked="0"/>
    </xf>
    <xf numFmtId="0" fontId="41" fillId="0" borderId="10" xfId="19" applyFont="1" applyFill="1" applyBorder="1" applyAlignment="1" applyProtection="1">
      <alignment horizontal="left" vertical="top" wrapText="1"/>
      <protection locked="0"/>
    </xf>
    <xf numFmtId="0" fontId="41" fillId="0" borderId="11" xfId="19" applyFont="1" applyFill="1" applyBorder="1" applyAlignment="1" applyProtection="1">
      <alignment horizontal="left" vertical="top" wrapText="1"/>
      <protection locked="0"/>
    </xf>
    <xf numFmtId="0" fontId="55" fillId="0" borderId="58" xfId="0" applyFont="1" applyBorder="1" applyAlignment="1" applyProtection="1">
      <alignment horizontal="center"/>
      <protection hidden="1"/>
    </xf>
    <xf numFmtId="0" fontId="55" fillId="0" borderId="8" xfId="0" applyFont="1" applyBorder="1" applyAlignment="1" applyProtection="1">
      <alignment horizontal="center"/>
      <protection hidden="1"/>
    </xf>
    <xf numFmtId="0" fontId="55" fillId="0" borderId="98" xfId="0" applyFont="1" applyBorder="1" applyAlignment="1" applyProtection="1">
      <alignment horizontal="center"/>
      <protection hidden="1"/>
    </xf>
    <xf numFmtId="2" fontId="55" fillId="0" borderId="58" xfId="19" applyNumberFormat="1" applyFont="1" applyBorder="1" applyAlignment="1" applyProtection="1">
      <alignment horizontal="center" vertical="center" wrapText="1"/>
      <protection hidden="1"/>
    </xf>
    <xf numFmtId="2" fontId="55" fillId="0" borderId="8" xfId="19" applyNumberFormat="1" applyFont="1" applyBorder="1" applyAlignment="1" applyProtection="1">
      <alignment horizontal="center" vertical="center" wrapText="1"/>
      <protection hidden="1"/>
    </xf>
    <xf numFmtId="2" fontId="55" fillId="0" borderId="98" xfId="19" applyNumberFormat="1" applyFont="1" applyBorder="1" applyAlignment="1" applyProtection="1">
      <alignment horizontal="center" vertical="center" wrapText="1"/>
      <protection hidden="1"/>
    </xf>
    <xf numFmtId="2" fontId="55" fillId="0" borderId="55" xfId="19" applyNumberFormat="1" applyFont="1" applyBorder="1" applyAlignment="1" applyProtection="1">
      <alignment horizontal="center" vertical="center" wrapText="1"/>
      <protection hidden="1"/>
    </xf>
    <xf numFmtId="2" fontId="55" fillId="0" borderId="56" xfId="19" applyNumberFormat="1" applyFont="1" applyBorder="1" applyAlignment="1" applyProtection="1">
      <alignment horizontal="center" vertical="center" wrapText="1"/>
      <protection hidden="1"/>
    </xf>
    <xf numFmtId="2" fontId="55" fillId="0" borderId="69" xfId="19" applyNumberFormat="1" applyFont="1" applyBorder="1" applyAlignment="1" applyProtection="1">
      <alignment horizontal="center" vertical="center" wrapText="1"/>
      <protection hidden="1"/>
    </xf>
    <xf numFmtId="0" fontId="40" fillId="0" borderId="42" xfId="19" applyFont="1" applyBorder="1" applyAlignment="1" applyProtection="1">
      <alignment horizontal="justify" vertical="center" wrapText="1"/>
      <protection hidden="1"/>
    </xf>
    <xf numFmtId="0" fontId="40" fillId="0" borderId="10" xfId="19" applyFont="1" applyBorder="1" applyAlignment="1" applyProtection="1">
      <alignment vertical="center" wrapText="1"/>
      <protection hidden="1"/>
    </xf>
    <xf numFmtId="0" fontId="40" fillId="0" borderId="0" xfId="19" applyFont="1" applyBorder="1" applyAlignment="1" applyProtection="1">
      <alignment vertical="center" wrapText="1"/>
      <protection hidden="1"/>
    </xf>
    <xf numFmtId="0" fontId="40" fillId="0" borderId="8" xfId="19" applyFont="1" applyBorder="1" applyAlignment="1" applyProtection="1">
      <alignment horizontal="justify" vertical="center" wrapText="1"/>
      <protection hidden="1"/>
    </xf>
    <xf numFmtId="0" fontId="40" fillId="0" borderId="8" xfId="19" applyFont="1" applyBorder="1" applyAlignment="1" applyProtection="1">
      <alignment vertical="center" wrapText="1"/>
      <protection hidden="1"/>
    </xf>
    <xf numFmtId="0" fontId="41" fillId="15" borderId="3" xfId="19" applyFont="1" applyFill="1" applyBorder="1" applyAlignment="1" applyProtection="1">
      <alignment horizontal="center" vertical="center" wrapText="1"/>
      <protection hidden="1"/>
    </xf>
    <xf numFmtId="0" fontId="41" fillId="15" borderId="7" xfId="19" applyFont="1" applyFill="1" applyBorder="1" applyAlignment="1" applyProtection="1">
      <alignment horizontal="center" vertical="center" wrapText="1"/>
      <protection hidden="1"/>
    </xf>
    <xf numFmtId="0" fontId="41" fillId="15" borderId="16" xfId="19" applyFont="1" applyFill="1" applyBorder="1" applyAlignment="1" applyProtection="1">
      <alignment horizontal="center" vertical="center" wrapText="1"/>
      <protection hidden="1"/>
    </xf>
    <xf numFmtId="0" fontId="41" fillId="0" borderId="0" xfId="19" applyFont="1" applyAlignment="1" applyProtection="1">
      <alignment vertical="center" wrapText="1"/>
      <protection hidden="1"/>
    </xf>
    <xf numFmtId="0" fontId="40" fillId="0" borderId="0" xfId="19" applyFont="1" applyAlignment="1" applyProtection="1">
      <alignment vertical="center" wrapText="1"/>
      <protection hidden="1"/>
    </xf>
    <xf numFmtId="0" fontId="41" fillId="15" borderId="3" xfId="19" applyFont="1" applyFill="1" applyBorder="1" applyAlignment="1" applyProtection="1">
      <alignment vertical="center" wrapText="1"/>
      <protection hidden="1"/>
    </xf>
    <xf numFmtId="0" fontId="41" fillId="15" borderId="7" xfId="19" applyFont="1" applyFill="1" applyBorder="1" applyAlignment="1" applyProtection="1">
      <alignment vertical="center" wrapText="1"/>
      <protection hidden="1"/>
    </xf>
    <xf numFmtId="0" fontId="41" fillId="15" borderId="16" xfId="19" applyFont="1" applyFill="1" applyBorder="1" applyAlignment="1" applyProtection="1">
      <alignment vertical="center" wrapText="1"/>
      <protection hidden="1"/>
    </xf>
    <xf numFmtId="0" fontId="41" fillId="15" borderId="4" xfId="19" applyFont="1" applyFill="1" applyBorder="1" applyAlignment="1" applyProtection="1">
      <alignment vertical="center" wrapText="1"/>
      <protection hidden="1"/>
    </xf>
    <xf numFmtId="0" fontId="41" fillId="15" borderId="0" xfId="19" applyFont="1" applyFill="1" applyBorder="1" applyAlignment="1" applyProtection="1">
      <alignment vertical="center" wrapText="1"/>
      <protection hidden="1"/>
    </xf>
    <xf numFmtId="0" fontId="41" fillId="15" borderId="5" xfId="19" applyFont="1" applyFill="1" applyBorder="1" applyAlignment="1" applyProtection="1">
      <alignment vertical="center" wrapText="1"/>
      <protection hidden="1"/>
    </xf>
    <xf numFmtId="0" fontId="41" fillId="15" borderId="6" xfId="19" applyFont="1" applyFill="1" applyBorder="1" applyAlignment="1" applyProtection="1">
      <alignment vertical="center" wrapText="1"/>
      <protection hidden="1"/>
    </xf>
    <xf numFmtId="0" fontId="41" fillId="15" borderId="10" xfId="19" applyFont="1" applyFill="1" applyBorder="1" applyAlignment="1" applyProtection="1">
      <alignment vertical="center" wrapText="1"/>
      <protection hidden="1"/>
    </xf>
    <xf numFmtId="0" fontId="41" fillId="15" borderId="11" xfId="19" applyFont="1" applyFill="1" applyBorder="1" applyAlignment="1" applyProtection="1">
      <alignment vertical="center" wrapText="1"/>
      <protection hidden="1"/>
    </xf>
    <xf numFmtId="0" fontId="41" fillId="15" borderId="6" xfId="19" applyFont="1" applyFill="1" applyBorder="1" applyAlignment="1" applyProtection="1">
      <alignment horizontal="center" vertical="center" wrapText="1"/>
      <protection hidden="1"/>
    </xf>
    <xf numFmtId="0" fontId="41" fillId="15" borderId="10" xfId="19" applyFont="1" applyFill="1" applyBorder="1" applyAlignment="1" applyProtection="1">
      <alignment horizontal="center" vertical="center" wrapText="1"/>
      <protection hidden="1"/>
    </xf>
    <xf numFmtId="0" fontId="41" fillId="15" borderId="11" xfId="19" applyFont="1" applyFill="1" applyBorder="1" applyAlignment="1" applyProtection="1">
      <alignment horizontal="center" vertical="center" wrapText="1"/>
      <protection hidden="1"/>
    </xf>
    <xf numFmtId="0" fontId="41" fillId="15" borderId="3" xfId="19" applyFont="1" applyFill="1" applyBorder="1" applyAlignment="1" applyProtection="1">
      <alignment horizontal="center" wrapText="1"/>
      <protection hidden="1"/>
    </xf>
    <xf numFmtId="0" fontId="41" fillId="15" borderId="7" xfId="19" applyFont="1" applyFill="1" applyBorder="1" applyAlignment="1" applyProtection="1">
      <alignment horizontal="center" wrapText="1"/>
      <protection hidden="1"/>
    </xf>
    <xf numFmtId="0" fontId="41" fillId="15" borderId="16" xfId="19" applyFont="1" applyFill="1" applyBorder="1" applyAlignment="1" applyProtection="1">
      <alignment horizontal="center" wrapText="1"/>
      <protection hidden="1"/>
    </xf>
    <xf numFmtId="0" fontId="41" fillId="15" borderId="6" xfId="19" applyFont="1" applyFill="1" applyBorder="1" applyAlignment="1" applyProtection="1">
      <alignment horizontal="center" wrapText="1"/>
      <protection hidden="1"/>
    </xf>
    <xf numFmtId="0" fontId="41" fillId="15" borderId="10" xfId="19" applyFont="1" applyFill="1" applyBorder="1" applyAlignment="1" applyProtection="1">
      <alignment horizontal="center" wrapText="1"/>
      <protection hidden="1"/>
    </xf>
    <xf numFmtId="0" fontId="41" fillId="15" borderId="11" xfId="19" applyFont="1" applyFill="1" applyBorder="1" applyAlignment="1" applyProtection="1">
      <alignment horizontal="center" wrapText="1"/>
      <protection hidden="1"/>
    </xf>
    <xf numFmtId="10" fontId="72" fillId="0" borderId="8" xfId="25" applyNumberFormat="1" applyFont="1" applyFill="1" applyBorder="1" applyAlignment="1" applyProtection="1">
      <alignment vertical="center" wrapText="1"/>
      <protection hidden="1"/>
    </xf>
    <xf numFmtId="164" fontId="72" fillId="0" borderId="8" xfId="30" applyFont="1" applyFill="1" applyBorder="1" applyAlignment="1" applyProtection="1">
      <alignment vertical="center" wrapText="1"/>
      <protection hidden="1"/>
    </xf>
    <xf numFmtId="2" fontId="40" fillId="0" borderId="8" xfId="19" applyNumberFormat="1" applyFont="1" applyBorder="1" applyAlignment="1" applyProtection="1">
      <alignment vertical="center" wrapText="1"/>
      <protection hidden="1"/>
    </xf>
    <xf numFmtId="2" fontId="72" fillId="0" borderId="8" xfId="19" applyNumberFormat="1" applyFont="1" applyBorder="1" applyAlignment="1" applyProtection="1">
      <alignment vertical="center" wrapText="1"/>
      <protection hidden="1"/>
    </xf>
    <xf numFmtId="0" fontId="41" fillId="6" borderId="9" xfId="19" applyFont="1" applyFill="1" applyBorder="1" applyAlignment="1" applyProtection="1">
      <alignment horizontal="left" vertical="center" wrapText="1"/>
      <protection hidden="1"/>
    </xf>
    <xf numFmtId="0" fontId="41" fillId="6" borderId="22" xfId="19" applyFont="1" applyFill="1" applyBorder="1" applyAlignment="1" applyProtection="1">
      <alignment horizontal="left" vertical="center" wrapText="1"/>
      <protection hidden="1"/>
    </xf>
    <xf numFmtId="0" fontId="41" fillId="6" borderId="12" xfId="19" applyFont="1" applyFill="1" applyBorder="1" applyAlignment="1" applyProtection="1">
      <alignment horizontal="left" vertical="center" wrapText="1"/>
      <protection hidden="1"/>
    </xf>
    <xf numFmtId="0" fontId="40" fillId="6" borderId="9" xfId="19" applyFont="1" applyFill="1" applyBorder="1" applyAlignment="1" applyProtection="1">
      <alignment horizontal="center" vertical="center" wrapText="1"/>
      <protection hidden="1"/>
    </xf>
    <xf numFmtId="0" fontId="40" fillId="6" borderId="22" xfId="19" applyFont="1" applyFill="1" applyBorder="1" applyAlignment="1" applyProtection="1">
      <alignment horizontal="center" vertical="center" wrapText="1"/>
      <protection hidden="1"/>
    </xf>
    <xf numFmtId="0" fontId="40" fillId="6" borderId="12" xfId="19" applyFont="1" applyFill="1" applyBorder="1" applyAlignment="1" applyProtection="1">
      <alignment horizontal="center" vertical="center" wrapText="1"/>
      <protection hidden="1"/>
    </xf>
    <xf numFmtId="2" fontId="40" fillId="6" borderId="9" xfId="19" applyNumberFormat="1" applyFont="1" applyFill="1" applyBorder="1" applyAlignment="1" applyProtection="1">
      <alignment horizontal="center" vertical="center" wrapText="1"/>
      <protection hidden="1"/>
    </xf>
    <xf numFmtId="2" fontId="40" fillId="6" borderId="12" xfId="19" applyNumberFormat="1" applyFont="1" applyFill="1" applyBorder="1" applyAlignment="1" applyProtection="1">
      <alignment horizontal="center" vertical="center" wrapText="1"/>
      <protection hidden="1"/>
    </xf>
    <xf numFmtId="2" fontId="55" fillId="6" borderId="9" xfId="19" applyNumberFormat="1" applyFont="1" applyFill="1" applyBorder="1" applyAlignment="1" applyProtection="1">
      <alignment horizontal="right" vertical="center" wrapText="1"/>
      <protection hidden="1"/>
    </xf>
    <xf numFmtId="2" fontId="55" fillId="6" borderId="22" xfId="19" applyNumberFormat="1" applyFont="1" applyFill="1" applyBorder="1" applyAlignment="1" applyProtection="1">
      <alignment horizontal="right" vertical="center" wrapText="1"/>
      <protection hidden="1"/>
    </xf>
    <xf numFmtId="2" fontId="55" fillId="6" borderId="12" xfId="19" applyNumberFormat="1" applyFont="1" applyFill="1" applyBorder="1" applyAlignment="1" applyProtection="1">
      <alignment horizontal="right" vertical="center" wrapText="1"/>
      <protection hidden="1"/>
    </xf>
    <xf numFmtId="0" fontId="40" fillId="0" borderId="8" xfId="19" applyFont="1" applyBorder="1" applyAlignment="1" applyProtection="1">
      <alignment horizontal="left" vertical="center" wrapText="1"/>
      <protection hidden="1"/>
    </xf>
    <xf numFmtId="0" fontId="41" fillId="0" borderId="9" xfId="19" applyFont="1" applyBorder="1" applyAlignment="1" applyProtection="1">
      <alignment vertical="center" wrapText="1"/>
      <protection hidden="1"/>
    </xf>
    <xf numFmtId="0" fontId="40" fillId="0" borderId="22" xfId="19" applyFont="1" applyBorder="1" applyAlignment="1" applyProtection="1">
      <alignment vertical="center" wrapText="1"/>
      <protection hidden="1"/>
    </xf>
    <xf numFmtId="0" fontId="40" fillId="0" borderId="12" xfId="19" applyFont="1" applyBorder="1" applyAlignment="1" applyProtection="1">
      <alignment vertical="center" wrapText="1"/>
      <protection hidden="1"/>
    </xf>
    <xf numFmtId="0" fontId="41" fillId="0" borderId="3" xfId="19" applyFont="1" applyBorder="1" applyAlignment="1" applyProtection="1">
      <alignment vertical="center" wrapText="1"/>
      <protection hidden="1"/>
    </xf>
    <xf numFmtId="0" fontId="41" fillId="0" borderId="7" xfId="19" applyFont="1" applyBorder="1" applyAlignment="1" applyProtection="1">
      <alignment vertical="center" wrapText="1"/>
      <protection hidden="1"/>
    </xf>
    <xf numFmtId="0" fontId="41" fillId="0" borderId="16" xfId="19" applyFont="1" applyBorder="1" applyAlignment="1" applyProtection="1">
      <alignment vertical="center" wrapText="1"/>
      <protection hidden="1"/>
    </xf>
    <xf numFmtId="0" fontId="41" fillId="0" borderId="3" xfId="19" applyFont="1" applyBorder="1" applyAlignment="1" applyProtection="1">
      <alignment horizontal="center" vertical="center" wrapText="1"/>
      <protection hidden="1"/>
    </xf>
    <xf numFmtId="0" fontId="41" fillId="0" borderId="7" xfId="19" applyFont="1" applyBorder="1" applyAlignment="1" applyProtection="1">
      <alignment horizontal="center" vertical="center" wrapText="1"/>
      <protection hidden="1"/>
    </xf>
    <xf numFmtId="0" fontId="41" fillId="0" borderId="16" xfId="19" applyFont="1" applyBorder="1" applyAlignment="1" applyProtection="1">
      <alignment horizontal="center" vertical="center" wrapText="1"/>
      <protection hidden="1"/>
    </xf>
    <xf numFmtId="0" fontId="41" fillId="0" borderId="9" xfId="19" applyFont="1" applyBorder="1" applyAlignment="1" applyProtection="1">
      <alignment horizontal="left" vertical="center" wrapText="1"/>
      <protection hidden="1"/>
    </xf>
    <xf numFmtId="0" fontId="41" fillId="0" borderId="22" xfId="19" applyFont="1" applyBorder="1" applyAlignment="1" applyProtection="1">
      <alignment horizontal="left" vertical="center" wrapText="1"/>
      <protection hidden="1"/>
    </xf>
    <xf numFmtId="0" fontId="41" fillId="0" borderId="12" xfId="19" applyFont="1" applyBorder="1" applyAlignment="1" applyProtection="1">
      <alignment horizontal="left" vertical="center" wrapText="1"/>
      <protection hidden="1"/>
    </xf>
    <xf numFmtId="2" fontId="72" fillId="6" borderId="9" xfId="19" applyNumberFormat="1" applyFont="1" applyFill="1" applyBorder="1" applyAlignment="1" applyProtection="1">
      <alignment horizontal="right" vertical="center" wrapText="1"/>
      <protection hidden="1"/>
    </xf>
    <xf numFmtId="2" fontId="72" fillId="6" borderId="22" xfId="19" applyNumberFormat="1" applyFont="1" applyFill="1" applyBorder="1" applyAlignment="1" applyProtection="1">
      <alignment horizontal="right" vertical="center" wrapText="1"/>
      <protection hidden="1"/>
    </xf>
    <xf numFmtId="2" fontId="72" fillId="6" borderId="12" xfId="19" applyNumberFormat="1" applyFont="1" applyFill="1" applyBorder="1" applyAlignment="1" applyProtection="1">
      <alignment horizontal="right" vertical="center" wrapText="1"/>
      <protection hidden="1"/>
    </xf>
    <xf numFmtId="0" fontId="40" fillId="0" borderId="0" xfId="19" applyFont="1" applyAlignment="1" applyProtection="1">
      <alignment horizontal="center" vertical="center" wrapText="1"/>
      <protection hidden="1"/>
    </xf>
    <xf numFmtId="0" fontId="41" fillId="0" borderId="9" xfId="19" applyFont="1" applyBorder="1" applyAlignment="1" applyProtection="1">
      <alignment horizontal="justify" vertical="center" wrapText="1"/>
      <protection hidden="1"/>
    </xf>
    <xf numFmtId="0" fontId="72" fillId="0" borderId="9" xfId="19" applyNumberFormat="1" applyFont="1" applyBorder="1" applyAlignment="1" applyProtection="1">
      <alignment horizontal="left" vertical="center" wrapText="1"/>
      <protection hidden="1"/>
    </xf>
    <xf numFmtId="0" fontId="72" fillId="0" borderId="22" xfId="19" applyNumberFormat="1" applyFont="1" applyBorder="1" applyAlignment="1" applyProtection="1">
      <alignment horizontal="left" vertical="center" wrapText="1"/>
      <protection hidden="1"/>
    </xf>
    <xf numFmtId="0" fontId="72" fillId="0" borderId="12" xfId="19" applyNumberFormat="1" applyFont="1" applyBorder="1" applyAlignment="1" applyProtection="1">
      <alignment horizontal="left" vertical="center" wrapText="1"/>
      <protection hidden="1"/>
    </xf>
    <xf numFmtId="0" fontId="40" fillId="0" borderId="8" xfId="19" applyFont="1" applyFill="1" applyBorder="1" applyAlignment="1" applyProtection="1">
      <alignment vertical="center" wrapText="1"/>
      <protection hidden="1"/>
    </xf>
    <xf numFmtId="0" fontId="72" fillId="0" borderId="8" xfId="19" applyFont="1" applyBorder="1" applyAlignment="1" applyProtection="1">
      <alignment vertical="center" wrapText="1"/>
      <protection hidden="1"/>
    </xf>
    <xf numFmtId="2" fontId="46" fillId="6" borderId="9" xfId="19" applyNumberFormat="1" applyFont="1" applyFill="1" applyBorder="1" applyAlignment="1" applyProtection="1">
      <alignment horizontal="right" vertical="center" wrapText="1"/>
      <protection hidden="1"/>
    </xf>
    <xf numFmtId="2" fontId="46" fillId="6" borderId="22" xfId="19" applyNumberFormat="1" applyFont="1" applyFill="1" applyBorder="1" applyAlignment="1" applyProtection="1">
      <alignment horizontal="right" vertical="center" wrapText="1"/>
      <protection hidden="1"/>
    </xf>
    <xf numFmtId="2" fontId="46" fillId="6" borderId="12" xfId="19" applyNumberFormat="1" applyFont="1" applyFill="1" applyBorder="1" applyAlignment="1" applyProtection="1">
      <alignment horizontal="right" vertical="center" wrapText="1"/>
      <protection hidden="1"/>
    </xf>
    <xf numFmtId="0" fontId="72" fillId="0" borderId="9" xfId="19" applyFont="1" applyBorder="1" applyAlignment="1" applyProtection="1">
      <alignment vertical="center" wrapText="1"/>
      <protection hidden="1"/>
    </xf>
    <xf numFmtId="0" fontId="72" fillId="0" borderId="22" xfId="19" applyFont="1" applyBorder="1" applyAlignment="1" applyProtection="1">
      <alignment vertical="center" wrapText="1"/>
      <protection hidden="1"/>
    </xf>
    <xf numFmtId="0" fontId="72" fillId="0" borderId="12" xfId="19" applyFont="1" applyBorder="1" applyAlignment="1" applyProtection="1">
      <alignment vertical="center" wrapText="1"/>
      <protection hidden="1"/>
    </xf>
    <xf numFmtId="0" fontId="72" fillId="0" borderId="9" xfId="19" applyFont="1" applyBorder="1" applyAlignment="1" applyProtection="1">
      <alignment horizontal="left" vertical="center" wrapText="1"/>
      <protection hidden="1"/>
    </xf>
    <xf numFmtId="0" fontId="72" fillId="0" borderId="22" xfId="19" applyFont="1" applyBorder="1" applyAlignment="1" applyProtection="1">
      <alignment horizontal="left" vertical="center" wrapText="1"/>
      <protection hidden="1"/>
    </xf>
    <xf numFmtId="0" fontId="72" fillId="0" borderId="12" xfId="19" applyFont="1" applyBorder="1" applyAlignment="1" applyProtection="1">
      <alignment horizontal="left" vertical="center" wrapText="1"/>
      <protection hidden="1"/>
    </xf>
    <xf numFmtId="0" fontId="40" fillId="0" borderId="9" xfId="19" applyFont="1" applyFill="1" applyBorder="1" applyAlignment="1" applyProtection="1">
      <alignment vertical="center" wrapText="1"/>
      <protection hidden="1"/>
    </xf>
    <xf numFmtId="0" fontId="40" fillId="0" borderId="22" xfId="19" applyFont="1" applyFill="1" applyBorder="1" applyAlignment="1" applyProtection="1">
      <alignment vertical="center" wrapText="1"/>
      <protection hidden="1"/>
    </xf>
    <xf numFmtId="0" fontId="40" fillId="0" borderId="12" xfId="19" applyFont="1" applyFill="1" applyBorder="1" applyAlignment="1" applyProtection="1">
      <alignment vertical="center" wrapText="1"/>
      <protection hidden="1"/>
    </xf>
    <xf numFmtId="0" fontId="43" fillId="0" borderId="9" xfId="19" applyNumberFormat="1" applyFont="1" applyBorder="1" applyAlignment="1" applyProtection="1">
      <alignment horizontal="left" vertical="center" wrapText="1"/>
      <protection hidden="1"/>
    </xf>
    <xf numFmtId="0" fontId="43" fillId="0" borderId="22" xfId="19" applyNumberFormat="1" applyFont="1" applyBorder="1" applyAlignment="1" applyProtection="1">
      <alignment horizontal="left" vertical="center" wrapText="1"/>
      <protection hidden="1"/>
    </xf>
    <xf numFmtId="0" fontId="43" fillId="0" borderId="12" xfId="19" applyNumberFormat="1" applyFont="1" applyBorder="1" applyAlignment="1" applyProtection="1">
      <alignment horizontal="left" vertical="center" wrapText="1"/>
      <protection hidden="1"/>
    </xf>
    <xf numFmtId="2" fontId="43" fillId="0" borderId="8" xfId="19" applyNumberFormat="1" applyFont="1" applyBorder="1" applyAlignment="1" applyProtection="1">
      <alignment vertical="center" wrapText="1"/>
      <protection hidden="1"/>
    </xf>
    <xf numFmtId="0" fontId="43" fillId="0" borderId="8" xfId="19" applyFont="1" applyBorder="1" applyAlignment="1" applyProtection="1">
      <alignment vertical="center" wrapText="1"/>
      <protection hidden="1"/>
    </xf>
    <xf numFmtId="193" fontId="72" fillId="0" borderId="9" xfId="19" applyNumberFormat="1" applyFont="1" applyBorder="1" applyAlignment="1" applyProtection="1">
      <alignment horizontal="left" vertical="center" wrapText="1"/>
      <protection hidden="1"/>
    </xf>
    <xf numFmtId="193" fontId="72" fillId="0" borderId="22" xfId="19" applyNumberFormat="1" applyFont="1" applyBorder="1" applyAlignment="1" applyProtection="1">
      <alignment horizontal="left" vertical="center" wrapText="1"/>
      <protection hidden="1"/>
    </xf>
    <xf numFmtId="193" fontId="72" fillId="0" borderId="12" xfId="19" applyNumberFormat="1" applyFont="1" applyBorder="1" applyAlignment="1" applyProtection="1">
      <alignment horizontal="left" vertical="center" wrapText="1"/>
      <protection hidden="1"/>
    </xf>
    <xf numFmtId="0" fontId="41" fillId="6" borderId="9" xfId="19" applyFont="1" applyFill="1" applyBorder="1" applyAlignment="1" applyProtection="1">
      <alignment horizontal="left" vertical="center"/>
      <protection hidden="1"/>
    </xf>
    <xf numFmtId="0" fontId="41" fillId="6" borderId="22" xfId="19" applyFont="1" applyFill="1" applyBorder="1" applyAlignment="1" applyProtection="1">
      <alignment horizontal="left" vertical="center"/>
      <protection hidden="1"/>
    </xf>
    <xf numFmtId="0" fontId="41" fillId="6" borderId="12" xfId="19" applyFont="1" applyFill="1" applyBorder="1" applyAlignment="1" applyProtection="1">
      <alignment horizontal="left" vertical="center"/>
      <protection hidden="1"/>
    </xf>
    <xf numFmtId="0" fontId="61" fillId="0" borderId="8" xfId="19" applyFont="1" applyFill="1" applyBorder="1" applyAlignment="1" applyProtection="1">
      <alignment vertical="center" wrapText="1"/>
      <protection hidden="1"/>
    </xf>
    <xf numFmtId="0" fontId="61" fillId="0" borderId="9" xfId="19" applyFont="1" applyFill="1" applyBorder="1" applyAlignment="1" applyProtection="1">
      <alignment vertical="center" wrapText="1"/>
      <protection hidden="1"/>
    </xf>
    <xf numFmtId="0" fontId="61" fillId="0" borderId="22" xfId="19" applyFont="1" applyFill="1" applyBorder="1" applyAlignment="1" applyProtection="1">
      <alignment vertical="center" wrapText="1"/>
      <protection hidden="1"/>
    </xf>
    <xf numFmtId="0" fontId="61" fillId="0" borderId="12" xfId="19" applyFont="1" applyFill="1" applyBorder="1" applyAlignment="1" applyProtection="1">
      <alignment vertical="center" wrapText="1"/>
      <protection hidden="1"/>
    </xf>
    <xf numFmtId="2" fontId="61" fillId="0" borderId="9" xfId="19" applyNumberFormat="1" applyFont="1" applyFill="1" applyBorder="1" applyAlignment="1" applyProtection="1">
      <alignment vertical="center" wrapText="1"/>
      <protection hidden="1"/>
    </xf>
    <xf numFmtId="2" fontId="61" fillId="0" borderId="22" xfId="19" applyNumberFormat="1" applyFont="1" applyFill="1" applyBorder="1" applyAlignment="1" applyProtection="1">
      <alignment vertical="center" wrapText="1"/>
      <protection hidden="1"/>
    </xf>
    <xf numFmtId="2" fontId="61" fillId="0" borderId="12" xfId="19" applyNumberFormat="1" applyFont="1" applyFill="1" applyBorder="1" applyAlignment="1" applyProtection="1">
      <alignment vertical="center" wrapText="1"/>
      <protection hidden="1"/>
    </xf>
    <xf numFmtId="2" fontId="40" fillId="0" borderId="9" xfId="19" applyNumberFormat="1" applyFont="1" applyBorder="1" applyAlignment="1" applyProtection="1">
      <alignment vertical="center" wrapText="1"/>
      <protection hidden="1"/>
    </xf>
    <xf numFmtId="2" fontId="40" fillId="0" borderId="12" xfId="19" applyNumberFormat="1" applyFont="1" applyBorder="1" applyAlignment="1" applyProtection="1">
      <alignment vertical="center" wrapText="1"/>
      <protection hidden="1"/>
    </xf>
    <xf numFmtId="2" fontId="43" fillId="0" borderId="9" xfId="19" applyNumberFormat="1" applyFont="1" applyBorder="1" applyAlignment="1" applyProtection="1">
      <alignment vertical="center" wrapText="1"/>
      <protection hidden="1"/>
    </xf>
    <xf numFmtId="2" fontId="43" fillId="0" borderId="22" xfId="19" applyNumberFormat="1" applyFont="1" applyBorder="1" applyAlignment="1" applyProtection="1">
      <alignment vertical="center" wrapText="1"/>
      <protection hidden="1"/>
    </xf>
    <xf numFmtId="2" fontId="43" fillId="0" borderId="12" xfId="19" applyNumberFormat="1" applyFont="1" applyBorder="1" applyAlignment="1" applyProtection="1">
      <alignment vertical="center" wrapText="1"/>
      <protection hidden="1"/>
    </xf>
    <xf numFmtId="0" fontId="40" fillId="0" borderId="6" xfId="19" applyFont="1" applyBorder="1" applyAlignment="1" applyProtection="1">
      <alignment vertical="center" wrapText="1"/>
      <protection locked="0"/>
    </xf>
    <xf numFmtId="0" fontId="40" fillId="0" borderId="10" xfId="19" applyFont="1" applyBorder="1" applyAlignment="1" applyProtection="1">
      <alignment vertical="center" wrapText="1"/>
      <protection locked="0"/>
    </xf>
    <xf numFmtId="0" fontId="40" fillId="0" borderId="0" xfId="19" applyFont="1" applyBorder="1" applyAlignment="1" applyProtection="1">
      <alignment vertical="center" wrapText="1"/>
      <protection locked="0"/>
    </xf>
    <xf numFmtId="0" fontId="40" fillId="0" borderId="4" xfId="19" applyFont="1" applyBorder="1" applyAlignment="1" applyProtection="1">
      <alignment vertical="center" wrapText="1"/>
      <protection hidden="1"/>
    </xf>
    <xf numFmtId="180" fontId="43" fillId="0" borderId="0" xfId="19" applyNumberFormat="1" applyFont="1" applyBorder="1" applyAlignment="1" applyProtection="1">
      <alignment horizontal="left" vertical="center" wrapText="1"/>
      <protection hidden="1"/>
    </xf>
    <xf numFmtId="180" fontId="43" fillId="0" borderId="0" xfId="19" applyNumberFormat="1" applyFont="1" applyBorder="1" applyAlignment="1" applyProtection="1">
      <alignment vertical="center" wrapText="1"/>
      <protection hidden="1"/>
    </xf>
    <xf numFmtId="0" fontId="40" fillId="0" borderId="4" xfId="19" applyFont="1" applyBorder="1" applyAlignment="1" applyProtection="1">
      <alignment vertical="center" wrapText="1"/>
      <protection locked="0"/>
    </xf>
    <xf numFmtId="0" fontId="40" fillId="0" borderId="5" xfId="19" applyFont="1" applyBorder="1" applyAlignment="1" applyProtection="1">
      <alignment vertical="center" wrapText="1"/>
      <protection locked="0"/>
    </xf>
    <xf numFmtId="0" fontId="40" fillId="0" borderId="0" xfId="19" applyFont="1" applyBorder="1" applyAlignment="1" applyProtection="1">
      <alignment horizontal="left" vertical="center" wrapText="1"/>
      <protection locked="0"/>
    </xf>
    <xf numFmtId="14" fontId="40" fillId="0" borderId="10" xfId="19" applyNumberFormat="1" applyFont="1" applyBorder="1" applyAlignment="1" applyProtection="1">
      <alignment vertical="center" wrapText="1"/>
      <protection locked="0"/>
    </xf>
    <xf numFmtId="0" fontId="40" fillId="0" borderId="11" xfId="19" applyFont="1" applyBorder="1" applyAlignment="1" applyProtection="1">
      <alignment vertical="center" wrapText="1"/>
      <protection locked="0"/>
    </xf>
    <xf numFmtId="180" fontId="72" fillId="0" borderId="0" xfId="19" applyNumberFormat="1" applyFont="1" applyBorder="1" applyAlignment="1" applyProtection="1">
      <alignment horizontal="left" vertical="top" wrapText="1"/>
      <protection hidden="1"/>
    </xf>
    <xf numFmtId="180" fontId="72" fillId="0" borderId="0" xfId="19" applyNumberFormat="1" applyFont="1" applyBorder="1" applyAlignment="1" applyProtection="1">
      <alignment horizontal="left" vertical="center" wrapText="1"/>
      <protection hidden="1"/>
    </xf>
    <xf numFmtId="180" fontId="72" fillId="0" borderId="0" xfId="19" applyNumberFormat="1" applyFont="1" applyBorder="1" applyAlignment="1" applyProtection="1">
      <alignment vertical="center" wrapText="1"/>
      <protection hidden="1"/>
    </xf>
    <xf numFmtId="0" fontId="72" fillId="0" borderId="0" xfId="19" quotePrefix="1" applyFont="1" applyBorder="1" applyAlignment="1" applyProtection="1">
      <alignment vertical="center" wrapText="1"/>
      <protection hidden="1"/>
    </xf>
    <xf numFmtId="0" fontId="72" fillId="0" borderId="0" xfId="19" applyFont="1" applyBorder="1" applyAlignment="1" applyProtection="1">
      <alignment vertical="center" wrapText="1"/>
      <protection hidden="1"/>
    </xf>
    <xf numFmtId="0" fontId="72" fillId="0" borderId="5" xfId="19" applyFont="1" applyBorder="1" applyAlignment="1" applyProtection="1">
      <alignment vertical="center" wrapText="1"/>
      <protection hidden="1"/>
    </xf>
    <xf numFmtId="0" fontId="40" fillId="0" borderId="4" xfId="19" applyFont="1" applyFill="1" applyBorder="1" applyAlignment="1" applyProtection="1">
      <alignment vertical="center" wrapText="1"/>
      <protection hidden="1"/>
    </xf>
    <xf numFmtId="0" fontId="40" fillId="0" borderId="0" xfId="19" applyFont="1" applyFill="1" applyBorder="1" applyAlignment="1" applyProtection="1">
      <alignment vertical="center" wrapText="1"/>
      <protection hidden="1"/>
    </xf>
    <xf numFmtId="178" fontId="72" fillId="0" borderId="0" xfId="9" applyNumberFormat="1" applyFont="1" applyFill="1" applyBorder="1" applyAlignment="1" applyProtection="1">
      <alignment horizontal="left" vertical="center" wrapText="1"/>
      <protection hidden="1"/>
    </xf>
    <xf numFmtId="178" fontId="72" fillId="0" borderId="5" xfId="9" applyNumberFormat="1" applyFont="1" applyFill="1" applyBorder="1" applyAlignment="1" applyProtection="1">
      <alignment horizontal="left" vertical="center" wrapText="1"/>
      <protection hidden="1"/>
    </xf>
    <xf numFmtId="0" fontId="39" fillId="4" borderId="62" xfId="19" applyFont="1" applyFill="1" applyBorder="1" applyAlignment="1" applyProtection="1">
      <alignment horizontal="center" vertical="center" wrapText="1"/>
      <protection hidden="1"/>
    </xf>
    <xf numFmtId="0" fontId="39" fillId="4" borderId="45" xfId="19" applyFont="1" applyFill="1" applyBorder="1" applyAlignment="1" applyProtection="1">
      <alignment horizontal="center" vertical="center" wrapText="1"/>
      <protection hidden="1"/>
    </xf>
    <xf numFmtId="0" fontId="39" fillId="4" borderId="63" xfId="19" applyFont="1" applyFill="1" applyBorder="1" applyAlignment="1" applyProtection="1">
      <alignment horizontal="center" vertical="center" wrapText="1"/>
      <protection hidden="1"/>
    </xf>
    <xf numFmtId="0" fontId="40" fillId="17" borderId="3" xfId="19" applyFont="1" applyFill="1" applyBorder="1" applyAlignment="1" applyProtection="1">
      <alignment vertical="center" wrapText="1"/>
      <protection hidden="1"/>
    </xf>
    <xf numFmtId="0" fontId="40" fillId="17" borderId="7" xfId="19" applyFont="1" applyFill="1" applyBorder="1" applyAlignment="1" applyProtection="1">
      <alignment vertical="center" wrapText="1"/>
      <protection hidden="1"/>
    </xf>
    <xf numFmtId="0" fontId="40" fillId="17" borderId="8" xfId="19" applyFont="1" applyFill="1" applyBorder="1" applyAlignment="1" applyProtection="1">
      <alignment vertical="center" wrapText="1"/>
      <protection hidden="1"/>
    </xf>
    <xf numFmtId="0" fontId="40" fillId="0" borderId="3" xfId="19" applyFont="1" applyBorder="1" applyAlignment="1" applyProtection="1">
      <alignment vertical="center" wrapText="1"/>
      <protection hidden="1"/>
    </xf>
    <xf numFmtId="0" fontId="40" fillId="0" borderId="7" xfId="19" applyFont="1" applyBorder="1" applyAlignment="1" applyProtection="1">
      <alignment vertical="center" wrapText="1"/>
      <protection hidden="1"/>
    </xf>
    <xf numFmtId="180" fontId="72" fillId="0" borderId="7" xfId="19" applyNumberFormat="1" applyFont="1" applyBorder="1" applyAlignment="1" applyProtection="1">
      <alignment horizontal="left" vertical="center" wrapText="1"/>
      <protection hidden="1"/>
    </xf>
    <xf numFmtId="180" fontId="72" fillId="0" borderId="7" xfId="19" applyNumberFormat="1" applyFont="1" applyBorder="1" applyAlignment="1" applyProtection="1">
      <alignment vertical="center" wrapText="1"/>
      <protection hidden="1"/>
    </xf>
    <xf numFmtId="0" fontId="40" fillId="0" borderId="3" xfId="19" applyFont="1" applyFill="1" applyBorder="1" applyAlignment="1" applyProtection="1">
      <alignment horizontal="left" vertical="center" wrapText="1"/>
      <protection hidden="1"/>
    </xf>
    <xf numFmtId="0" fontId="40" fillId="0" borderId="7" xfId="19" applyFont="1" applyFill="1" applyBorder="1" applyAlignment="1" applyProtection="1">
      <alignment horizontal="left" vertical="center" wrapText="1"/>
      <protection hidden="1"/>
    </xf>
    <xf numFmtId="0" fontId="40" fillId="0" borderId="4" xfId="19" applyFont="1" applyFill="1" applyBorder="1" applyAlignment="1" applyProtection="1">
      <alignment horizontal="left" vertical="center" wrapText="1"/>
      <protection hidden="1"/>
    </xf>
    <xf numFmtId="0" fontId="40" fillId="0" borderId="0" xfId="19" applyFont="1" applyFill="1" applyBorder="1" applyAlignment="1" applyProtection="1">
      <alignment horizontal="left" vertical="center" wrapText="1"/>
      <protection hidden="1"/>
    </xf>
    <xf numFmtId="0" fontId="40" fillId="0" borderId="7" xfId="19" applyFont="1" applyFill="1" applyBorder="1" applyAlignment="1" applyProtection="1">
      <alignment horizontal="center" vertical="center" wrapText="1"/>
      <protection hidden="1"/>
    </xf>
    <xf numFmtId="0" fontId="40" fillId="0" borderId="0" xfId="19" applyFont="1" applyFill="1" applyBorder="1" applyAlignment="1" applyProtection="1">
      <alignment horizontal="center" vertical="center" wrapText="1"/>
      <protection hidden="1"/>
    </xf>
    <xf numFmtId="178" fontId="72" fillId="0" borderId="7" xfId="9" applyNumberFormat="1" applyFont="1" applyFill="1" applyBorder="1" applyAlignment="1" applyProtection="1">
      <alignment horizontal="left" vertical="center" wrapText="1"/>
      <protection hidden="1"/>
    </xf>
    <xf numFmtId="178" fontId="72" fillId="0" borderId="16" xfId="9" applyNumberFormat="1" applyFont="1" applyFill="1" applyBorder="1" applyAlignment="1" applyProtection="1">
      <alignment horizontal="left" vertical="center" wrapText="1"/>
      <protection hidden="1"/>
    </xf>
    <xf numFmtId="0" fontId="61" fillId="0" borderId="0" xfId="19" applyFont="1" applyBorder="1" applyAlignment="1" applyProtection="1">
      <alignment horizontal="left" vertical="center" wrapText="1"/>
      <protection locked="0"/>
    </xf>
    <xf numFmtId="0" fontId="0" fillId="0" borderId="0" xfId="0"/>
    <xf numFmtId="0" fontId="0" fillId="0" borderId="64" xfId="0" applyBorder="1" applyAlignment="1">
      <alignment vertical="center" wrapText="1"/>
    </xf>
    <xf numFmtId="0" fontId="0" fillId="0" borderId="68" xfId="0" applyBorder="1" applyAlignment="1">
      <alignment vertical="center" wrapText="1"/>
    </xf>
    <xf numFmtId="0" fontId="41" fillId="0" borderId="8" xfId="0" applyFont="1" applyBorder="1" applyAlignment="1" applyProtection="1">
      <alignment horizontal="center" vertical="center" wrapText="1"/>
      <protection locked="0"/>
    </xf>
    <xf numFmtId="0" fontId="41" fillId="3" borderId="7" xfId="0" applyFont="1" applyFill="1" applyBorder="1" applyAlignment="1" applyProtection="1">
      <alignment horizontal="center"/>
      <protection locked="0"/>
    </xf>
    <xf numFmtId="0" fontId="41" fillId="0" borderId="8" xfId="0" applyFont="1" applyBorder="1" applyAlignment="1" applyProtection="1">
      <alignment horizontal="center"/>
      <protection locked="0"/>
    </xf>
    <xf numFmtId="0" fontId="40" fillId="0" borderId="9" xfId="0" applyFont="1" applyBorder="1" applyAlignment="1" applyProtection="1">
      <alignment horizontal="left" vertical="top" wrapText="1"/>
      <protection locked="0"/>
    </xf>
    <xf numFmtId="0" fontId="40" fillId="0" borderId="22" xfId="0" applyFont="1" applyBorder="1" applyAlignment="1" applyProtection="1">
      <alignment horizontal="left" vertical="top" wrapText="1"/>
      <protection locked="0"/>
    </xf>
    <xf numFmtId="0" fontId="40" fillId="0" borderId="12" xfId="0" applyFont="1" applyBorder="1" applyAlignment="1" applyProtection="1">
      <alignment horizontal="left" vertical="top" wrapText="1"/>
      <protection locked="0"/>
    </xf>
    <xf numFmtId="0" fontId="40" fillId="0" borderId="7" xfId="0" applyFont="1" applyBorder="1" applyAlignment="1" applyProtection="1">
      <alignment horizontal="left" vertical="top" wrapText="1"/>
      <protection locked="0"/>
    </xf>
    <xf numFmtId="0" fontId="41" fillId="0" borderId="4" xfId="0" applyFont="1" applyBorder="1" applyAlignment="1" applyProtection="1">
      <alignment horizontal="center" vertical="top" wrapText="1"/>
      <protection hidden="1"/>
    </xf>
    <xf numFmtId="0" fontId="41" fillId="0" borderId="0" xfId="0" applyFont="1" applyBorder="1" applyAlignment="1" applyProtection="1">
      <alignment horizontal="center" vertical="top" wrapText="1"/>
      <protection hidden="1"/>
    </xf>
    <xf numFmtId="0" fontId="41" fillId="0" borderId="5" xfId="0" applyFont="1" applyBorder="1" applyAlignment="1" applyProtection="1">
      <alignment horizontal="center" vertical="top" wrapText="1"/>
      <protection hidden="1"/>
    </xf>
    <xf numFmtId="0" fontId="41" fillId="0" borderId="10" xfId="0" applyFont="1" applyBorder="1" applyAlignment="1" applyProtection="1">
      <alignment horizontal="center"/>
      <protection locked="0"/>
    </xf>
    <xf numFmtId="0" fontId="41" fillId="0" borderId="6" xfId="0" applyFont="1" applyBorder="1" applyAlignment="1" applyProtection="1">
      <alignment horizontal="center"/>
      <protection locked="0"/>
    </xf>
    <xf numFmtId="0" fontId="41" fillId="0" borderId="11" xfId="0" applyFont="1" applyBorder="1" applyAlignment="1" applyProtection="1">
      <alignment horizontal="center"/>
      <protection locked="0"/>
    </xf>
    <xf numFmtId="0" fontId="41" fillId="0" borderId="7" xfId="0" applyFont="1" applyBorder="1" applyAlignment="1" applyProtection="1">
      <alignment horizontal="center"/>
      <protection locked="0"/>
    </xf>
    <xf numFmtId="0" fontId="41" fillId="0" borderId="7" xfId="0" applyFont="1" applyBorder="1" applyAlignment="1" applyProtection="1">
      <alignment horizontal="center" vertical="top" wrapText="1"/>
      <protection locked="0"/>
    </xf>
    <xf numFmtId="0" fontId="41" fillId="0" borderId="16" xfId="0" applyFont="1" applyBorder="1" applyAlignment="1" applyProtection="1">
      <alignment horizontal="center" vertical="top" wrapText="1"/>
      <protection locked="0"/>
    </xf>
    <xf numFmtId="0" fontId="72" fillId="0" borderId="0" xfId="18" applyFont="1" applyBorder="1" applyAlignment="1" applyProtection="1">
      <alignment horizontal="center" vertical="top" wrapText="1"/>
      <protection locked="0"/>
    </xf>
    <xf numFmtId="0" fontId="43" fillId="0" borderId="0" xfId="18" applyFont="1" applyBorder="1" applyAlignment="1" applyProtection="1">
      <alignment horizontal="center" vertical="top" wrapText="1"/>
      <protection locked="0"/>
    </xf>
    <xf numFmtId="0" fontId="40" fillId="0" borderId="0" xfId="18" applyFont="1" applyBorder="1" applyAlignment="1" applyProtection="1">
      <alignment horizontal="left" vertical="center" wrapText="1"/>
      <protection hidden="1"/>
    </xf>
    <xf numFmtId="0" fontId="72" fillId="0" borderId="0" xfId="18" applyFont="1" applyBorder="1" applyAlignment="1" applyProtection="1">
      <alignment horizontal="left" vertical="top" wrapText="1"/>
      <protection hidden="1"/>
    </xf>
    <xf numFmtId="178" fontId="43" fillId="0" borderId="0" xfId="9" applyNumberFormat="1" applyFont="1" applyBorder="1" applyAlignment="1" applyProtection="1">
      <alignment horizontal="center" vertical="top" wrapText="1"/>
      <protection locked="0"/>
    </xf>
    <xf numFmtId="0" fontId="40" fillId="0" borderId="0" xfId="18" applyFont="1" applyBorder="1" applyAlignment="1" applyProtection="1">
      <alignment horizontal="left" vertical="center" wrapText="1"/>
      <protection locked="0"/>
    </xf>
    <xf numFmtId="178" fontId="43" fillId="0" borderId="0" xfId="9" applyNumberFormat="1" applyFont="1" applyBorder="1" applyAlignment="1" applyProtection="1">
      <alignment horizontal="left" vertical="top" wrapText="1"/>
      <protection locked="0"/>
    </xf>
    <xf numFmtId="0" fontId="72" fillId="0" borderId="0" xfId="18" applyFont="1" applyBorder="1" applyAlignment="1" applyProtection="1">
      <alignment horizontal="left" vertical="center" wrapText="1"/>
      <protection hidden="1"/>
    </xf>
    <xf numFmtId="178" fontId="43" fillId="0" borderId="0" xfId="9" applyNumberFormat="1" applyFont="1" applyBorder="1" applyAlignment="1" applyProtection="1">
      <alignment horizontal="left" vertical="center" wrapText="1"/>
      <protection locked="0"/>
    </xf>
    <xf numFmtId="0" fontId="43" fillId="0" borderId="0" xfId="18" applyFont="1" applyBorder="1" applyAlignment="1" applyProtection="1">
      <alignment horizontal="left" vertical="top" wrapText="1"/>
      <protection locked="0"/>
    </xf>
    <xf numFmtId="0" fontId="45" fillId="0" borderId="0" xfId="18" applyFont="1" applyBorder="1" applyAlignment="1" applyProtection="1">
      <alignment horizontal="center" vertical="center" wrapText="1"/>
      <protection locked="0"/>
    </xf>
    <xf numFmtId="0" fontId="45" fillId="0" borderId="0" xfId="18" applyFont="1" applyBorder="1" applyAlignment="1" applyProtection="1">
      <alignment horizontal="left" vertical="top" wrapText="1"/>
      <protection locked="0"/>
    </xf>
    <xf numFmtId="0" fontId="41" fillId="0" borderId="0" xfId="0" applyFont="1" applyFill="1" applyBorder="1" applyAlignment="1" applyProtection="1">
      <alignment horizontal="center" vertical="top"/>
      <protection hidden="1"/>
    </xf>
    <xf numFmtId="0" fontId="41" fillId="16" borderId="50" xfId="0" applyFont="1" applyFill="1" applyBorder="1" applyAlignment="1" applyProtection="1">
      <alignment horizontal="center" vertical="center"/>
      <protection hidden="1"/>
    </xf>
    <xf numFmtId="0" fontId="41" fillId="16" borderId="52" xfId="0" applyFont="1" applyFill="1" applyBorder="1" applyAlignment="1" applyProtection="1">
      <alignment horizontal="center" vertical="center"/>
      <protection hidden="1"/>
    </xf>
    <xf numFmtId="0" fontId="41" fillId="16" borderId="65" xfId="0" applyFont="1" applyFill="1" applyBorder="1" applyAlignment="1" applyProtection="1">
      <alignment horizontal="center" vertical="center"/>
      <protection hidden="1"/>
    </xf>
    <xf numFmtId="0" fontId="41" fillId="16" borderId="66" xfId="0" applyFont="1" applyFill="1" applyBorder="1" applyAlignment="1" applyProtection="1">
      <alignment horizontal="center" vertical="center"/>
      <protection hidden="1"/>
    </xf>
    <xf numFmtId="0" fontId="41" fillId="16" borderId="0" xfId="0" applyFont="1" applyFill="1" applyBorder="1" applyAlignment="1" applyProtection="1">
      <alignment horizontal="center" vertical="center"/>
      <protection hidden="1"/>
    </xf>
    <xf numFmtId="0" fontId="41" fillId="16" borderId="47" xfId="0" applyFont="1" applyFill="1" applyBorder="1" applyAlignment="1" applyProtection="1">
      <alignment horizontal="center" vertical="center"/>
      <protection hidden="1"/>
    </xf>
    <xf numFmtId="0" fontId="41" fillId="16" borderId="67" xfId="0" applyFont="1" applyFill="1" applyBorder="1" applyAlignment="1" applyProtection="1">
      <alignment horizontal="center" vertical="center"/>
      <protection hidden="1"/>
    </xf>
    <xf numFmtId="0" fontId="41" fillId="16" borderId="64" xfId="0" applyFont="1" applyFill="1" applyBorder="1" applyAlignment="1" applyProtection="1">
      <alignment horizontal="center" vertical="center"/>
      <protection hidden="1"/>
    </xf>
    <xf numFmtId="0" fontId="41" fillId="16" borderId="68" xfId="0" applyFont="1" applyFill="1" applyBorder="1" applyAlignment="1" applyProtection="1">
      <alignment horizontal="center" vertical="center"/>
      <protection hidden="1"/>
    </xf>
    <xf numFmtId="175" fontId="55" fillId="16" borderId="50" xfId="0" applyNumberFormat="1" applyFont="1" applyFill="1" applyBorder="1" applyAlignment="1" applyProtection="1">
      <alignment horizontal="center" vertical="center" wrapText="1"/>
      <protection hidden="1"/>
    </xf>
    <xf numFmtId="175" fontId="55" fillId="16" borderId="65" xfId="0" applyNumberFormat="1" applyFont="1" applyFill="1" applyBorder="1" applyAlignment="1" applyProtection="1">
      <alignment horizontal="center" vertical="center" wrapText="1"/>
      <protection hidden="1"/>
    </xf>
    <xf numFmtId="175" fontId="55" fillId="16" borderId="66" xfId="0" applyNumberFormat="1" applyFont="1" applyFill="1" applyBorder="1" applyAlignment="1" applyProtection="1">
      <alignment horizontal="center" vertical="center" wrapText="1"/>
      <protection hidden="1"/>
    </xf>
    <xf numFmtId="175" fontId="55" fillId="16" borderId="47" xfId="0" applyNumberFormat="1" applyFont="1" applyFill="1" applyBorder="1" applyAlignment="1" applyProtection="1">
      <alignment horizontal="center" vertical="center" wrapText="1"/>
      <protection hidden="1"/>
    </xf>
    <xf numFmtId="175" fontId="55" fillId="16" borderId="67" xfId="0" applyNumberFormat="1" applyFont="1" applyFill="1" applyBorder="1" applyAlignment="1" applyProtection="1">
      <alignment horizontal="center" vertical="center" wrapText="1"/>
      <protection hidden="1"/>
    </xf>
    <xf numFmtId="175" fontId="55" fillId="16" borderId="68" xfId="0" applyNumberFormat="1" applyFont="1" applyFill="1" applyBorder="1" applyAlignment="1" applyProtection="1">
      <alignment horizontal="center" vertical="center" wrapText="1"/>
      <protection hidden="1"/>
    </xf>
    <xf numFmtId="0" fontId="154" fillId="16" borderId="50" xfId="0" applyFont="1" applyFill="1" applyBorder="1" applyAlignment="1" applyProtection="1">
      <alignment horizontal="center" vertical="center" wrapText="1"/>
      <protection hidden="1"/>
    </xf>
    <xf numFmtId="0" fontId="154" fillId="16" borderId="65" xfId="0" applyFont="1" applyFill="1" applyBorder="1" applyAlignment="1" applyProtection="1">
      <alignment horizontal="center" vertical="center" wrapText="1"/>
      <protection hidden="1"/>
    </xf>
    <xf numFmtId="0" fontId="154" fillId="16" borderId="66" xfId="0" applyFont="1" applyFill="1" applyBorder="1" applyAlignment="1" applyProtection="1">
      <alignment horizontal="center" vertical="center" wrapText="1"/>
      <protection hidden="1"/>
    </xf>
    <xf numFmtId="0" fontId="154" fillId="16" borderId="47" xfId="0" applyFont="1" applyFill="1" applyBorder="1" applyAlignment="1" applyProtection="1">
      <alignment horizontal="center" vertical="center" wrapText="1"/>
      <protection hidden="1"/>
    </xf>
    <xf numFmtId="0" fontId="154" fillId="16" borderId="67" xfId="0" applyFont="1" applyFill="1" applyBorder="1" applyAlignment="1" applyProtection="1">
      <alignment horizontal="center" vertical="center" wrapText="1"/>
      <protection hidden="1"/>
    </xf>
    <xf numFmtId="0" fontId="154" fillId="16" borderId="68" xfId="0" applyFont="1" applyFill="1" applyBorder="1" applyAlignment="1" applyProtection="1">
      <alignment horizontal="center" vertical="center" wrapText="1"/>
      <protection hidden="1"/>
    </xf>
    <xf numFmtId="0" fontId="41" fillId="19" borderId="50" xfId="0" applyFont="1" applyFill="1" applyBorder="1" applyAlignment="1" applyProtection="1">
      <alignment horizontal="center" vertical="center"/>
      <protection hidden="1"/>
    </xf>
    <xf numFmtId="0" fontId="41" fillId="19" borderId="52" xfId="0" applyFont="1" applyFill="1" applyBorder="1" applyAlignment="1" applyProtection="1">
      <alignment horizontal="center" vertical="center"/>
      <protection hidden="1"/>
    </xf>
    <xf numFmtId="0" fontId="41" fillId="19" borderId="65" xfId="0" applyFont="1" applyFill="1" applyBorder="1" applyAlignment="1" applyProtection="1">
      <alignment horizontal="center" vertical="center"/>
      <protection hidden="1"/>
    </xf>
    <xf numFmtId="0" fontId="41" fillId="19" borderId="66" xfId="0" applyFont="1" applyFill="1" applyBorder="1" applyAlignment="1" applyProtection="1">
      <alignment horizontal="center" vertical="center"/>
      <protection hidden="1"/>
    </xf>
    <xf numFmtId="0" fontId="41" fillId="19" borderId="0" xfId="0" applyFont="1" applyFill="1" applyBorder="1" applyAlignment="1" applyProtection="1">
      <alignment horizontal="center" vertical="center"/>
      <protection hidden="1"/>
    </xf>
    <xf numFmtId="0" fontId="41" fillId="19" borderId="47" xfId="0" applyFont="1" applyFill="1" applyBorder="1" applyAlignment="1" applyProtection="1">
      <alignment horizontal="center" vertical="center"/>
      <protection hidden="1"/>
    </xf>
    <xf numFmtId="0" fontId="41" fillId="19" borderId="67" xfId="0" applyFont="1" applyFill="1" applyBorder="1" applyAlignment="1" applyProtection="1">
      <alignment horizontal="center" vertical="center"/>
      <protection hidden="1"/>
    </xf>
    <xf numFmtId="0" fontId="41" fillId="19" borderId="64" xfId="0" applyFont="1" applyFill="1" applyBorder="1" applyAlignment="1" applyProtection="1">
      <alignment horizontal="center" vertical="center"/>
      <protection hidden="1"/>
    </xf>
    <xf numFmtId="0" fontId="41" fillId="19" borderId="68" xfId="0" applyFont="1" applyFill="1" applyBorder="1" applyAlignment="1" applyProtection="1">
      <alignment horizontal="center" vertical="center"/>
      <protection hidden="1"/>
    </xf>
    <xf numFmtId="2" fontId="55" fillId="19" borderId="50" xfId="0" applyNumberFormat="1" applyFont="1" applyFill="1" applyBorder="1" applyAlignment="1" applyProtection="1">
      <alignment horizontal="center" vertical="center" wrapText="1"/>
      <protection hidden="1"/>
    </xf>
    <xf numFmtId="2" fontId="55" fillId="19" borderId="65" xfId="0" applyNumberFormat="1" applyFont="1" applyFill="1" applyBorder="1" applyAlignment="1" applyProtection="1">
      <alignment horizontal="center" vertical="center" wrapText="1"/>
      <protection hidden="1"/>
    </xf>
    <xf numFmtId="2" fontId="55" fillId="19" borderId="66" xfId="0" applyNumberFormat="1" applyFont="1" applyFill="1" applyBorder="1" applyAlignment="1" applyProtection="1">
      <alignment horizontal="center" vertical="center" wrapText="1"/>
      <protection hidden="1"/>
    </xf>
    <xf numFmtId="2" fontId="55" fillId="19" borderId="47" xfId="0" applyNumberFormat="1" applyFont="1" applyFill="1" applyBorder="1" applyAlignment="1" applyProtection="1">
      <alignment horizontal="center" vertical="center" wrapText="1"/>
      <protection hidden="1"/>
    </xf>
    <xf numFmtId="2" fontId="55" fillId="19" borderId="67" xfId="0" applyNumberFormat="1" applyFont="1" applyFill="1" applyBorder="1" applyAlignment="1" applyProtection="1">
      <alignment horizontal="center" vertical="center" wrapText="1"/>
      <protection hidden="1"/>
    </xf>
    <xf numFmtId="2" fontId="55" fillId="19" borderId="68" xfId="0" applyNumberFormat="1" applyFont="1" applyFill="1" applyBorder="1" applyAlignment="1" applyProtection="1">
      <alignment horizontal="center" vertical="center" wrapText="1"/>
      <protection hidden="1"/>
    </xf>
    <xf numFmtId="0" fontId="154" fillId="19" borderId="50" xfId="0" applyFont="1" applyFill="1" applyBorder="1" applyAlignment="1" applyProtection="1">
      <alignment horizontal="center" vertical="center" wrapText="1"/>
      <protection hidden="1"/>
    </xf>
    <xf numFmtId="0" fontId="154" fillId="19" borderId="65" xfId="0" applyFont="1" applyFill="1" applyBorder="1" applyAlignment="1" applyProtection="1">
      <alignment horizontal="center" vertical="center" wrapText="1"/>
      <protection hidden="1"/>
    </xf>
    <xf numFmtId="0" fontId="154" fillId="19" borderId="66" xfId="0" applyFont="1" applyFill="1" applyBorder="1" applyAlignment="1" applyProtection="1">
      <alignment horizontal="center" vertical="center" wrapText="1"/>
      <protection hidden="1"/>
    </xf>
    <xf numFmtId="0" fontId="154" fillId="19" borderId="47" xfId="0" applyFont="1" applyFill="1" applyBorder="1" applyAlignment="1" applyProtection="1">
      <alignment horizontal="center" vertical="center" wrapText="1"/>
      <protection hidden="1"/>
    </xf>
    <xf numFmtId="0" fontId="154" fillId="19" borderId="67" xfId="0" applyFont="1" applyFill="1" applyBorder="1" applyAlignment="1" applyProtection="1">
      <alignment horizontal="center" vertical="center" wrapText="1"/>
      <protection hidden="1"/>
    </xf>
    <xf numFmtId="0" fontId="154" fillId="19" borderId="68" xfId="0" applyFont="1" applyFill="1" applyBorder="1" applyAlignment="1" applyProtection="1">
      <alignment horizontal="center" vertical="center" wrapText="1"/>
      <protection hidden="1"/>
    </xf>
    <xf numFmtId="0" fontId="41" fillId="25" borderId="50" xfId="0" applyFont="1" applyFill="1" applyBorder="1" applyAlignment="1" applyProtection="1">
      <alignment horizontal="center" vertical="center"/>
      <protection hidden="1"/>
    </xf>
    <xf numFmtId="0" fontId="41" fillId="25" borderId="52" xfId="0" applyFont="1" applyFill="1" applyBorder="1" applyAlignment="1" applyProtection="1">
      <alignment horizontal="center" vertical="center"/>
      <protection hidden="1"/>
    </xf>
    <xf numFmtId="0" fontId="41" fillId="25" borderId="65" xfId="0" applyFont="1" applyFill="1" applyBorder="1" applyAlignment="1" applyProtection="1">
      <alignment horizontal="center" vertical="center"/>
      <protection hidden="1"/>
    </xf>
    <xf numFmtId="0" fontId="41" fillId="25" borderId="66" xfId="0" applyFont="1" applyFill="1" applyBorder="1" applyAlignment="1" applyProtection="1">
      <alignment horizontal="center" vertical="center"/>
      <protection hidden="1"/>
    </xf>
    <xf numFmtId="0" fontId="41" fillId="25" borderId="0" xfId="0" applyFont="1" applyFill="1" applyBorder="1" applyAlignment="1" applyProtection="1">
      <alignment horizontal="center" vertical="center"/>
      <protection hidden="1"/>
    </xf>
    <xf numFmtId="0" fontId="41" fillId="25" borderId="47" xfId="0" applyFont="1" applyFill="1" applyBorder="1" applyAlignment="1" applyProtection="1">
      <alignment horizontal="center" vertical="center"/>
      <protection hidden="1"/>
    </xf>
    <xf numFmtId="0" fontId="41" fillId="25" borderId="67" xfId="0" applyFont="1" applyFill="1" applyBorder="1" applyAlignment="1" applyProtection="1">
      <alignment horizontal="center" vertical="center"/>
      <protection hidden="1"/>
    </xf>
    <xf numFmtId="0" fontId="41" fillId="25" borderId="64" xfId="0" applyFont="1" applyFill="1" applyBorder="1" applyAlignment="1" applyProtection="1">
      <alignment horizontal="center" vertical="center"/>
      <protection hidden="1"/>
    </xf>
    <xf numFmtId="0" fontId="41" fillId="25" borderId="68" xfId="0" applyFont="1" applyFill="1" applyBorder="1" applyAlignment="1" applyProtection="1">
      <alignment horizontal="center" vertical="center"/>
      <protection hidden="1"/>
    </xf>
    <xf numFmtId="175" fontId="55" fillId="25" borderId="50" xfId="0" applyNumberFormat="1" applyFont="1" applyFill="1" applyBorder="1" applyAlignment="1" applyProtection="1">
      <alignment horizontal="center" vertical="center" wrapText="1"/>
      <protection hidden="1"/>
    </xf>
    <xf numFmtId="175" fontId="55" fillId="25" borderId="65" xfId="0" applyNumberFormat="1" applyFont="1" applyFill="1" applyBorder="1" applyAlignment="1" applyProtection="1">
      <alignment horizontal="center" vertical="center" wrapText="1"/>
      <protection hidden="1"/>
    </xf>
    <xf numFmtId="175" fontId="55" fillId="25" borderId="66" xfId="0" applyNumberFormat="1" applyFont="1" applyFill="1" applyBorder="1" applyAlignment="1" applyProtection="1">
      <alignment horizontal="center" vertical="center" wrapText="1"/>
      <protection hidden="1"/>
    </xf>
    <xf numFmtId="175" fontId="55" fillId="25" borderId="47" xfId="0" applyNumberFormat="1" applyFont="1" applyFill="1" applyBorder="1" applyAlignment="1" applyProtection="1">
      <alignment horizontal="center" vertical="center" wrapText="1"/>
      <protection hidden="1"/>
    </xf>
    <xf numFmtId="175" fontId="55" fillId="25" borderId="67" xfId="0" applyNumberFormat="1" applyFont="1" applyFill="1" applyBorder="1" applyAlignment="1" applyProtection="1">
      <alignment horizontal="center" vertical="center" wrapText="1"/>
      <protection hidden="1"/>
    </xf>
    <xf numFmtId="175" fontId="55" fillId="25" borderId="68" xfId="0" applyNumberFormat="1" applyFont="1" applyFill="1" applyBorder="1" applyAlignment="1" applyProtection="1">
      <alignment horizontal="center" vertical="center" wrapText="1"/>
      <protection hidden="1"/>
    </xf>
    <xf numFmtId="0" fontId="153" fillId="25" borderId="50" xfId="0" applyFont="1" applyFill="1" applyBorder="1" applyAlignment="1" applyProtection="1">
      <alignment horizontal="center" vertical="center" wrapText="1"/>
      <protection hidden="1"/>
    </xf>
    <xf numFmtId="0" fontId="153" fillId="25" borderId="65" xfId="0" applyFont="1" applyFill="1" applyBorder="1" applyAlignment="1" applyProtection="1">
      <alignment horizontal="center" vertical="center" wrapText="1"/>
      <protection hidden="1"/>
    </xf>
    <xf numFmtId="0" fontId="153" fillId="25" borderId="66" xfId="0" applyFont="1" applyFill="1" applyBorder="1" applyAlignment="1" applyProtection="1">
      <alignment horizontal="center" vertical="center" wrapText="1"/>
      <protection hidden="1"/>
    </xf>
    <xf numFmtId="0" fontId="153" fillId="25" borderId="47" xfId="0" applyFont="1" applyFill="1" applyBorder="1" applyAlignment="1" applyProtection="1">
      <alignment horizontal="center" vertical="center" wrapText="1"/>
      <protection hidden="1"/>
    </xf>
    <xf numFmtId="0" fontId="153" fillId="25" borderId="67" xfId="0" applyFont="1" applyFill="1" applyBorder="1" applyAlignment="1" applyProtection="1">
      <alignment horizontal="center" vertical="center" wrapText="1"/>
      <protection hidden="1"/>
    </xf>
    <xf numFmtId="0" fontId="153" fillId="25" borderId="68" xfId="0" applyFont="1" applyFill="1" applyBorder="1" applyAlignment="1" applyProtection="1">
      <alignment horizontal="center" vertical="center" wrapText="1"/>
      <protection hidden="1"/>
    </xf>
    <xf numFmtId="0" fontId="40" fillId="27" borderId="19" xfId="0" applyNumberFormat="1" applyFont="1" applyFill="1" applyBorder="1" applyAlignment="1" applyProtection="1">
      <alignment horizontal="center" vertical="center"/>
      <protection hidden="1"/>
    </xf>
    <xf numFmtId="0" fontId="40" fillId="27" borderId="46" xfId="0" applyFont="1" applyFill="1" applyBorder="1" applyAlignment="1" applyProtection="1">
      <alignment horizontal="center" vertical="center"/>
      <protection hidden="1"/>
    </xf>
    <xf numFmtId="0" fontId="72" fillId="27" borderId="12" xfId="0" applyFont="1" applyFill="1" applyBorder="1" applyAlignment="1" applyProtection="1">
      <alignment horizontal="left" vertical="center" wrapText="1"/>
      <protection hidden="1"/>
    </xf>
    <xf numFmtId="0" fontId="72" fillId="27" borderId="8" xfId="0" applyFont="1" applyFill="1" applyBorder="1" applyAlignment="1" applyProtection="1">
      <alignment horizontal="left" vertical="center" wrapText="1"/>
      <protection hidden="1"/>
    </xf>
    <xf numFmtId="0" fontId="72" fillId="27" borderId="9" xfId="0" applyFont="1" applyFill="1" applyBorder="1" applyAlignment="1" applyProtection="1">
      <alignment horizontal="left" vertical="center" wrapText="1"/>
      <protection hidden="1"/>
    </xf>
    <xf numFmtId="0" fontId="72" fillId="27" borderId="16" xfId="0" applyFont="1" applyFill="1" applyBorder="1" applyAlignment="1" applyProtection="1">
      <alignment horizontal="left" vertical="center" wrapText="1"/>
      <protection hidden="1"/>
    </xf>
    <xf numFmtId="0" fontId="72" fillId="27" borderId="13" xfId="0" applyFont="1" applyFill="1" applyBorder="1" applyAlignment="1" applyProtection="1">
      <alignment horizontal="left" vertical="center" wrapText="1"/>
      <protection hidden="1"/>
    </xf>
    <xf numFmtId="0" fontId="72" fillId="27" borderId="0" xfId="0" applyFont="1" applyFill="1" applyAlignment="1" applyProtection="1">
      <alignment horizontal="left"/>
      <protection hidden="1"/>
    </xf>
    <xf numFmtId="2" fontId="152" fillId="27" borderId="50" xfId="0" applyNumberFormat="1" applyFont="1" applyFill="1" applyBorder="1" applyAlignment="1" applyProtection="1">
      <alignment horizontal="center" vertical="center" wrapText="1"/>
      <protection hidden="1"/>
    </xf>
    <xf numFmtId="2" fontId="152" fillId="27" borderId="65" xfId="0" applyNumberFormat="1" applyFont="1" applyFill="1" applyBorder="1" applyAlignment="1" applyProtection="1">
      <alignment horizontal="center" vertical="center" wrapText="1"/>
      <protection hidden="1"/>
    </xf>
    <xf numFmtId="2" fontId="152" fillId="27" borderId="67" xfId="0" applyNumberFormat="1" applyFont="1" applyFill="1" applyBorder="1" applyAlignment="1" applyProtection="1">
      <alignment horizontal="center" vertical="center" wrapText="1"/>
      <protection hidden="1"/>
    </xf>
    <xf numFmtId="2" fontId="152" fillId="27" borderId="68" xfId="0" applyNumberFormat="1" applyFont="1" applyFill="1" applyBorder="1" applyAlignment="1" applyProtection="1">
      <alignment horizontal="center" vertical="center" wrapText="1"/>
      <protection hidden="1"/>
    </xf>
    <xf numFmtId="0" fontId="41" fillId="27" borderId="79" xfId="0" applyFont="1" applyFill="1" applyBorder="1" applyAlignment="1" applyProtection="1">
      <alignment horizontal="center" vertical="center"/>
      <protection hidden="1"/>
    </xf>
    <xf numFmtId="0" fontId="41" fillId="27" borderId="71" xfId="0" applyFont="1" applyFill="1" applyBorder="1" applyAlignment="1" applyProtection="1">
      <alignment horizontal="center" vertical="center"/>
      <protection hidden="1"/>
    </xf>
    <xf numFmtId="0" fontId="41" fillId="27" borderId="144" xfId="0" applyFont="1" applyFill="1" applyBorder="1" applyAlignment="1" applyProtection="1">
      <alignment horizontal="center" vertical="center"/>
      <protection hidden="1"/>
    </xf>
    <xf numFmtId="0" fontId="41" fillId="27" borderId="55" xfId="0" applyFont="1" applyFill="1" applyBorder="1" applyAlignment="1" applyProtection="1">
      <alignment horizontal="center" vertical="center"/>
      <protection hidden="1"/>
    </xf>
    <xf numFmtId="0" fontId="41" fillId="27" borderId="56" xfId="0" applyFont="1" applyFill="1" applyBorder="1" applyAlignment="1" applyProtection="1">
      <alignment horizontal="center" vertical="center"/>
      <protection hidden="1"/>
    </xf>
    <xf numFmtId="0" fontId="41" fillId="27" borderId="69" xfId="0" applyFont="1" applyFill="1" applyBorder="1" applyAlignment="1" applyProtection="1">
      <alignment horizontal="center" vertical="center"/>
      <protection hidden="1"/>
    </xf>
    <xf numFmtId="2" fontId="153" fillId="27" borderId="52" xfId="0" applyNumberFormat="1" applyFont="1" applyFill="1" applyBorder="1" applyAlignment="1" applyProtection="1">
      <alignment horizontal="center" vertical="center" wrapText="1"/>
      <protection hidden="1"/>
    </xf>
    <xf numFmtId="2" fontId="153" fillId="27" borderId="65" xfId="0" applyNumberFormat="1" applyFont="1" applyFill="1" applyBorder="1" applyAlignment="1" applyProtection="1">
      <alignment horizontal="center" vertical="center" wrapText="1"/>
      <protection hidden="1"/>
    </xf>
    <xf numFmtId="2" fontId="153" fillId="27" borderId="64" xfId="0" applyNumberFormat="1" applyFont="1" applyFill="1" applyBorder="1" applyAlignment="1" applyProtection="1">
      <alignment horizontal="center" vertical="center" wrapText="1"/>
      <protection hidden="1"/>
    </xf>
    <xf numFmtId="2" fontId="153" fillId="27" borderId="68" xfId="0" applyNumberFormat="1" applyFont="1" applyFill="1" applyBorder="1" applyAlignment="1" applyProtection="1">
      <alignment horizontal="center" vertical="center" wrapText="1"/>
      <protection hidden="1"/>
    </xf>
    <xf numFmtId="0" fontId="40" fillId="27" borderId="19" xfId="0" applyFont="1" applyFill="1" applyBorder="1" applyAlignment="1" applyProtection="1">
      <alignment horizontal="center" vertical="center"/>
      <protection hidden="1"/>
    </xf>
    <xf numFmtId="0" fontId="152" fillId="27" borderId="65" xfId="0" applyFont="1" applyFill="1" applyBorder="1" applyAlignment="1" applyProtection="1">
      <alignment horizontal="center" vertical="center" wrapText="1"/>
      <protection hidden="1"/>
    </xf>
    <xf numFmtId="0" fontId="152" fillId="27" borderId="67" xfId="0" applyFont="1" applyFill="1" applyBorder="1" applyAlignment="1" applyProtection="1">
      <alignment horizontal="center" vertical="center" wrapText="1"/>
      <protection hidden="1"/>
    </xf>
    <xf numFmtId="0" fontId="152" fillId="27" borderId="68" xfId="0" applyFont="1" applyFill="1" applyBorder="1" applyAlignment="1" applyProtection="1">
      <alignment horizontal="center" vertical="center" wrapText="1"/>
      <protection hidden="1"/>
    </xf>
    <xf numFmtId="0" fontId="40" fillId="27" borderId="46" xfId="0" applyNumberFormat="1" applyFont="1" applyFill="1" applyBorder="1" applyAlignment="1" applyProtection="1">
      <alignment horizontal="center" vertical="center"/>
      <protection hidden="1"/>
    </xf>
    <xf numFmtId="0" fontId="40" fillId="27" borderId="18" xfId="0" applyFont="1" applyFill="1" applyBorder="1" applyAlignment="1" applyProtection="1">
      <alignment horizontal="center" vertical="center"/>
      <protection hidden="1"/>
    </xf>
    <xf numFmtId="0" fontId="72" fillId="27" borderId="109" xfId="0" applyFont="1" applyFill="1" applyBorder="1" applyAlignment="1" applyProtection="1">
      <alignment horizontal="left" vertical="center" wrapText="1"/>
      <protection hidden="1"/>
    </xf>
    <xf numFmtId="0" fontId="72" fillId="27" borderId="7" xfId="0" applyFont="1" applyFill="1" applyBorder="1" applyAlignment="1" applyProtection="1">
      <alignment horizontal="left" vertical="center" wrapText="1"/>
      <protection hidden="1"/>
    </xf>
    <xf numFmtId="0" fontId="72" fillId="27" borderId="110" xfId="0" applyFont="1" applyFill="1" applyBorder="1" applyAlignment="1" applyProtection="1">
      <alignment horizontal="left" vertical="center" wrapText="1"/>
      <protection hidden="1"/>
    </xf>
    <xf numFmtId="0" fontId="72" fillId="27" borderId="42" xfId="0" applyFont="1" applyFill="1" applyBorder="1" applyAlignment="1" applyProtection="1">
      <alignment horizontal="left" vertical="center" wrapText="1"/>
      <protection hidden="1"/>
    </xf>
    <xf numFmtId="0" fontId="72" fillId="27" borderId="10" xfId="0" applyFont="1" applyFill="1" applyBorder="1" applyAlignment="1" applyProtection="1">
      <alignment horizontal="left" vertical="center" wrapText="1"/>
      <protection hidden="1"/>
    </xf>
    <xf numFmtId="0" fontId="72" fillId="27" borderId="43" xfId="0" applyFont="1" applyFill="1" applyBorder="1" applyAlignment="1" applyProtection="1">
      <alignment horizontal="left" vertical="center" wrapText="1"/>
      <protection hidden="1"/>
    </xf>
    <xf numFmtId="0" fontId="41" fillId="27" borderId="151" xfId="0" applyFont="1" applyFill="1" applyBorder="1" applyAlignment="1" applyProtection="1">
      <alignment horizontal="left" vertical="center" wrapText="1"/>
      <protection hidden="1"/>
    </xf>
    <xf numFmtId="0" fontId="41" fillId="27" borderId="103" xfId="0" applyFont="1" applyFill="1" applyBorder="1" applyAlignment="1" applyProtection="1">
      <alignment horizontal="left" vertical="center" wrapText="1"/>
      <protection hidden="1"/>
    </xf>
    <xf numFmtId="0" fontId="41" fillId="27" borderId="104" xfId="0" applyFont="1" applyFill="1" applyBorder="1" applyAlignment="1" applyProtection="1">
      <alignment horizontal="left" vertical="center" wrapText="1"/>
      <protection hidden="1"/>
    </xf>
    <xf numFmtId="0" fontId="7" fillId="27" borderId="45" xfId="0" applyFont="1" applyFill="1" applyBorder="1" applyAlignment="1" applyProtection="1">
      <alignment horizontal="center" vertical="center" wrapText="1"/>
      <protection hidden="1"/>
    </xf>
    <xf numFmtId="0" fontId="7" fillId="27" borderId="63" xfId="0" applyFont="1" applyFill="1" applyBorder="1" applyAlignment="1" applyProtection="1">
      <alignment horizontal="center" vertical="center" wrapText="1"/>
      <protection hidden="1"/>
    </xf>
    <xf numFmtId="0" fontId="40" fillId="27" borderId="51" xfId="0" applyNumberFormat="1" applyFont="1" applyFill="1" applyBorder="1" applyAlignment="1" applyProtection="1">
      <alignment horizontal="center" vertical="center"/>
      <protection hidden="1"/>
    </xf>
    <xf numFmtId="0" fontId="72" fillId="27" borderId="126" xfId="0" applyFont="1" applyFill="1" applyBorder="1" applyAlignment="1" applyProtection="1">
      <alignment horizontal="left" vertical="center" wrapText="1"/>
      <protection hidden="1"/>
    </xf>
    <xf numFmtId="0" fontId="72" fillId="27" borderId="71" xfId="0" applyFont="1" applyFill="1" applyBorder="1" applyAlignment="1" applyProtection="1">
      <alignment horizontal="left" vertical="center" wrapText="1"/>
      <protection hidden="1"/>
    </xf>
    <xf numFmtId="0" fontId="72" fillId="27" borderId="80" xfId="0" applyFont="1" applyFill="1" applyBorder="1" applyAlignment="1" applyProtection="1">
      <alignment horizontal="left" vertical="center" wrapText="1"/>
      <protection hidden="1"/>
    </xf>
    <xf numFmtId="2" fontId="152" fillId="27" borderId="50" xfId="9" applyNumberFormat="1" applyFont="1" applyFill="1" applyBorder="1" applyAlignment="1" applyProtection="1">
      <alignment horizontal="center" vertical="center" wrapText="1"/>
      <protection hidden="1"/>
    </xf>
    <xf numFmtId="2" fontId="152" fillId="27" borderId="65" xfId="9" applyNumberFormat="1" applyFont="1" applyFill="1" applyBorder="1" applyAlignment="1" applyProtection="1">
      <alignment horizontal="center" vertical="center" wrapText="1"/>
      <protection hidden="1"/>
    </xf>
    <xf numFmtId="2" fontId="152" fillId="27" borderId="67" xfId="9" applyNumberFormat="1" applyFont="1" applyFill="1" applyBorder="1" applyAlignment="1" applyProtection="1">
      <alignment horizontal="center" vertical="center" wrapText="1"/>
      <protection hidden="1"/>
    </xf>
    <xf numFmtId="2" fontId="152" fillId="27" borderId="68" xfId="9" applyNumberFormat="1" applyFont="1" applyFill="1" applyBorder="1" applyAlignment="1" applyProtection="1">
      <alignment horizontal="center" vertical="center" wrapText="1"/>
      <protection hidden="1"/>
    </xf>
    <xf numFmtId="0" fontId="40" fillId="27" borderId="21" xfId="0" quotePrefix="1" applyNumberFormat="1" applyFont="1" applyFill="1" applyBorder="1" applyAlignment="1" applyProtection="1">
      <alignment horizontal="center" vertical="center"/>
      <protection hidden="1"/>
    </xf>
    <xf numFmtId="0" fontId="40" fillId="27" borderId="49" xfId="0" quotePrefix="1" applyFont="1" applyFill="1" applyBorder="1" applyAlignment="1" applyProtection="1">
      <alignment horizontal="center" vertical="center"/>
      <protection hidden="1"/>
    </xf>
    <xf numFmtId="0" fontId="72" fillId="27" borderId="58" xfId="0" applyFont="1" applyFill="1" applyBorder="1" applyAlignment="1" applyProtection="1">
      <alignment horizontal="left" vertical="center" wrapText="1"/>
      <protection hidden="1"/>
    </xf>
    <xf numFmtId="0" fontId="72" fillId="27" borderId="55" xfId="0" applyFont="1" applyFill="1" applyBorder="1" applyAlignment="1" applyProtection="1">
      <alignment horizontal="left" vertical="center" wrapText="1"/>
      <protection hidden="1"/>
    </xf>
    <xf numFmtId="0" fontId="72" fillId="27" borderId="56" xfId="0" applyFont="1" applyFill="1" applyBorder="1" applyAlignment="1" applyProtection="1">
      <alignment horizontal="left" vertical="center" wrapText="1"/>
      <protection hidden="1"/>
    </xf>
    <xf numFmtId="0" fontId="72" fillId="27" borderId="61" xfId="0" applyFont="1" applyFill="1" applyBorder="1" applyAlignment="1" applyProtection="1">
      <alignment horizontal="left" vertical="center" wrapText="1"/>
      <protection hidden="1"/>
    </xf>
    <xf numFmtId="2" fontId="72" fillId="27" borderId="50" xfId="0" quotePrefix="1" applyNumberFormat="1" applyFont="1" applyFill="1" applyBorder="1" applyAlignment="1" applyProtection="1">
      <alignment horizontal="center" vertical="center" wrapText="1"/>
      <protection hidden="1"/>
    </xf>
    <xf numFmtId="0" fontId="72" fillId="27" borderId="65" xfId="0" quotePrefix="1" applyFont="1" applyFill="1" applyBorder="1" applyAlignment="1" applyProtection="1">
      <alignment horizontal="center" vertical="center" wrapText="1"/>
      <protection hidden="1"/>
    </xf>
    <xf numFmtId="0" fontId="72" fillId="27" borderId="67" xfId="0" quotePrefix="1" applyFont="1" applyFill="1" applyBorder="1" applyAlignment="1" applyProtection="1">
      <alignment horizontal="center" vertical="center" wrapText="1"/>
      <protection hidden="1"/>
    </xf>
    <xf numFmtId="0" fontId="72" fillId="27" borderId="68" xfId="0" quotePrefix="1" applyFont="1" applyFill="1" applyBorder="1" applyAlignment="1" applyProtection="1">
      <alignment horizontal="center" vertical="center" wrapText="1"/>
      <protection hidden="1"/>
    </xf>
    <xf numFmtId="0" fontId="41" fillId="27" borderId="62" xfId="0" applyFont="1" applyFill="1" applyBorder="1" applyAlignment="1" applyProtection="1">
      <alignment horizontal="center" vertical="center" wrapText="1"/>
      <protection hidden="1"/>
    </xf>
    <xf numFmtId="0" fontId="41" fillId="27" borderId="45" xfId="0" applyFont="1" applyFill="1" applyBorder="1" applyAlignment="1" applyProtection="1">
      <alignment horizontal="center" vertical="center" wrapText="1"/>
      <protection hidden="1"/>
    </xf>
    <xf numFmtId="0" fontId="41" fillId="27" borderId="63" xfId="0" applyFont="1" applyFill="1" applyBorder="1" applyAlignment="1" applyProtection="1">
      <alignment horizontal="center" vertical="center" wrapText="1"/>
      <protection hidden="1"/>
    </xf>
    <xf numFmtId="0" fontId="7" fillId="27" borderId="62" xfId="0" applyFont="1" applyFill="1" applyBorder="1" applyAlignment="1" applyProtection="1">
      <alignment horizontal="center" vertical="center"/>
      <protection hidden="1"/>
    </xf>
    <xf numFmtId="0" fontId="7" fillId="27" borderId="63" xfId="0" applyFont="1" applyFill="1" applyBorder="1" applyAlignment="1" applyProtection="1">
      <alignment horizontal="center" vertical="center"/>
      <protection hidden="1"/>
    </xf>
    <xf numFmtId="0" fontId="45" fillId="27" borderId="18" xfId="0" quotePrefix="1" applyNumberFormat="1" applyFont="1" applyFill="1" applyBorder="1" applyAlignment="1" applyProtection="1">
      <alignment horizontal="center" vertical="center" wrapText="1"/>
      <protection hidden="1"/>
    </xf>
    <xf numFmtId="0" fontId="45" fillId="27" borderId="20" xfId="0" quotePrefix="1" applyFont="1" applyFill="1" applyBorder="1" applyAlignment="1" applyProtection="1">
      <alignment horizontal="center" vertical="center" wrapText="1"/>
      <protection hidden="1"/>
    </xf>
    <xf numFmtId="0" fontId="72" fillId="27" borderId="0" xfId="0" quotePrefix="1" applyFont="1" applyFill="1" applyBorder="1" applyAlignment="1" applyProtection="1">
      <alignment horizontal="left" vertical="center" wrapText="1"/>
      <protection hidden="1"/>
    </xf>
    <xf numFmtId="0" fontId="72" fillId="27" borderId="64" xfId="0" quotePrefix="1" applyFont="1" applyFill="1" applyBorder="1" applyAlignment="1" applyProtection="1">
      <alignment horizontal="left" vertical="center" wrapText="1"/>
      <protection hidden="1"/>
    </xf>
    <xf numFmtId="0" fontId="40" fillId="27" borderId="42" xfId="0" quotePrefix="1" applyNumberFormat="1" applyFont="1" applyFill="1" applyBorder="1" applyAlignment="1" applyProtection="1">
      <alignment horizontal="center" vertical="center"/>
      <protection hidden="1"/>
    </xf>
    <xf numFmtId="0" fontId="40" fillId="27" borderId="21" xfId="0" quotePrefix="1" applyFont="1" applyFill="1" applyBorder="1" applyAlignment="1" applyProtection="1">
      <alignment horizontal="center" vertical="center"/>
      <protection hidden="1"/>
    </xf>
    <xf numFmtId="0" fontId="72" fillId="27" borderId="57" xfId="0" applyFont="1" applyFill="1" applyBorder="1" applyAlignment="1" applyProtection="1">
      <alignment horizontal="left" vertical="center" wrapText="1"/>
      <protection hidden="1"/>
    </xf>
    <xf numFmtId="0" fontId="72" fillId="27" borderId="15" xfId="0" applyFont="1" applyFill="1" applyBorder="1" applyAlignment="1" applyProtection="1">
      <alignment horizontal="left" vertical="center" wrapText="1"/>
      <protection hidden="1"/>
    </xf>
    <xf numFmtId="0" fontId="72" fillId="27" borderId="6" xfId="0" applyFont="1" applyFill="1" applyBorder="1" applyAlignment="1" applyProtection="1">
      <alignment horizontal="left" vertical="center" wrapText="1"/>
      <protection hidden="1"/>
    </xf>
    <xf numFmtId="2" fontId="72" fillId="27" borderId="50" xfId="0" applyNumberFormat="1" applyFont="1" applyFill="1" applyBorder="1" applyAlignment="1" applyProtection="1">
      <alignment horizontal="center" vertical="center" wrapText="1"/>
      <protection hidden="1"/>
    </xf>
    <xf numFmtId="0" fontId="72" fillId="27" borderId="65" xfId="0" applyFont="1" applyFill="1" applyBorder="1" applyAlignment="1" applyProtection="1">
      <alignment horizontal="center" vertical="center" wrapText="1"/>
      <protection hidden="1"/>
    </xf>
    <xf numFmtId="0" fontId="72" fillId="27" borderId="67" xfId="0" applyFont="1" applyFill="1" applyBorder="1" applyAlignment="1" applyProtection="1">
      <alignment horizontal="center" vertical="center" wrapText="1"/>
      <protection hidden="1"/>
    </xf>
    <xf numFmtId="0" fontId="72" fillId="27" borderId="68" xfId="0" applyFont="1" applyFill="1" applyBorder="1" applyAlignment="1" applyProtection="1">
      <alignment horizontal="center" vertical="center" wrapText="1"/>
      <protection hidden="1"/>
    </xf>
    <xf numFmtId="2" fontId="152" fillId="27" borderId="66" xfId="0" applyNumberFormat="1" applyFont="1" applyFill="1" applyBorder="1" applyAlignment="1" applyProtection="1">
      <alignment horizontal="center" vertical="center" wrapText="1"/>
      <protection hidden="1"/>
    </xf>
    <xf numFmtId="2" fontId="152" fillId="27" borderId="47" xfId="0" applyNumberFormat="1" applyFont="1" applyFill="1" applyBorder="1" applyAlignment="1" applyProtection="1">
      <alignment horizontal="center" vertical="center" wrapText="1"/>
      <protection hidden="1"/>
    </xf>
    <xf numFmtId="0" fontId="41" fillId="0" borderId="0" xfId="0" applyFont="1" applyBorder="1" applyAlignment="1" applyProtection="1">
      <alignment horizontal="left" vertical="top"/>
      <protection hidden="1"/>
    </xf>
    <xf numFmtId="39" fontId="58" fillId="0" borderId="0" xfId="0" applyNumberFormat="1" applyFont="1" applyBorder="1" applyAlignment="1" applyProtection="1">
      <alignment horizontal="center"/>
      <protection hidden="1"/>
    </xf>
    <xf numFmtId="0" fontId="58" fillId="0" borderId="0" xfId="0" applyFont="1" applyBorder="1" applyAlignment="1" applyProtection="1">
      <alignment horizontal="center"/>
      <protection hidden="1"/>
    </xf>
    <xf numFmtId="0" fontId="41" fillId="0" borderId="0" xfId="0" applyFont="1" applyFill="1" applyBorder="1" applyAlignment="1" applyProtection="1">
      <alignment horizontal="left" vertical="top"/>
      <protection hidden="1"/>
    </xf>
    <xf numFmtId="0" fontId="40" fillId="0" borderId="0" xfId="0" applyFont="1" applyFill="1" applyAlignment="1" applyProtection="1">
      <alignment horizontal="left"/>
      <protection hidden="1"/>
    </xf>
    <xf numFmtId="0" fontId="41" fillId="27" borderId="102" xfId="0" applyFont="1" applyFill="1" applyBorder="1" applyAlignment="1" applyProtection="1">
      <alignment horizontal="center" vertical="center"/>
      <protection hidden="1"/>
    </xf>
    <xf numFmtId="0" fontId="41" fillId="27" borderId="103" xfId="0" applyFont="1" applyFill="1" applyBorder="1" applyAlignment="1" applyProtection="1">
      <alignment horizontal="center" vertical="center"/>
      <protection hidden="1"/>
    </xf>
    <xf numFmtId="0" fontId="41" fillId="27" borderId="150" xfId="0" applyFont="1" applyFill="1" applyBorder="1" applyAlignment="1" applyProtection="1">
      <alignment horizontal="center" vertical="center"/>
      <protection hidden="1"/>
    </xf>
    <xf numFmtId="0" fontId="41" fillId="27" borderId="62" xfId="0" applyFont="1" applyFill="1" applyBorder="1" applyAlignment="1" applyProtection="1">
      <alignment horizontal="center" vertical="center"/>
      <protection hidden="1"/>
    </xf>
    <xf numFmtId="0" fontId="41" fillId="27" borderId="63" xfId="0" applyFont="1" applyFill="1" applyBorder="1" applyAlignment="1" applyProtection="1">
      <alignment horizontal="center" vertical="center"/>
      <protection hidden="1"/>
    </xf>
    <xf numFmtId="0" fontId="40" fillId="0" borderId="0" xfId="0" applyFont="1" applyBorder="1" applyAlignment="1" applyProtection="1">
      <protection hidden="1"/>
    </xf>
    <xf numFmtId="0" fontId="40" fillId="0" borderId="5" xfId="0" applyFont="1" applyBorder="1" applyAlignment="1" applyProtection="1">
      <protection hidden="1"/>
    </xf>
    <xf numFmtId="0" fontId="40" fillId="5" borderId="0" xfId="0" applyFont="1" applyFill="1" applyBorder="1" applyAlignment="1" applyProtection="1">
      <alignment horizontal="left" vertical="top"/>
      <protection hidden="1"/>
    </xf>
    <xf numFmtId="39" fontId="46" fillId="5" borderId="0" xfId="0" applyNumberFormat="1" applyFont="1" applyFill="1" applyBorder="1" applyAlignment="1" applyProtection="1">
      <alignment horizontal="center"/>
      <protection hidden="1"/>
    </xf>
    <xf numFmtId="0" fontId="46" fillId="5" borderId="0" xfId="0" applyFont="1" applyFill="1" applyBorder="1" applyAlignment="1" applyProtection="1">
      <alignment horizontal="center"/>
      <protection hidden="1"/>
    </xf>
    <xf numFmtId="165" fontId="46" fillId="5" borderId="0" xfId="9" applyFont="1" applyFill="1" applyBorder="1" applyAlignment="1" applyProtection="1">
      <alignment horizontal="center"/>
      <protection hidden="1"/>
    </xf>
    <xf numFmtId="37" fontId="72" fillId="0" borderId="0" xfId="0" applyNumberFormat="1" applyFont="1" applyBorder="1" applyAlignment="1" applyProtection="1">
      <alignment horizontal="left" vertical="center"/>
      <protection hidden="1"/>
    </xf>
    <xf numFmtId="0" fontId="41" fillId="9" borderId="0" xfId="0" applyFont="1" applyFill="1" applyBorder="1" applyAlignment="1" applyProtection="1">
      <alignment horizontal="left" vertical="top"/>
      <protection locked="0"/>
    </xf>
    <xf numFmtId="0" fontId="40" fillId="9" borderId="50" xfId="0" applyFont="1" applyFill="1" applyBorder="1" applyAlignment="1" applyProtection="1">
      <alignment horizontal="left" vertical="top" wrapText="1"/>
      <protection locked="0"/>
    </xf>
    <xf numFmtId="0" fontId="40" fillId="9" borderId="52" xfId="0" applyFont="1" applyFill="1" applyBorder="1" applyAlignment="1" applyProtection="1">
      <alignment horizontal="left" vertical="top" wrapText="1"/>
      <protection locked="0"/>
    </xf>
    <xf numFmtId="0" fontId="40" fillId="9" borderId="65" xfId="0" applyFont="1" applyFill="1" applyBorder="1" applyAlignment="1" applyProtection="1">
      <alignment horizontal="left" vertical="top" wrapText="1"/>
      <protection locked="0"/>
    </xf>
    <xf numFmtId="0" fontId="40" fillId="9" borderId="67" xfId="0" applyFont="1" applyFill="1" applyBorder="1" applyAlignment="1" applyProtection="1">
      <alignment horizontal="left" vertical="top" wrapText="1"/>
      <protection locked="0"/>
    </xf>
    <xf numFmtId="0" fontId="40" fillId="9" borderId="64" xfId="0" applyFont="1" applyFill="1" applyBorder="1" applyAlignment="1" applyProtection="1">
      <alignment horizontal="left" vertical="top" wrapText="1"/>
      <protection locked="0"/>
    </xf>
    <xf numFmtId="0" fontId="40" fillId="9" borderId="68" xfId="0" applyFont="1" applyFill="1" applyBorder="1" applyAlignment="1" applyProtection="1">
      <alignment horizontal="left" vertical="top" wrapText="1"/>
      <protection locked="0"/>
    </xf>
    <xf numFmtId="0" fontId="41" fillId="0" borderId="9" xfId="0" applyFont="1" applyBorder="1" applyAlignment="1" applyProtection="1">
      <alignment horizontal="left" vertical="top"/>
      <protection hidden="1"/>
    </xf>
    <xf numFmtId="0" fontId="41" fillId="0" borderId="22" xfId="0" applyFont="1" applyBorder="1" applyAlignment="1" applyProtection="1">
      <alignment horizontal="left" vertical="top"/>
      <protection hidden="1"/>
    </xf>
    <xf numFmtId="0" fontId="41" fillId="0" borderId="12" xfId="0" applyFont="1" applyBorder="1" applyAlignment="1" applyProtection="1">
      <alignment horizontal="left" vertical="top"/>
      <protection hidden="1"/>
    </xf>
    <xf numFmtId="0" fontId="41" fillId="0" borderId="9" xfId="0" applyFont="1" applyFill="1" applyBorder="1" applyAlignment="1" applyProtection="1">
      <alignment horizontal="left" vertical="top"/>
      <protection hidden="1"/>
    </xf>
    <xf numFmtId="0" fontId="41" fillId="0" borderId="22" xfId="0" applyFont="1" applyFill="1" applyBorder="1" applyAlignment="1" applyProtection="1">
      <alignment horizontal="left" vertical="top"/>
      <protection hidden="1"/>
    </xf>
    <xf numFmtId="0" fontId="41" fillId="0" borderId="12" xfId="0" applyFont="1" applyFill="1" applyBorder="1" applyAlignment="1" applyProtection="1">
      <alignment horizontal="left" vertical="top"/>
      <protection hidden="1"/>
    </xf>
    <xf numFmtId="0" fontId="72" fillId="2" borderId="3" xfId="0" applyFont="1" applyFill="1" applyBorder="1" applyAlignment="1" applyProtection="1">
      <alignment horizontal="left" vertical="top" wrapText="1"/>
      <protection hidden="1"/>
    </xf>
    <xf numFmtId="0" fontId="72" fillId="2" borderId="7" xfId="0" applyFont="1" applyFill="1" applyBorder="1" applyAlignment="1" applyProtection="1">
      <alignment horizontal="left" vertical="top" wrapText="1"/>
      <protection hidden="1"/>
    </xf>
    <xf numFmtId="0" fontId="72" fillId="2" borderId="16" xfId="0" applyFont="1" applyFill="1" applyBorder="1" applyAlignment="1" applyProtection="1">
      <alignment horizontal="left" vertical="top" wrapText="1"/>
      <protection hidden="1"/>
    </xf>
    <xf numFmtId="0" fontId="72" fillId="2" borderId="6" xfId="0" applyFont="1" applyFill="1" applyBorder="1" applyAlignment="1" applyProtection="1">
      <alignment horizontal="left" vertical="top" wrapText="1"/>
      <protection hidden="1"/>
    </xf>
    <xf numFmtId="0" fontId="72" fillId="2" borderId="10" xfId="0" applyFont="1" applyFill="1" applyBorder="1" applyAlignment="1" applyProtection="1">
      <alignment horizontal="left" vertical="top" wrapText="1"/>
      <protection hidden="1"/>
    </xf>
    <xf numFmtId="0" fontId="72" fillId="2" borderId="11" xfId="0" applyFont="1" applyFill="1" applyBorder="1" applyAlignment="1" applyProtection="1">
      <alignment horizontal="left" vertical="top" wrapText="1"/>
      <protection hidden="1"/>
    </xf>
    <xf numFmtId="0" fontId="45" fillId="2" borderId="3" xfId="0" applyFont="1" applyFill="1" applyBorder="1" applyAlignment="1" applyProtection="1">
      <alignment horizontal="center" vertical="center" wrapText="1"/>
      <protection hidden="1"/>
    </xf>
    <xf numFmtId="0" fontId="45" fillId="2" borderId="7" xfId="0" applyFont="1" applyFill="1" applyBorder="1" applyAlignment="1" applyProtection="1">
      <alignment horizontal="center" vertical="center" wrapText="1"/>
      <protection hidden="1"/>
    </xf>
    <xf numFmtId="0" fontId="45" fillId="2" borderId="16" xfId="0" applyFont="1" applyFill="1" applyBorder="1" applyAlignment="1" applyProtection="1">
      <alignment horizontal="center" vertical="center" wrapText="1"/>
      <protection hidden="1"/>
    </xf>
    <xf numFmtId="0" fontId="45" fillId="2" borderId="6" xfId="0" applyFont="1" applyFill="1" applyBorder="1" applyAlignment="1" applyProtection="1">
      <alignment horizontal="center" vertical="center" wrapText="1"/>
      <protection hidden="1"/>
    </xf>
    <xf numFmtId="0" fontId="45" fillId="2" borderId="10" xfId="0" applyFont="1" applyFill="1" applyBorder="1" applyAlignment="1" applyProtection="1">
      <alignment horizontal="center" vertical="center" wrapText="1"/>
      <protection hidden="1"/>
    </xf>
    <xf numFmtId="0" fontId="45" fillId="2" borderId="11" xfId="0" applyFont="1" applyFill="1" applyBorder="1" applyAlignment="1" applyProtection="1">
      <alignment horizontal="center" vertical="center" wrapText="1"/>
      <protection hidden="1"/>
    </xf>
    <xf numFmtId="2" fontId="72" fillId="2" borderId="3" xfId="0" applyNumberFormat="1" applyFont="1" applyFill="1" applyBorder="1" applyAlignment="1" applyProtection="1">
      <alignment horizontal="center" vertical="center" wrapText="1"/>
      <protection hidden="1"/>
    </xf>
    <xf numFmtId="2" fontId="72" fillId="2" borderId="16" xfId="0" applyNumberFormat="1" applyFont="1" applyFill="1" applyBorder="1" applyAlignment="1" applyProtection="1">
      <alignment horizontal="center" vertical="center" wrapText="1"/>
      <protection hidden="1"/>
    </xf>
    <xf numFmtId="2" fontId="72" fillId="2" borderId="6" xfId="0" applyNumberFormat="1" applyFont="1" applyFill="1" applyBorder="1" applyAlignment="1" applyProtection="1">
      <alignment horizontal="center" vertical="center" wrapText="1"/>
      <protection hidden="1"/>
    </xf>
    <xf numFmtId="2" fontId="72" fillId="2" borderId="11" xfId="0" applyNumberFormat="1" applyFont="1" applyFill="1" applyBorder="1" applyAlignment="1" applyProtection="1">
      <alignment horizontal="center" vertical="center" wrapText="1"/>
      <protection hidden="1"/>
    </xf>
    <xf numFmtId="0" fontId="72" fillId="2" borderId="3" xfId="0" applyFont="1" applyFill="1" applyBorder="1" applyAlignment="1" applyProtection="1">
      <alignment horizontal="center" vertical="center" wrapText="1"/>
      <protection hidden="1"/>
    </xf>
    <xf numFmtId="0" fontId="72" fillId="2" borderId="7" xfId="0" applyFont="1" applyFill="1" applyBorder="1" applyAlignment="1" applyProtection="1">
      <alignment horizontal="center" vertical="center" wrapText="1"/>
      <protection hidden="1"/>
    </xf>
    <xf numFmtId="0" fontId="72" fillId="2" borderId="16" xfId="0" applyFont="1" applyFill="1" applyBorder="1" applyAlignment="1" applyProtection="1">
      <alignment horizontal="center" vertical="center" wrapText="1"/>
      <protection hidden="1"/>
    </xf>
    <xf numFmtId="0" fontId="72" fillId="2" borderId="6" xfId="0" applyFont="1" applyFill="1" applyBorder="1" applyAlignment="1" applyProtection="1">
      <alignment horizontal="center" vertical="center" wrapText="1"/>
      <protection hidden="1"/>
    </xf>
    <xf numFmtId="0" fontId="72" fillId="2" borderId="10" xfId="0" applyFont="1" applyFill="1" applyBorder="1" applyAlignment="1" applyProtection="1">
      <alignment horizontal="center" vertical="center" wrapText="1"/>
      <protection hidden="1"/>
    </xf>
    <xf numFmtId="0" fontId="72" fillId="2" borderId="11" xfId="0" applyFont="1" applyFill="1" applyBorder="1" applyAlignment="1" applyProtection="1">
      <alignment horizontal="center" vertical="center" wrapText="1"/>
      <protection hidden="1"/>
    </xf>
    <xf numFmtId="0" fontId="41" fillId="9" borderId="62" xfId="0" applyFont="1" applyFill="1" applyBorder="1" applyAlignment="1" applyProtection="1">
      <alignment horizontal="left" vertical="top"/>
      <protection locked="0"/>
    </xf>
    <xf numFmtId="0" fontId="41" fillId="9" borderId="45" xfId="0" applyFont="1" applyFill="1" applyBorder="1" applyAlignment="1" applyProtection="1">
      <alignment horizontal="left" vertical="top"/>
      <protection locked="0"/>
    </xf>
    <xf numFmtId="0" fontId="40" fillId="9" borderId="45" xfId="0" applyFont="1" applyFill="1" applyBorder="1" applyAlignment="1" applyProtection="1">
      <alignment horizontal="left"/>
      <protection locked="0"/>
    </xf>
    <xf numFmtId="0" fontId="40" fillId="9" borderId="63" xfId="0" applyFont="1" applyFill="1" applyBorder="1" applyAlignment="1" applyProtection="1">
      <alignment horizontal="left"/>
      <protection locked="0"/>
    </xf>
    <xf numFmtId="0" fontId="45" fillId="0" borderId="8" xfId="0" applyFont="1" applyBorder="1" applyAlignment="1" applyProtection="1">
      <alignment horizontal="left" vertical="top" wrapText="1"/>
      <protection hidden="1"/>
    </xf>
    <xf numFmtId="2" fontId="72" fillId="0" borderId="3" xfId="0" applyNumberFormat="1" applyFont="1" applyBorder="1" applyAlignment="1" applyProtection="1">
      <alignment horizontal="center" vertical="center"/>
      <protection hidden="1"/>
    </xf>
    <xf numFmtId="0" fontId="72" fillId="0" borderId="7" xfId="0" applyFont="1" applyBorder="1" applyAlignment="1" applyProtection="1">
      <alignment horizontal="center" vertical="center"/>
      <protection hidden="1"/>
    </xf>
    <xf numFmtId="0" fontId="72" fillId="0" borderId="16" xfId="0" applyFont="1" applyBorder="1" applyAlignment="1" applyProtection="1">
      <alignment horizontal="center" vertical="center"/>
      <protection hidden="1"/>
    </xf>
    <xf numFmtId="0" fontId="72" fillId="0" borderId="4" xfId="0" applyFont="1" applyBorder="1" applyAlignment="1" applyProtection="1">
      <alignment horizontal="center" vertical="center"/>
      <protection hidden="1"/>
    </xf>
    <xf numFmtId="0" fontId="72" fillId="0" borderId="0" xfId="0" applyFont="1" applyBorder="1" applyAlignment="1" applyProtection="1">
      <alignment horizontal="center" vertical="center"/>
      <protection hidden="1"/>
    </xf>
    <xf numFmtId="0" fontId="72" fillId="0" borderId="5" xfId="0" applyFont="1" applyBorder="1" applyAlignment="1" applyProtection="1">
      <alignment horizontal="center" vertical="center"/>
      <protection hidden="1"/>
    </xf>
    <xf numFmtId="0" fontId="72" fillId="0" borderId="6" xfId="0" applyFont="1" applyBorder="1" applyAlignment="1" applyProtection="1">
      <alignment horizontal="center" vertical="center"/>
      <protection hidden="1"/>
    </xf>
    <xf numFmtId="0" fontId="72" fillId="0" borderId="10" xfId="0" applyFont="1" applyBorder="1" applyAlignment="1" applyProtection="1">
      <alignment horizontal="center" vertical="center"/>
      <protection hidden="1"/>
    </xf>
    <xf numFmtId="0" fontId="72" fillId="0" borderId="11" xfId="0" applyFont="1" applyBorder="1" applyAlignment="1" applyProtection="1">
      <alignment horizontal="center" vertical="center"/>
      <protection hidden="1"/>
    </xf>
    <xf numFmtId="0" fontId="72" fillId="0" borderId="8" xfId="0" applyFont="1" applyBorder="1" applyAlignment="1" applyProtection="1">
      <alignment horizontal="left" vertical="top" wrapText="1"/>
      <protection hidden="1"/>
    </xf>
    <xf numFmtId="0" fontId="40" fillId="28" borderId="3" xfId="0" applyFont="1" applyFill="1" applyBorder="1" applyAlignment="1" applyProtection="1">
      <alignment horizontal="center" vertical="top" wrapText="1"/>
      <protection locked="0"/>
    </xf>
    <xf numFmtId="0" fontId="40" fillId="28" borderId="7" xfId="0" applyFont="1" applyFill="1" applyBorder="1" applyAlignment="1" applyProtection="1">
      <alignment horizontal="center" vertical="top" wrapText="1"/>
      <protection locked="0"/>
    </xf>
    <xf numFmtId="0" fontId="40" fillId="28" borderId="16" xfId="0" applyFont="1" applyFill="1" applyBorder="1" applyAlignment="1" applyProtection="1">
      <alignment horizontal="center" vertical="top" wrapText="1"/>
      <protection locked="0"/>
    </xf>
    <xf numFmtId="0" fontId="40" fillId="28" borderId="6" xfId="0" applyFont="1" applyFill="1" applyBorder="1" applyAlignment="1" applyProtection="1">
      <alignment horizontal="center" vertical="top" wrapText="1"/>
      <protection locked="0"/>
    </xf>
    <xf numFmtId="0" fontId="40" fillId="28" borderId="10" xfId="0" applyFont="1" applyFill="1" applyBorder="1" applyAlignment="1" applyProtection="1">
      <alignment horizontal="center" vertical="top" wrapText="1"/>
      <protection locked="0"/>
    </xf>
    <xf numFmtId="0" fontId="40" fillId="28" borderId="11" xfId="0" applyFont="1" applyFill="1" applyBorder="1" applyAlignment="1" applyProtection="1">
      <alignment horizontal="center" vertical="top" wrapText="1"/>
      <protection locked="0"/>
    </xf>
    <xf numFmtId="0" fontId="45" fillId="2" borderId="8" xfId="0" applyFont="1" applyFill="1" applyBorder="1" applyAlignment="1" applyProtection="1">
      <alignment horizontal="center" vertical="top" wrapText="1"/>
      <protection hidden="1"/>
    </xf>
    <xf numFmtId="2" fontId="72" fillId="2" borderId="8" xfId="0" applyNumberFormat="1" applyFont="1" applyFill="1" applyBorder="1" applyAlignment="1" applyProtection="1">
      <alignment horizontal="center" vertical="center" wrapText="1"/>
      <protection hidden="1"/>
    </xf>
    <xf numFmtId="0" fontId="72" fillId="2" borderId="8" xfId="0" applyFont="1" applyFill="1" applyBorder="1" applyAlignment="1" applyProtection="1">
      <alignment horizontal="center" vertical="center" wrapText="1"/>
      <protection hidden="1"/>
    </xf>
    <xf numFmtId="0" fontId="41" fillId="0" borderId="8" xfId="0" applyFont="1" applyFill="1" applyBorder="1" applyAlignment="1" applyProtection="1">
      <alignment horizontal="center" vertical="center"/>
      <protection hidden="1"/>
    </xf>
    <xf numFmtId="0" fontId="41" fillId="0" borderId="9" xfId="0" applyFont="1" applyFill="1" applyBorder="1" applyAlignment="1" applyProtection="1">
      <alignment horizontal="center" vertical="center"/>
      <protection hidden="1"/>
    </xf>
    <xf numFmtId="0" fontId="41" fillId="0" borderId="3" xfId="0" applyFont="1" applyFill="1" applyBorder="1" applyAlignment="1" applyProtection="1">
      <alignment horizontal="center" vertical="center"/>
      <protection hidden="1"/>
    </xf>
    <xf numFmtId="0" fontId="41" fillId="0" borderId="7" xfId="0" applyFont="1" applyFill="1" applyBorder="1" applyAlignment="1" applyProtection="1">
      <alignment horizontal="center" vertical="center"/>
      <protection hidden="1"/>
    </xf>
    <xf numFmtId="0" fontId="41" fillId="0" borderId="16" xfId="0" applyFont="1" applyFill="1" applyBorder="1" applyAlignment="1" applyProtection="1">
      <alignment horizontal="center" vertical="center"/>
      <protection hidden="1"/>
    </xf>
    <xf numFmtId="0" fontId="41" fillId="0" borderId="6" xfId="0" applyFont="1" applyFill="1" applyBorder="1" applyAlignment="1" applyProtection="1">
      <alignment horizontal="center" vertical="center"/>
      <protection hidden="1"/>
    </xf>
    <xf numFmtId="0" fontId="41" fillId="0" borderId="10" xfId="0" applyFont="1" applyFill="1" applyBorder="1" applyAlignment="1" applyProtection="1">
      <alignment horizontal="center" vertical="center"/>
      <protection hidden="1"/>
    </xf>
    <xf numFmtId="0" fontId="41" fillId="0" borderId="11" xfId="0" applyFont="1" applyFill="1" applyBorder="1" applyAlignment="1" applyProtection="1">
      <alignment horizontal="center" vertical="center"/>
      <protection hidden="1"/>
    </xf>
    <xf numFmtId="0" fontId="45" fillId="2" borderId="8" xfId="0" applyFont="1" applyFill="1" applyBorder="1" applyAlignment="1" applyProtection="1">
      <alignment horizontal="center" vertical="center" wrapText="1"/>
      <protection hidden="1"/>
    </xf>
    <xf numFmtId="2" fontId="72" fillId="0" borderId="7" xfId="0" applyNumberFormat="1" applyFont="1" applyBorder="1" applyAlignment="1" applyProtection="1">
      <alignment horizontal="center" vertical="center"/>
      <protection hidden="1"/>
    </xf>
    <xf numFmtId="2" fontId="72" fillId="0" borderId="16" xfId="0" applyNumberFormat="1" applyFont="1" applyBorder="1" applyAlignment="1" applyProtection="1">
      <alignment horizontal="center" vertical="center"/>
      <protection hidden="1"/>
    </xf>
    <xf numFmtId="2" fontId="72" fillId="0" borderId="4" xfId="0" applyNumberFormat="1" applyFont="1" applyBorder="1" applyAlignment="1" applyProtection="1">
      <alignment horizontal="center" vertical="center"/>
      <protection hidden="1"/>
    </xf>
    <xf numFmtId="2" fontId="72" fillId="0" borderId="0" xfId="0" applyNumberFormat="1" applyFont="1" applyBorder="1" applyAlignment="1" applyProtection="1">
      <alignment horizontal="center" vertical="center"/>
      <protection hidden="1"/>
    </xf>
    <xf numFmtId="2" fontId="72" fillId="0" borderId="5" xfId="0" applyNumberFormat="1" applyFont="1" applyBorder="1" applyAlignment="1" applyProtection="1">
      <alignment horizontal="center" vertical="center"/>
      <protection hidden="1"/>
    </xf>
    <xf numFmtId="2" fontId="72" fillId="0" borderId="6" xfId="0" applyNumberFormat="1" applyFont="1" applyBorder="1" applyAlignment="1" applyProtection="1">
      <alignment horizontal="center" vertical="center"/>
      <protection hidden="1"/>
    </xf>
    <xf numFmtId="2" fontId="72" fillId="0" borderId="10" xfId="0" applyNumberFormat="1" applyFont="1" applyBorder="1" applyAlignment="1" applyProtection="1">
      <alignment horizontal="center" vertical="center"/>
      <protection hidden="1"/>
    </xf>
    <xf numFmtId="2" fontId="72" fillId="0" borderId="11" xfId="0" applyNumberFormat="1" applyFont="1" applyBorder="1" applyAlignment="1" applyProtection="1">
      <alignment horizontal="center" vertical="center"/>
      <protection hidden="1"/>
    </xf>
    <xf numFmtId="0" fontId="40" fillId="0" borderId="9" xfId="0" applyFont="1" applyBorder="1" applyAlignment="1" applyProtection="1">
      <alignment horizontal="center" vertical="top" wrapText="1"/>
      <protection hidden="1"/>
    </xf>
    <xf numFmtId="0" fontId="40" fillId="0" borderId="22" xfId="0" applyFont="1" applyBorder="1" applyAlignment="1" applyProtection="1">
      <alignment horizontal="center" vertical="top" wrapText="1"/>
      <protection hidden="1"/>
    </xf>
    <xf numFmtId="0" fontId="40" fillId="0" borderId="12" xfId="0" applyFont="1" applyBorder="1" applyAlignment="1" applyProtection="1">
      <alignment horizontal="center" vertical="top" wrapText="1"/>
      <protection hidden="1"/>
    </xf>
    <xf numFmtId="0" fontId="43" fillId="0" borderId="9" xfId="0" applyFont="1" applyBorder="1" applyAlignment="1" applyProtection="1">
      <alignment horizontal="center" vertical="center" wrapText="1"/>
      <protection hidden="1"/>
    </xf>
    <xf numFmtId="0" fontId="43" fillId="0" borderId="22" xfId="0" applyFont="1" applyBorder="1" applyAlignment="1" applyProtection="1">
      <alignment horizontal="center" vertical="center" wrapText="1"/>
      <protection hidden="1"/>
    </xf>
    <xf numFmtId="0" fontId="43" fillId="0" borderId="12" xfId="0" applyFont="1" applyBorder="1" applyAlignment="1" applyProtection="1">
      <alignment horizontal="center" vertical="center" wrapText="1"/>
      <protection hidden="1"/>
    </xf>
    <xf numFmtId="0" fontId="72" fillId="0" borderId="3" xfId="0" applyFont="1" applyBorder="1" applyAlignment="1" applyProtection="1">
      <alignment horizontal="left" vertical="top" wrapText="1"/>
      <protection hidden="1"/>
    </xf>
    <xf numFmtId="0" fontId="72" fillId="0" borderId="7" xfId="0" applyFont="1" applyBorder="1" applyAlignment="1" applyProtection="1">
      <alignment horizontal="left" vertical="top" wrapText="1"/>
      <protection hidden="1"/>
    </xf>
    <xf numFmtId="0" fontId="72" fillId="0" borderId="16" xfId="0" applyFont="1" applyBorder="1" applyAlignment="1" applyProtection="1">
      <alignment horizontal="left" vertical="top" wrapText="1"/>
      <protection hidden="1"/>
    </xf>
    <xf numFmtId="0" fontId="72" fillId="0" borderId="6" xfId="0" applyFont="1" applyBorder="1" applyAlignment="1" applyProtection="1">
      <alignment horizontal="left" vertical="top" wrapText="1"/>
      <protection hidden="1"/>
    </xf>
    <xf numFmtId="0" fontId="72" fillId="0" borderId="10" xfId="0" applyFont="1" applyBorder="1" applyAlignment="1" applyProtection="1">
      <alignment horizontal="left" vertical="top" wrapText="1"/>
      <protection hidden="1"/>
    </xf>
    <xf numFmtId="0" fontId="72" fillId="0" borderId="11" xfId="0" applyFont="1" applyBorder="1" applyAlignment="1" applyProtection="1">
      <alignment horizontal="left" vertical="top" wrapText="1"/>
      <protection hidden="1"/>
    </xf>
    <xf numFmtId="0" fontId="43" fillId="28" borderId="3" xfId="0" applyFont="1" applyFill="1" applyBorder="1" applyAlignment="1" applyProtection="1">
      <alignment horizontal="center" vertical="top" wrapText="1"/>
      <protection locked="0"/>
    </xf>
    <xf numFmtId="0" fontId="43" fillId="28" borderId="7" xfId="0" applyFont="1" applyFill="1" applyBorder="1" applyAlignment="1" applyProtection="1">
      <alignment horizontal="center" vertical="top" wrapText="1"/>
      <protection locked="0"/>
    </xf>
    <xf numFmtId="0" fontId="43" fillId="28" borderId="16" xfId="0" applyFont="1" applyFill="1" applyBorder="1" applyAlignment="1" applyProtection="1">
      <alignment horizontal="center" vertical="top" wrapText="1"/>
      <protection locked="0"/>
    </xf>
    <xf numFmtId="0" fontId="43" fillId="28" borderId="6" xfId="0" applyFont="1" applyFill="1" applyBorder="1" applyAlignment="1" applyProtection="1">
      <alignment horizontal="center" vertical="top" wrapText="1"/>
      <protection locked="0"/>
    </xf>
    <xf numFmtId="0" fontId="43" fillId="28" borderId="10" xfId="0" applyFont="1" applyFill="1" applyBorder="1" applyAlignment="1" applyProtection="1">
      <alignment horizontal="center" vertical="top" wrapText="1"/>
      <protection locked="0"/>
    </xf>
    <xf numFmtId="0" fontId="43" fillId="28" borderId="11" xfId="0" applyFont="1" applyFill="1" applyBorder="1" applyAlignment="1" applyProtection="1">
      <alignment horizontal="center" vertical="top" wrapText="1"/>
      <protection locked="0"/>
    </xf>
    <xf numFmtId="0" fontId="41" fillId="6" borderId="9" xfId="0" applyFont="1" applyFill="1" applyBorder="1" applyAlignment="1" applyProtection="1">
      <alignment horizontal="center" vertical="top" wrapText="1"/>
      <protection hidden="1"/>
    </xf>
    <xf numFmtId="0" fontId="41" fillId="6" borderId="22" xfId="0" applyFont="1" applyFill="1" applyBorder="1" applyAlignment="1" applyProtection="1">
      <alignment horizontal="center" vertical="top" wrapText="1"/>
      <protection hidden="1"/>
    </xf>
    <xf numFmtId="0" fontId="41" fillId="6" borderId="12" xfId="0" applyFont="1" applyFill="1" applyBorder="1" applyAlignment="1" applyProtection="1">
      <alignment horizontal="center" vertical="top" wrapText="1"/>
      <protection hidden="1"/>
    </xf>
    <xf numFmtId="0" fontId="41" fillId="0" borderId="8" xfId="0" applyFont="1" applyFill="1" applyBorder="1" applyAlignment="1" applyProtection="1">
      <alignment horizontal="center" vertical="top"/>
      <protection hidden="1"/>
    </xf>
    <xf numFmtId="178" fontId="55" fillId="16" borderId="9" xfId="9" applyNumberFormat="1" applyFont="1" applyFill="1" applyBorder="1" applyAlignment="1" applyProtection="1">
      <alignment horizontal="center" vertical="center" wrapText="1"/>
      <protection hidden="1"/>
    </xf>
    <xf numFmtId="178" fontId="55" fillId="16" borderId="22" xfId="9" applyNumberFormat="1" applyFont="1" applyFill="1" applyBorder="1" applyAlignment="1" applyProtection="1">
      <alignment horizontal="center" vertical="center" wrapText="1"/>
      <protection hidden="1"/>
    </xf>
    <xf numFmtId="178" fontId="55" fillId="16" borderId="12" xfId="9" applyNumberFormat="1" applyFont="1" applyFill="1" applyBorder="1" applyAlignment="1" applyProtection="1">
      <alignment horizontal="center" vertical="center" wrapText="1"/>
      <protection hidden="1"/>
    </xf>
    <xf numFmtId="9" fontId="55" fillId="16" borderId="9" xfId="25" applyFont="1" applyFill="1" applyBorder="1" applyAlignment="1" applyProtection="1">
      <alignment horizontal="center" vertical="center" wrapText="1"/>
      <protection hidden="1"/>
    </xf>
    <xf numFmtId="9" fontId="55" fillId="16" borderId="12" xfId="25" applyFont="1" applyFill="1" applyBorder="1" applyAlignment="1" applyProtection="1">
      <alignment horizontal="center" vertical="center" wrapText="1"/>
      <protection hidden="1"/>
    </xf>
    <xf numFmtId="0" fontId="72" fillId="2" borderId="8" xfId="0" applyFont="1" applyFill="1" applyBorder="1" applyAlignment="1" applyProtection="1">
      <alignment horizontal="left" vertical="top" wrapText="1"/>
      <protection hidden="1"/>
    </xf>
    <xf numFmtId="0" fontId="55" fillId="2" borderId="8" xfId="0" applyFont="1" applyFill="1" applyBorder="1" applyAlignment="1" applyProtection="1">
      <alignment horizontal="center" vertical="center" wrapText="1"/>
      <protection hidden="1"/>
    </xf>
    <xf numFmtId="2" fontId="55" fillId="2" borderId="8" xfId="0" applyNumberFormat="1" applyFont="1" applyFill="1" applyBorder="1" applyAlignment="1" applyProtection="1">
      <alignment horizontal="center" vertical="center" wrapText="1"/>
      <protection hidden="1"/>
    </xf>
    <xf numFmtId="0" fontId="41" fillId="18" borderId="8" xfId="0" applyFont="1" applyFill="1" applyBorder="1" applyAlignment="1" applyProtection="1">
      <alignment horizontal="center" vertical="center" wrapText="1"/>
      <protection hidden="1"/>
    </xf>
    <xf numFmtId="9" fontId="41" fillId="5" borderId="3" xfId="25" applyFont="1" applyFill="1" applyBorder="1" applyAlignment="1" applyProtection="1">
      <alignment horizontal="center" vertical="center" wrapText="1"/>
      <protection hidden="1"/>
    </xf>
    <xf numFmtId="9" fontId="41" fillId="5" borderId="16" xfId="25" applyFont="1" applyFill="1" applyBorder="1" applyAlignment="1" applyProtection="1">
      <alignment horizontal="center" vertical="center" wrapText="1"/>
      <protection hidden="1"/>
    </xf>
    <xf numFmtId="9" fontId="41" fillId="5" borderId="4" xfId="25" applyFont="1" applyFill="1" applyBorder="1" applyAlignment="1" applyProtection="1">
      <alignment horizontal="center" vertical="center" wrapText="1"/>
      <protection hidden="1"/>
    </xf>
    <xf numFmtId="9" fontId="41" fillId="5" borderId="5" xfId="25" applyFont="1" applyFill="1" applyBorder="1" applyAlignment="1" applyProtection="1">
      <alignment horizontal="center" vertical="center" wrapText="1"/>
      <protection hidden="1"/>
    </xf>
    <xf numFmtId="9" fontId="41" fillId="5" borderId="6" xfId="25" applyFont="1" applyFill="1" applyBorder="1" applyAlignment="1" applyProtection="1">
      <alignment horizontal="center" vertical="center" wrapText="1"/>
      <protection hidden="1"/>
    </xf>
    <xf numFmtId="9" fontId="41" fillId="5" borderId="11" xfId="25" applyFont="1" applyFill="1" applyBorder="1" applyAlignment="1" applyProtection="1">
      <alignment horizontal="center" vertical="center" wrapText="1"/>
      <protection hidden="1"/>
    </xf>
    <xf numFmtId="0" fontId="72" fillId="5" borderId="8" xfId="0" applyFont="1" applyFill="1" applyBorder="1" applyAlignment="1" applyProtection="1">
      <alignment vertical="center" wrapText="1"/>
      <protection hidden="1"/>
    </xf>
    <xf numFmtId="178" fontId="72" fillId="0" borderId="22" xfId="9" applyNumberFormat="1" applyFont="1" applyBorder="1" applyAlignment="1" applyProtection="1">
      <alignment horizontal="center" vertical="center" wrapText="1"/>
      <protection hidden="1"/>
    </xf>
    <xf numFmtId="178" fontId="72" fillId="0" borderId="9" xfId="9" applyNumberFormat="1" applyFont="1" applyBorder="1" applyAlignment="1" applyProtection="1">
      <alignment horizontal="right" vertical="center" wrapText="1"/>
      <protection hidden="1"/>
    </xf>
    <xf numFmtId="178" fontId="72" fillId="0" borderId="22" xfId="9" applyNumberFormat="1" applyFont="1" applyBorder="1" applyAlignment="1" applyProtection="1">
      <alignment horizontal="right" vertical="center" wrapText="1"/>
      <protection hidden="1"/>
    </xf>
    <xf numFmtId="178" fontId="72" fillId="0" borderId="12" xfId="9" applyNumberFormat="1" applyFont="1" applyBorder="1" applyAlignment="1" applyProtection="1">
      <alignment horizontal="right" vertical="center" wrapText="1"/>
      <protection hidden="1"/>
    </xf>
    <xf numFmtId="9" fontId="72" fillId="5" borderId="9" xfId="0" applyNumberFormat="1" applyFont="1" applyFill="1" applyBorder="1" applyAlignment="1" applyProtection="1">
      <alignment horizontal="center" vertical="center" wrapText="1"/>
      <protection hidden="1"/>
    </xf>
    <xf numFmtId="9" fontId="41" fillId="6" borderId="9" xfId="25" applyFont="1" applyFill="1" applyBorder="1" applyAlignment="1" applyProtection="1">
      <alignment horizontal="center" vertical="center" wrapText="1"/>
      <protection hidden="1"/>
    </xf>
    <xf numFmtId="9" fontId="41" fillId="6" borderId="12" xfId="25" applyFont="1" applyFill="1" applyBorder="1" applyAlignment="1" applyProtection="1">
      <alignment horizontal="center" vertical="center" wrapText="1"/>
      <protection hidden="1"/>
    </xf>
    <xf numFmtId="0" fontId="41" fillId="12" borderId="8" xfId="0" applyFont="1" applyFill="1" applyBorder="1" applyAlignment="1" applyProtection="1">
      <alignment horizontal="center" vertical="center" wrapText="1"/>
      <protection hidden="1"/>
    </xf>
    <xf numFmtId="9" fontId="41" fillId="0" borderId="3" xfId="25" applyFont="1" applyBorder="1" applyAlignment="1" applyProtection="1">
      <alignment horizontal="center" vertical="center" wrapText="1"/>
      <protection hidden="1"/>
    </xf>
    <xf numFmtId="9" fontId="41" fillId="0" borderId="16" xfId="25" applyFont="1" applyBorder="1" applyAlignment="1" applyProtection="1">
      <alignment horizontal="center" vertical="center" wrapText="1"/>
      <protection hidden="1"/>
    </xf>
    <xf numFmtId="9" fontId="41" fillId="0" borderId="4" xfId="25" applyFont="1" applyBorder="1" applyAlignment="1" applyProtection="1">
      <alignment horizontal="center" vertical="center" wrapText="1"/>
      <protection hidden="1"/>
    </xf>
    <xf numFmtId="9" fontId="41" fillId="0" borderId="5" xfId="25" applyFont="1" applyBorder="1" applyAlignment="1" applyProtection="1">
      <alignment horizontal="center" vertical="center" wrapText="1"/>
      <protection hidden="1"/>
    </xf>
    <xf numFmtId="9" fontId="41" fillId="0" borderId="6" xfId="25" applyFont="1" applyBorder="1" applyAlignment="1" applyProtection="1">
      <alignment horizontal="center" vertical="center" wrapText="1"/>
      <protection hidden="1"/>
    </xf>
    <xf numFmtId="9" fontId="41" fillId="0" borderId="11" xfId="25" applyFont="1" applyBorder="1" applyAlignment="1" applyProtection="1">
      <alignment horizontal="center" vertical="center" wrapText="1"/>
      <protection hidden="1"/>
    </xf>
    <xf numFmtId="9" fontId="41" fillId="0" borderId="9" xfId="25" applyFont="1" applyBorder="1" applyAlignment="1" applyProtection="1">
      <alignment horizontal="center" vertical="center" wrapText="1"/>
      <protection hidden="1"/>
    </xf>
    <xf numFmtId="9" fontId="41" fillId="0" borderId="12" xfId="25" applyFont="1" applyBorder="1" applyAlignment="1" applyProtection="1">
      <alignment horizontal="center" vertical="center" wrapText="1"/>
      <protection hidden="1"/>
    </xf>
    <xf numFmtId="178" fontId="72" fillId="0" borderId="6" xfId="9" applyNumberFormat="1" applyFont="1" applyBorder="1" applyAlignment="1" applyProtection="1">
      <alignment horizontal="left" vertical="center" wrapText="1"/>
      <protection hidden="1"/>
    </xf>
    <xf numFmtId="178" fontId="72" fillId="0" borderId="10" xfId="9" applyNumberFormat="1" applyFont="1" applyBorder="1" applyAlignment="1" applyProtection="1">
      <alignment horizontal="left" vertical="center" wrapText="1"/>
      <protection hidden="1"/>
    </xf>
    <xf numFmtId="178" fontId="72" fillId="0" borderId="11" xfId="9" applyNumberFormat="1" applyFont="1" applyBorder="1" applyAlignment="1" applyProtection="1">
      <alignment horizontal="left" vertical="center" wrapText="1"/>
      <protection hidden="1"/>
    </xf>
    <xf numFmtId="9" fontId="72" fillId="0" borderId="9" xfId="25" applyFont="1" applyBorder="1" applyAlignment="1" applyProtection="1">
      <alignment horizontal="center" vertical="center" wrapText="1"/>
      <protection hidden="1"/>
    </xf>
    <xf numFmtId="9" fontId="72" fillId="0" borderId="12" xfId="25" applyFont="1" applyBorder="1" applyAlignment="1" applyProtection="1">
      <alignment horizontal="center" vertical="center" wrapText="1"/>
      <protection hidden="1"/>
    </xf>
    <xf numFmtId="0" fontId="72" fillId="0" borderId="9" xfId="0" applyFont="1" applyBorder="1" applyAlignment="1" applyProtection="1">
      <alignment horizontal="left" vertical="top" wrapText="1"/>
      <protection hidden="1"/>
    </xf>
    <xf numFmtId="0" fontId="72" fillId="0" borderId="22" xfId="0" applyFont="1" applyBorder="1" applyAlignment="1" applyProtection="1">
      <alignment horizontal="left" vertical="top" wrapText="1"/>
      <protection hidden="1"/>
    </xf>
    <xf numFmtId="0" fontId="72" fillId="0" borderId="12" xfId="0" applyFont="1" applyBorder="1" applyAlignment="1" applyProtection="1">
      <alignment horizontal="left" vertical="top" wrapText="1"/>
      <protection hidden="1"/>
    </xf>
    <xf numFmtId="0" fontId="72" fillId="0" borderId="6" xfId="0" applyFont="1" applyBorder="1" applyAlignment="1" applyProtection="1">
      <alignment horizontal="center" vertical="center" wrapText="1"/>
      <protection hidden="1"/>
    </xf>
    <xf numFmtId="0" fontId="72" fillId="0" borderId="11" xfId="0" applyFont="1" applyBorder="1" applyAlignment="1" applyProtection="1">
      <alignment horizontal="center" vertical="center" wrapText="1"/>
      <protection hidden="1"/>
    </xf>
    <xf numFmtId="178" fontId="72" fillId="0" borderId="6" xfId="9" applyNumberFormat="1" applyFont="1" applyBorder="1" applyAlignment="1" applyProtection="1">
      <alignment horizontal="right" vertical="center" wrapText="1"/>
      <protection hidden="1"/>
    </xf>
    <xf numFmtId="178" fontId="72" fillId="0" borderId="10" xfId="9" applyNumberFormat="1" applyFont="1" applyBorder="1" applyAlignment="1" applyProtection="1">
      <alignment horizontal="right" vertical="center" wrapText="1"/>
      <protection hidden="1"/>
    </xf>
    <xf numFmtId="178" fontId="72" fillId="0" borderId="11" xfId="9" applyNumberFormat="1" applyFont="1" applyBorder="1" applyAlignment="1" applyProtection="1">
      <alignment horizontal="right" vertical="center" wrapText="1"/>
      <protection hidden="1"/>
    </xf>
    <xf numFmtId="9" fontId="72" fillId="0" borderId="9" xfId="25" applyFont="1" applyBorder="1" applyAlignment="1" applyProtection="1">
      <alignment horizontal="right" vertical="center" wrapText="1"/>
      <protection hidden="1"/>
    </xf>
    <xf numFmtId="9" fontId="72" fillId="0" borderId="12" xfId="25" applyFont="1" applyBorder="1" applyAlignment="1" applyProtection="1">
      <alignment horizontal="right" vertical="center" wrapText="1"/>
      <protection hidden="1"/>
    </xf>
    <xf numFmtId="0" fontId="41" fillId="10" borderId="8" xfId="0" applyFont="1" applyFill="1" applyBorder="1" applyAlignment="1" applyProtection="1">
      <alignment horizontal="center" vertical="center" wrapText="1"/>
      <protection hidden="1"/>
    </xf>
    <xf numFmtId="178" fontId="72" fillId="0" borderId="6" xfId="9" applyNumberFormat="1" applyFont="1" applyBorder="1" applyAlignment="1" applyProtection="1">
      <alignment horizontal="center" vertical="center" wrapText="1"/>
      <protection hidden="1"/>
    </xf>
    <xf numFmtId="178" fontId="72" fillId="0" borderId="10" xfId="9" applyNumberFormat="1" applyFont="1" applyBorder="1" applyAlignment="1" applyProtection="1">
      <alignment horizontal="center" vertical="center" wrapText="1"/>
      <protection hidden="1"/>
    </xf>
    <xf numFmtId="178" fontId="72" fillId="0" borderId="11" xfId="9" applyNumberFormat="1" applyFont="1" applyBorder="1" applyAlignment="1" applyProtection="1">
      <alignment horizontal="center" vertical="center" wrapText="1"/>
      <protection hidden="1"/>
    </xf>
    <xf numFmtId="0" fontId="72" fillId="0" borderId="8" xfId="0" applyNumberFormat="1" applyFont="1" applyBorder="1" applyAlignment="1" applyProtection="1">
      <alignment horizontal="left" vertical="center" wrapText="1"/>
      <protection hidden="1"/>
    </xf>
    <xf numFmtId="0" fontId="72" fillId="0" borderId="22" xfId="0" applyNumberFormat="1" applyFont="1" applyBorder="1" applyAlignment="1" applyProtection="1">
      <alignment horizontal="left" vertical="center" wrapText="1"/>
      <protection hidden="1"/>
    </xf>
    <xf numFmtId="9" fontId="42" fillId="0" borderId="9" xfId="25" applyFont="1" applyBorder="1" applyAlignment="1" applyProtection="1">
      <alignment horizontal="center" vertical="center" wrapText="1"/>
      <protection hidden="1"/>
    </xf>
    <xf numFmtId="9" fontId="42" fillId="0" borderId="12" xfId="25" applyFont="1" applyBorder="1" applyAlignment="1" applyProtection="1">
      <alignment horizontal="center" vertical="center" wrapText="1"/>
      <protection hidden="1"/>
    </xf>
    <xf numFmtId="9" fontId="41" fillId="0" borderId="9" xfId="0" applyNumberFormat="1" applyFont="1" applyBorder="1" applyAlignment="1" applyProtection="1">
      <alignment horizontal="center" vertical="center" wrapText="1"/>
      <protection hidden="1"/>
    </xf>
    <xf numFmtId="9" fontId="41" fillId="0" borderId="12" xfId="0" applyNumberFormat="1" applyFont="1" applyBorder="1" applyAlignment="1" applyProtection="1">
      <alignment horizontal="center" vertical="center" wrapText="1"/>
      <protection hidden="1"/>
    </xf>
    <xf numFmtId="9" fontId="40" fillId="0" borderId="9" xfId="0" applyNumberFormat="1" applyFont="1" applyBorder="1" applyAlignment="1" applyProtection="1">
      <alignment vertical="center" wrapText="1"/>
      <protection hidden="1"/>
    </xf>
    <xf numFmtId="9" fontId="40" fillId="0" borderId="22" xfId="0" applyNumberFormat="1" applyFont="1" applyBorder="1" applyAlignment="1" applyProtection="1">
      <alignment vertical="center" wrapText="1"/>
      <protection hidden="1"/>
    </xf>
    <xf numFmtId="9" fontId="40" fillId="0" borderId="12" xfId="0" applyNumberFormat="1" applyFont="1" applyBorder="1" applyAlignment="1" applyProtection="1">
      <alignment vertical="center" wrapText="1"/>
      <protection hidden="1"/>
    </xf>
    <xf numFmtId="0" fontId="41" fillId="15" borderId="9" xfId="0" applyFont="1" applyFill="1" applyBorder="1" applyAlignment="1" applyProtection="1">
      <alignment horizontal="left" vertical="center"/>
      <protection hidden="1"/>
    </xf>
    <xf numFmtId="0" fontId="41" fillId="15" borderId="22" xfId="0" applyFont="1" applyFill="1" applyBorder="1" applyAlignment="1" applyProtection="1">
      <alignment horizontal="left" vertical="center"/>
      <protection hidden="1"/>
    </xf>
    <xf numFmtId="0" fontId="41" fillId="15" borderId="12" xfId="0" applyFont="1" applyFill="1" applyBorder="1" applyAlignment="1" applyProtection="1">
      <alignment horizontal="left" vertical="center"/>
      <protection hidden="1"/>
    </xf>
    <xf numFmtId="0" fontId="55" fillId="2" borderId="3" xfId="0" applyFont="1" applyFill="1" applyBorder="1" applyAlignment="1" applyProtection="1">
      <alignment horizontal="left" vertical="top" wrapText="1"/>
      <protection hidden="1"/>
    </xf>
    <xf numFmtId="0" fontId="55" fillId="2" borderId="7" xfId="0" applyFont="1" applyFill="1" applyBorder="1" applyAlignment="1" applyProtection="1">
      <alignment horizontal="left" vertical="top" wrapText="1"/>
      <protection hidden="1"/>
    </xf>
    <xf numFmtId="0" fontId="55" fillId="2" borderId="16" xfId="0" applyFont="1" applyFill="1" applyBorder="1" applyAlignment="1" applyProtection="1">
      <alignment horizontal="left" vertical="top" wrapText="1"/>
      <protection hidden="1"/>
    </xf>
    <xf numFmtId="0" fontId="55" fillId="2" borderId="6" xfId="0" applyFont="1" applyFill="1" applyBorder="1" applyAlignment="1" applyProtection="1">
      <alignment horizontal="left" vertical="top" wrapText="1"/>
      <protection hidden="1"/>
    </xf>
    <xf numFmtId="0" fontId="55" fillId="2" borderId="10" xfId="0" applyFont="1" applyFill="1" applyBorder="1" applyAlignment="1" applyProtection="1">
      <alignment horizontal="left" vertical="top" wrapText="1"/>
      <protection hidden="1"/>
    </xf>
    <xf numFmtId="0" fontId="55" fillId="2" borderId="11" xfId="0" applyFont="1" applyFill="1" applyBorder="1" applyAlignment="1" applyProtection="1">
      <alignment horizontal="left" vertical="top" wrapText="1"/>
      <protection hidden="1"/>
    </xf>
    <xf numFmtId="0" fontId="55" fillId="2" borderId="9" xfId="0" applyFont="1" applyFill="1" applyBorder="1" applyAlignment="1" applyProtection="1">
      <alignment horizontal="center" vertical="center"/>
      <protection hidden="1"/>
    </xf>
    <xf numFmtId="0" fontId="55" fillId="2" borderId="22" xfId="0" applyFont="1" applyFill="1" applyBorder="1" applyAlignment="1" applyProtection="1">
      <alignment horizontal="center" vertical="center"/>
      <protection hidden="1"/>
    </xf>
    <xf numFmtId="0" fontId="55" fillId="2" borderId="12" xfId="0" applyFont="1" applyFill="1" applyBorder="1" applyAlignment="1" applyProtection="1">
      <alignment horizontal="center" vertical="center"/>
      <protection hidden="1"/>
    </xf>
    <xf numFmtId="2" fontId="55" fillId="2" borderId="8" xfId="0" applyNumberFormat="1" applyFont="1" applyFill="1" applyBorder="1" applyAlignment="1" applyProtection="1">
      <alignment horizontal="center" vertical="center"/>
      <protection hidden="1"/>
    </xf>
    <xf numFmtId="2" fontId="55" fillId="2" borderId="9" xfId="0" applyNumberFormat="1" applyFont="1" applyFill="1" applyBorder="1" applyAlignment="1" applyProtection="1">
      <alignment horizontal="center" vertical="center" wrapText="1"/>
      <protection hidden="1"/>
    </xf>
    <xf numFmtId="2" fontId="55" fillId="2" borderId="22" xfId="0" applyNumberFormat="1" applyFont="1" applyFill="1" applyBorder="1" applyAlignment="1" applyProtection="1">
      <alignment horizontal="center" vertical="center" wrapText="1"/>
      <protection hidden="1"/>
    </xf>
    <xf numFmtId="2" fontId="55" fillId="2" borderId="12" xfId="0" applyNumberFormat="1" applyFont="1" applyFill="1" applyBorder="1" applyAlignment="1" applyProtection="1">
      <alignment horizontal="center" vertical="center" wrapText="1"/>
      <protection hidden="1"/>
    </xf>
    <xf numFmtId="0" fontId="40" fillId="0" borderId="9" xfId="0" applyFont="1" applyBorder="1" applyAlignment="1" applyProtection="1">
      <alignment vertical="center" wrapText="1"/>
      <protection locked="0"/>
    </xf>
    <xf numFmtId="0" fontId="40" fillId="0" borderId="22" xfId="0" applyFont="1" applyBorder="1" applyAlignment="1" applyProtection="1">
      <alignment vertical="center" wrapText="1"/>
      <protection locked="0"/>
    </xf>
    <xf numFmtId="0" fontId="40" fillId="0" borderId="12" xfId="0" applyFont="1" applyBorder="1" applyAlignment="1" applyProtection="1">
      <alignment vertical="center" wrapText="1"/>
      <protection locked="0"/>
    </xf>
    <xf numFmtId="166" fontId="46" fillId="0" borderId="9" xfId="30" applyNumberFormat="1" applyFont="1" applyBorder="1" applyAlignment="1" applyProtection="1">
      <alignment vertical="center" wrapText="1"/>
      <protection locked="0"/>
    </xf>
    <xf numFmtId="166" fontId="46" fillId="0" borderId="22" xfId="30" applyNumberFormat="1" applyFont="1" applyBorder="1" applyAlignment="1" applyProtection="1">
      <alignment vertical="center" wrapText="1"/>
      <protection locked="0"/>
    </xf>
    <xf numFmtId="166" fontId="46" fillId="0" borderId="12" xfId="30" applyNumberFormat="1" applyFont="1" applyBorder="1" applyAlignment="1" applyProtection="1">
      <alignment vertical="center" wrapText="1"/>
      <protection locked="0"/>
    </xf>
    <xf numFmtId="164" fontId="72" fillId="0" borderId="9" xfId="30" applyNumberFormat="1" applyFont="1" applyBorder="1" applyAlignment="1" applyProtection="1">
      <alignment vertical="center" wrapText="1"/>
      <protection hidden="1"/>
    </xf>
    <xf numFmtId="164" fontId="72" fillId="0" borderId="22" xfId="30" applyNumberFormat="1" applyFont="1" applyBorder="1" applyAlignment="1" applyProtection="1">
      <alignment vertical="center" wrapText="1"/>
      <protection hidden="1"/>
    </xf>
    <xf numFmtId="164" fontId="72" fillId="0" borderId="12" xfId="30" applyNumberFormat="1" applyFont="1" applyBorder="1" applyAlignment="1" applyProtection="1">
      <alignment vertical="center" wrapText="1"/>
      <protection hidden="1"/>
    </xf>
    <xf numFmtId="178" fontId="72" fillId="0" borderId="9" xfId="30" applyNumberFormat="1" applyFont="1" applyBorder="1" applyAlignment="1" applyProtection="1">
      <alignment vertical="center" wrapText="1"/>
      <protection hidden="1"/>
    </xf>
    <xf numFmtId="178" fontId="72" fillId="0" borderId="22" xfId="30" applyNumberFormat="1" applyFont="1" applyBorder="1" applyAlignment="1" applyProtection="1">
      <alignment vertical="center" wrapText="1"/>
      <protection hidden="1"/>
    </xf>
    <xf numFmtId="178" fontId="72" fillId="0" borderId="12" xfId="30" applyNumberFormat="1" applyFont="1" applyBorder="1" applyAlignment="1" applyProtection="1">
      <alignment vertical="center" wrapText="1"/>
      <protection hidden="1"/>
    </xf>
    <xf numFmtId="0" fontId="40" fillId="0" borderId="6" xfId="0" applyFont="1" applyBorder="1" applyAlignment="1" applyProtection="1">
      <alignment vertical="center" wrapText="1"/>
      <protection locked="0"/>
    </xf>
    <xf numFmtId="0" fontId="40" fillId="0" borderId="10" xfId="0" applyFont="1" applyBorder="1" applyAlignment="1" applyProtection="1">
      <alignment vertical="center" wrapText="1"/>
      <protection locked="0"/>
    </xf>
    <xf numFmtId="0" fontId="40" fillId="0" borderId="11" xfId="0" applyFont="1" applyBorder="1" applyAlignment="1" applyProtection="1">
      <alignment vertical="center" wrapText="1"/>
      <protection locked="0"/>
    </xf>
    <xf numFmtId="164" fontId="40" fillId="0" borderId="6" xfId="0" applyNumberFormat="1" applyFont="1" applyBorder="1" applyAlignment="1" applyProtection="1">
      <alignment vertical="center" wrapText="1"/>
      <protection hidden="1"/>
    </xf>
    <xf numFmtId="164" fontId="40" fillId="0" borderId="10" xfId="0" applyNumberFormat="1" applyFont="1" applyBorder="1" applyAlignment="1" applyProtection="1">
      <alignment vertical="center" wrapText="1"/>
      <protection hidden="1"/>
    </xf>
    <xf numFmtId="164" fontId="40" fillId="0" borderId="11" xfId="0" applyNumberFormat="1" applyFont="1" applyBorder="1" applyAlignment="1" applyProtection="1">
      <alignment vertical="center" wrapText="1"/>
      <protection hidden="1"/>
    </xf>
    <xf numFmtId="178" fontId="40" fillId="0" borderId="6" xfId="0" applyNumberFormat="1" applyFont="1" applyBorder="1" applyAlignment="1" applyProtection="1">
      <alignment vertical="center" wrapText="1"/>
      <protection hidden="1"/>
    </xf>
    <xf numFmtId="178" fontId="40" fillId="0" borderId="10" xfId="0" applyNumberFormat="1" applyFont="1" applyBorder="1" applyAlignment="1" applyProtection="1">
      <alignment vertical="center" wrapText="1"/>
      <protection hidden="1"/>
    </xf>
    <xf numFmtId="178" fontId="40" fillId="0" borderId="11" xfId="0" applyNumberFormat="1" applyFont="1" applyBorder="1" applyAlignment="1" applyProtection="1">
      <alignment vertical="center" wrapText="1"/>
      <protection hidden="1"/>
    </xf>
    <xf numFmtId="0" fontId="40" fillId="0" borderId="4" xfId="0" applyFont="1" applyBorder="1" applyAlignment="1" applyProtection="1">
      <alignment vertical="center" wrapText="1"/>
      <protection locked="0"/>
    </xf>
    <xf numFmtId="0" fontId="40" fillId="0" borderId="5" xfId="0" applyFont="1" applyBorder="1" applyAlignment="1" applyProtection="1">
      <alignment vertical="center" wrapText="1"/>
      <protection locked="0"/>
    </xf>
    <xf numFmtId="164" fontId="40" fillId="0" borderId="4" xfId="0" applyNumberFormat="1" applyFont="1" applyBorder="1" applyAlignment="1" applyProtection="1">
      <alignment vertical="center" wrapText="1"/>
      <protection hidden="1"/>
    </xf>
    <xf numFmtId="164" fontId="40" fillId="0" borderId="0" xfId="0" applyNumberFormat="1" applyFont="1" applyBorder="1" applyAlignment="1" applyProtection="1">
      <alignment vertical="center" wrapText="1"/>
      <protection hidden="1"/>
    </xf>
    <xf numFmtId="164" fontId="40" fillId="0" borderId="5" xfId="0" applyNumberFormat="1" applyFont="1" applyBorder="1" applyAlignment="1" applyProtection="1">
      <alignment vertical="center" wrapText="1"/>
      <protection hidden="1"/>
    </xf>
    <xf numFmtId="178" fontId="40" fillId="0" borderId="4" xfId="0" applyNumberFormat="1" applyFont="1" applyBorder="1" applyAlignment="1" applyProtection="1">
      <alignment vertical="center" wrapText="1"/>
      <protection hidden="1"/>
    </xf>
    <xf numFmtId="178" fontId="40" fillId="0" borderId="0" xfId="0" applyNumberFormat="1" applyFont="1" applyBorder="1" applyAlignment="1" applyProtection="1">
      <alignment vertical="center" wrapText="1"/>
      <protection hidden="1"/>
    </xf>
    <xf numFmtId="178" fontId="40" fillId="0" borderId="5" xfId="0" applyNumberFormat="1" applyFont="1" applyBorder="1" applyAlignment="1" applyProtection="1">
      <alignment vertical="center" wrapText="1"/>
      <protection hidden="1"/>
    </xf>
    <xf numFmtId="0" fontId="40" fillId="0" borderId="7" xfId="0" applyFont="1" applyBorder="1" applyAlignment="1" applyProtection="1">
      <alignment horizontal="center" vertical="center" wrapText="1"/>
      <protection hidden="1"/>
    </xf>
    <xf numFmtId="0" fontId="40" fillId="0" borderId="10" xfId="0" applyFont="1" applyBorder="1" applyAlignment="1" applyProtection="1">
      <alignment horizontal="center" vertical="center" wrapText="1"/>
      <protection hidden="1"/>
    </xf>
    <xf numFmtId="0" fontId="40" fillId="17" borderId="3" xfId="0" applyFont="1" applyFill="1" applyBorder="1" applyAlignment="1" applyProtection="1">
      <alignment vertical="center" wrapText="1"/>
      <protection locked="0"/>
    </xf>
    <xf numFmtId="0" fontId="40" fillId="17" borderId="7" xfId="0" applyFont="1" applyFill="1" applyBorder="1" applyAlignment="1" applyProtection="1">
      <alignment vertical="center" wrapText="1"/>
      <protection locked="0"/>
    </xf>
    <xf numFmtId="0" fontId="40" fillId="17" borderId="16" xfId="0" applyFont="1" applyFill="1" applyBorder="1" applyAlignment="1" applyProtection="1">
      <alignment vertical="center" wrapText="1"/>
      <protection locked="0"/>
    </xf>
    <xf numFmtId="0" fontId="40" fillId="17" borderId="4" xfId="0" applyFont="1" applyFill="1" applyBorder="1" applyAlignment="1" applyProtection="1">
      <alignment vertical="center" wrapText="1"/>
      <protection locked="0"/>
    </xf>
    <xf numFmtId="0" fontId="40" fillId="17" borderId="0" xfId="0" applyFont="1" applyFill="1" applyBorder="1" applyAlignment="1" applyProtection="1">
      <alignment vertical="center" wrapText="1"/>
      <protection locked="0"/>
    </xf>
    <xf numFmtId="0" fontId="40" fillId="17" borderId="5" xfId="0" applyFont="1" applyFill="1" applyBorder="1" applyAlignment="1" applyProtection="1">
      <alignment vertical="center" wrapText="1"/>
      <protection locked="0"/>
    </xf>
    <xf numFmtId="0" fontId="40" fillId="17" borderId="3" xfId="0" applyFont="1" applyFill="1" applyBorder="1" applyAlignment="1" applyProtection="1">
      <alignment vertical="center" wrapText="1"/>
      <protection hidden="1"/>
    </xf>
    <xf numFmtId="0" fontId="40" fillId="17" borderId="7" xfId="0" applyFont="1" applyFill="1" applyBorder="1" applyAlignment="1" applyProtection="1">
      <alignment vertical="center" wrapText="1"/>
      <protection hidden="1"/>
    </xf>
    <xf numFmtId="0" fontId="40" fillId="17" borderId="16" xfId="0" applyFont="1" applyFill="1" applyBorder="1" applyAlignment="1" applyProtection="1">
      <alignment vertical="center" wrapText="1"/>
      <protection hidden="1"/>
    </xf>
    <xf numFmtId="0" fontId="40" fillId="17" borderId="4" xfId="0" applyFont="1" applyFill="1" applyBorder="1" applyAlignment="1" applyProtection="1">
      <alignment vertical="center" wrapText="1"/>
      <protection hidden="1"/>
    </xf>
    <xf numFmtId="0" fontId="40" fillId="17" borderId="0" xfId="0" applyFont="1" applyFill="1" applyBorder="1" applyAlignment="1" applyProtection="1">
      <alignment vertical="center" wrapText="1"/>
      <protection hidden="1"/>
    </xf>
    <xf numFmtId="0" fontId="40" fillId="17" borderId="5" xfId="0" applyFont="1" applyFill="1" applyBorder="1" applyAlignment="1" applyProtection="1">
      <alignment vertical="center" wrapText="1"/>
      <protection hidden="1"/>
    </xf>
    <xf numFmtId="0" fontId="40" fillId="0" borderId="0" xfId="0" applyFont="1" applyBorder="1" applyAlignment="1" applyProtection="1">
      <alignment horizontal="center" vertical="center" wrapText="1"/>
      <protection hidden="1"/>
    </xf>
    <xf numFmtId="0" fontId="40" fillId="0" borderId="5" xfId="0" applyFont="1" applyBorder="1" applyAlignment="1" applyProtection="1">
      <alignment horizontal="center" vertical="center" wrapText="1"/>
      <protection hidden="1"/>
    </xf>
    <xf numFmtId="0" fontId="40" fillId="0" borderId="3" xfId="0" applyFont="1" applyBorder="1" applyAlignment="1" applyProtection="1">
      <alignment vertical="center" wrapText="1"/>
      <protection locked="0"/>
    </xf>
    <xf numFmtId="0" fontId="40" fillId="0" borderId="7" xfId="0" applyFont="1" applyBorder="1" applyAlignment="1" applyProtection="1">
      <alignment vertical="center" wrapText="1"/>
      <protection locked="0"/>
    </xf>
    <xf numFmtId="0" fontId="40" fillId="0" borderId="16" xfId="0" applyFont="1" applyBorder="1" applyAlignment="1" applyProtection="1">
      <alignment vertical="center" wrapText="1"/>
      <protection locked="0"/>
    </xf>
    <xf numFmtId="164" fontId="72" fillId="0" borderId="3" xfId="0" applyNumberFormat="1" applyFont="1" applyBorder="1" applyAlignment="1" applyProtection="1">
      <alignment vertical="center" wrapText="1"/>
      <protection hidden="1"/>
    </xf>
    <xf numFmtId="164" fontId="72" fillId="0" borderId="7" xfId="0" applyNumberFormat="1" applyFont="1" applyBorder="1" applyAlignment="1" applyProtection="1">
      <alignment vertical="center" wrapText="1"/>
      <protection hidden="1"/>
    </xf>
    <xf numFmtId="164" fontId="72" fillId="0" borderId="16" xfId="0" applyNumberFormat="1" applyFont="1" applyBorder="1" applyAlignment="1" applyProtection="1">
      <alignment vertical="center" wrapText="1"/>
      <protection hidden="1"/>
    </xf>
    <xf numFmtId="178" fontId="72" fillId="0" borderId="3" xfId="0" applyNumberFormat="1" applyFont="1" applyBorder="1" applyAlignment="1" applyProtection="1">
      <alignment vertical="center" wrapText="1"/>
      <protection hidden="1"/>
    </xf>
    <xf numFmtId="178" fontId="72" fillId="0" borderId="7" xfId="0" applyNumberFormat="1" applyFont="1" applyBorder="1" applyAlignment="1" applyProtection="1">
      <alignment vertical="center" wrapText="1"/>
      <protection hidden="1"/>
    </xf>
    <xf numFmtId="178" fontId="72" fillId="0" borderId="16" xfId="0" applyNumberFormat="1" applyFont="1" applyBorder="1" applyAlignment="1" applyProtection="1">
      <alignment vertical="center" wrapText="1"/>
      <protection hidden="1"/>
    </xf>
    <xf numFmtId="0" fontId="38" fillId="4" borderId="45" xfId="0" applyFont="1" applyFill="1" applyBorder="1" applyAlignment="1" applyProtection="1">
      <alignment horizontal="center" vertical="center" wrapText="1"/>
      <protection hidden="1"/>
    </xf>
    <xf numFmtId="0" fontId="38" fillId="4" borderId="63" xfId="0" applyFont="1" applyFill="1" applyBorder="1" applyAlignment="1" applyProtection="1">
      <alignment horizontal="center" vertical="center" wrapText="1"/>
      <protection hidden="1"/>
    </xf>
    <xf numFmtId="0" fontId="40" fillId="0" borderId="0" xfId="0" applyFont="1" applyBorder="1" applyAlignment="1" applyProtection="1">
      <alignment vertical="top" wrapText="1"/>
      <protection locked="0"/>
    </xf>
    <xf numFmtId="0" fontId="40" fillId="0" borderId="0" xfId="0" applyFont="1" applyAlignment="1" applyProtection="1">
      <alignment vertical="center" wrapText="1"/>
      <protection locked="0"/>
    </xf>
    <xf numFmtId="194" fontId="40" fillId="0" borderId="0" xfId="0" applyNumberFormat="1" applyFont="1" applyBorder="1" applyAlignment="1" applyProtection="1">
      <alignment vertical="center" wrapText="1"/>
      <protection locked="0"/>
    </xf>
    <xf numFmtId="194" fontId="40" fillId="0" borderId="0" xfId="0" applyNumberFormat="1" applyFont="1" applyAlignment="1" applyProtection="1">
      <alignment vertical="center" wrapText="1"/>
      <protection locked="0"/>
    </xf>
    <xf numFmtId="0" fontId="40" fillId="0" borderId="0" xfId="0" applyFont="1" applyAlignment="1" applyProtection="1">
      <protection hidden="1"/>
    </xf>
    <xf numFmtId="0" fontId="72" fillId="0" borderId="0" xfId="0" applyFont="1" applyBorder="1" applyAlignment="1" applyProtection="1">
      <alignment horizontal="left" vertical="top" wrapText="1"/>
      <protection hidden="1"/>
    </xf>
    <xf numFmtId="0" fontId="72" fillId="0" borderId="5" xfId="0" applyFont="1" applyBorder="1" applyAlignment="1" applyProtection="1">
      <alignment horizontal="left" vertical="top" wrapText="1"/>
      <protection hidden="1"/>
    </xf>
    <xf numFmtId="0" fontId="40" fillId="0" borderId="3" xfId="0" applyFont="1" applyBorder="1" applyAlignment="1" applyProtection="1">
      <protection hidden="1"/>
    </xf>
    <xf numFmtId="0" fontId="40" fillId="0" borderId="7" xfId="0" applyFont="1" applyBorder="1" applyAlignment="1" applyProtection="1">
      <protection hidden="1"/>
    </xf>
    <xf numFmtId="0" fontId="40" fillId="0" borderId="16" xfId="0" applyFont="1" applyBorder="1" applyAlignment="1" applyProtection="1">
      <protection hidden="1"/>
    </xf>
    <xf numFmtId="176" fontId="72" fillId="0" borderId="8" xfId="0" applyNumberFormat="1" applyFont="1" applyBorder="1" applyAlignment="1" applyProtection="1">
      <alignment horizontal="center" vertical="center"/>
      <protection hidden="1"/>
    </xf>
    <xf numFmtId="0" fontId="46" fillId="0" borderId="10" xfId="0" applyFont="1" applyBorder="1" applyAlignment="1" applyProtection="1">
      <alignment horizontal="left" vertical="top" wrapText="1"/>
      <protection hidden="1"/>
    </xf>
    <xf numFmtId="0" fontId="46" fillId="0" borderId="11" xfId="0" applyFont="1" applyBorder="1" applyAlignment="1" applyProtection="1">
      <alignment horizontal="left" vertical="top" wrapText="1"/>
      <protection hidden="1"/>
    </xf>
    <xf numFmtId="0" fontId="72" fillId="0" borderId="0" xfId="0" applyFont="1" applyBorder="1" applyAlignment="1" applyProtection="1">
      <alignment vertical="center" wrapText="1"/>
      <protection hidden="1"/>
    </xf>
    <xf numFmtId="0" fontId="72" fillId="0" borderId="0" xfId="0" applyFont="1" applyAlignment="1" applyProtection="1">
      <alignment vertical="center" wrapText="1"/>
      <protection hidden="1"/>
    </xf>
    <xf numFmtId="0" fontId="72" fillId="0" borderId="5" xfId="0" applyFont="1" applyBorder="1" applyAlignment="1" applyProtection="1">
      <alignment vertical="center" wrapText="1"/>
      <protection hidden="1"/>
    </xf>
    <xf numFmtId="176" fontId="72" fillId="0" borderId="0" xfId="0" applyNumberFormat="1" applyFont="1" applyBorder="1" applyAlignment="1" applyProtection="1">
      <alignment horizontal="left" vertical="center" wrapText="1"/>
      <protection hidden="1"/>
    </xf>
    <xf numFmtId="176" fontId="72" fillId="0" borderId="10" xfId="0" applyNumberFormat="1" applyFont="1" applyBorder="1" applyAlignment="1" applyProtection="1">
      <alignment horizontal="left" vertical="center" wrapText="1"/>
      <protection hidden="1"/>
    </xf>
    <xf numFmtId="0" fontId="46" fillId="0" borderId="0" xfId="0"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5" xfId="0" applyFont="1" applyBorder="1" applyAlignment="1" applyProtection="1">
      <alignment vertical="center" wrapText="1"/>
      <protection hidden="1"/>
    </xf>
    <xf numFmtId="164" fontId="40" fillId="0" borderId="10" xfId="0" applyNumberFormat="1" applyFont="1" applyFill="1" applyBorder="1" applyAlignment="1" applyProtection="1">
      <protection locked="0"/>
    </xf>
    <xf numFmtId="43" fontId="40" fillId="0" borderId="10" xfId="0" applyNumberFormat="1" applyFont="1" applyFill="1" applyBorder="1" applyAlignment="1" applyProtection="1">
      <alignment horizontal="center"/>
      <protection locked="0"/>
    </xf>
    <xf numFmtId="164" fontId="72" fillId="0" borderId="0" xfId="18" applyNumberFormat="1" applyFont="1" applyBorder="1" applyAlignment="1" applyProtection="1">
      <alignment horizontal="center" vertical="center" wrapText="1"/>
      <protection hidden="1"/>
    </xf>
    <xf numFmtId="0" fontId="40" fillId="0" borderId="7" xfId="0" applyFont="1" applyBorder="1" applyAlignment="1" applyProtection="1">
      <alignment vertical="center" wrapText="1"/>
      <protection hidden="1"/>
    </xf>
    <xf numFmtId="0" fontId="72" fillId="0" borderId="7" xfId="0" applyFont="1" applyBorder="1" applyAlignment="1" applyProtection="1">
      <alignment vertical="center" wrapText="1"/>
      <protection hidden="1"/>
    </xf>
    <xf numFmtId="0" fontId="72" fillId="0" borderId="16" xfId="0" applyFont="1" applyBorder="1" applyAlignment="1" applyProtection="1">
      <alignment vertical="center" wrapText="1"/>
      <protection hidden="1"/>
    </xf>
    <xf numFmtId="0" fontId="40" fillId="0" borderId="3" xfId="0" applyFont="1" applyBorder="1" applyAlignment="1" applyProtection="1">
      <alignment vertical="center" wrapText="1"/>
      <protection hidden="1"/>
    </xf>
    <xf numFmtId="0" fontId="40" fillId="0" borderId="4" xfId="0" applyFont="1" applyBorder="1" applyAlignment="1" applyProtection="1">
      <alignment vertical="center" wrapText="1"/>
      <protection hidden="1"/>
    </xf>
    <xf numFmtId="0" fontId="40" fillId="0" borderId="0" xfId="0" applyFont="1" applyAlignment="1" applyProtection="1">
      <alignment vertical="center" wrapText="1"/>
      <protection hidden="1"/>
    </xf>
    <xf numFmtId="0" fontId="40" fillId="0" borderId="0" xfId="0" applyFont="1" applyBorder="1" applyAlignment="1" applyProtection="1">
      <alignment vertical="center" wrapText="1"/>
      <protection hidden="1"/>
    </xf>
    <xf numFmtId="0" fontId="46" fillId="0" borderId="10" xfId="0" applyFont="1" applyBorder="1" applyAlignment="1" applyProtection="1">
      <alignment vertical="center" wrapText="1"/>
      <protection hidden="1"/>
    </xf>
    <xf numFmtId="0" fontId="46" fillId="0" borderId="11" xfId="0" applyFont="1" applyBorder="1" applyAlignment="1" applyProtection="1">
      <alignment vertical="center" wrapText="1"/>
      <protection hidden="1"/>
    </xf>
    <xf numFmtId="0" fontId="40" fillId="0" borderId="7" xfId="0" applyFont="1" applyBorder="1" applyAlignment="1" applyProtection="1">
      <alignment horizontal="left" vertical="center"/>
      <protection locked="0"/>
    </xf>
    <xf numFmtId="0" fontId="40" fillId="0" borderId="7" xfId="0" applyFont="1" applyBorder="1" applyAlignment="1" applyProtection="1">
      <alignment vertical="center"/>
      <protection locked="0"/>
    </xf>
    <xf numFmtId="0" fontId="40" fillId="0" borderId="16" xfId="0" applyFont="1" applyBorder="1" applyAlignment="1" applyProtection="1">
      <alignment vertical="center"/>
      <protection locked="0"/>
    </xf>
    <xf numFmtId="0" fontId="40" fillId="0" borderId="22" xfId="0" applyFont="1" applyBorder="1" applyAlignment="1" applyProtection="1">
      <alignment vertical="center" wrapText="1"/>
      <protection hidden="1"/>
    </xf>
    <xf numFmtId="166" fontId="72" fillId="0" borderId="22" xfId="30" applyNumberFormat="1" applyFont="1" applyBorder="1" applyAlignment="1" applyProtection="1">
      <alignment horizontal="left" vertical="center"/>
      <protection hidden="1"/>
    </xf>
    <xf numFmtId="0" fontId="72" fillId="0" borderId="22" xfId="0" applyFont="1" applyBorder="1" applyAlignment="1" applyProtection="1">
      <alignment vertical="center" wrapText="1"/>
      <protection locked="0"/>
    </xf>
  </cellXfs>
  <cellStyles count="31">
    <cellStyle name="Comma" xfId="1" builtinId="3"/>
    <cellStyle name="Comma [0]" xfId="2" builtinId="6"/>
    <cellStyle name="Comma [0] 2" xfId="3"/>
    <cellStyle name="Comma [0] 2 2" xfId="4"/>
    <cellStyle name="Comma [0] 2 3" xfId="30"/>
    <cellStyle name="Comma [0] 3" xfId="5"/>
    <cellStyle name="Comma [0] 4" xfId="6"/>
    <cellStyle name="Comma 10" xfId="7"/>
    <cellStyle name="Comma 2" xfId="8"/>
    <cellStyle name="Comma 3" xfId="9"/>
    <cellStyle name="Currency 2" xfId="10"/>
    <cellStyle name="Date" xfId="11"/>
    <cellStyle name="Followed Hyperlink" xfId="12" builtinId="9" customBuiltin="1"/>
    <cellStyle name="Heading 1 2" xfId="13"/>
    <cellStyle name="Heading 2 2" xfId="14"/>
    <cellStyle name="Hours" xfId="15"/>
    <cellStyle name="Hyperlink" xfId="16" builtinId="8" customBuiltin="1"/>
    <cellStyle name="Input 2" xfId="17"/>
    <cellStyle name="Normal" xfId="0" builtinId="0"/>
    <cellStyle name="Normal 2" xfId="18"/>
    <cellStyle name="Normal 3" xfId="19"/>
    <cellStyle name="Normal 3 2" xfId="20"/>
    <cellStyle name="Normal 4" xfId="21"/>
    <cellStyle name="Normal_PAK3C" xfId="22"/>
    <cellStyle name="Note 2" xfId="23"/>
    <cellStyle name="Percent" xfId="24" builtinId="5"/>
    <cellStyle name="Percent 2" xfId="25"/>
    <cellStyle name="Phone" xfId="26"/>
    <cellStyle name="Title 2" xfId="27"/>
    <cellStyle name="Total 2" xfId="28"/>
    <cellStyle name="Week Ending Date" xfId="29"/>
  </cellStyles>
  <dxfs count="47">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bgColor theme="1"/>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none">
          <bgColor indexed="65"/>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gray0625">
          <bgColor theme="8" tint="0.79998168889431442"/>
        </patternFill>
      </fill>
    </dxf>
    <dxf>
      <fill>
        <patternFill patternType="solid">
          <fgColor theme="9" tint="0.79998168889431442"/>
          <bgColor theme="9" tint="0.79998168889431442"/>
        </patternFill>
      </fill>
    </dxf>
    <dxf>
      <font>
        <b/>
        <i val="0"/>
        <color theme="1"/>
      </font>
    </dxf>
    <dxf>
      <font>
        <b/>
        <i val="0"/>
        <color theme="1"/>
      </font>
      <fill>
        <patternFill>
          <bgColor theme="9" tint="0.3999450666829432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border>
    </dxf>
    <dxf>
      <font>
        <b/>
        <i val="0"/>
        <color theme="0"/>
      </font>
      <fill>
        <patternFill patternType="solid">
          <fgColor theme="9"/>
          <bgColor theme="9" tint="-0.49998474074526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border>
    </dxf>
    <dxf>
      <font>
        <color theme="1"/>
      </font>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s>
  <tableStyles count="1" defaultTableStyle="TableStyleMedium2" defaultPivotStyle="PivotStyleLight16">
    <tableStyle name="Time Card" pivot="0" count="5">
      <tableStyleElement type="wholeTable" dxfId="46"/>
      <tableStyleElement type="headerRow" dxfId="45"/>
      <tableStyleElement type="totalRow" dxfId="44"/>
      <tableStyleElement type="firstColumn" dxfId="43"/>
      <tableStyleElement type="firstRowStripe" dxfId="4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00.xml><?xml version="1.0" encoding="utf-8"?>
<formControlPr xmlns="http://schemas.microsoft.com/office/spreadsheetml/2009/9/main" objectType="Radio" firstButton="1" fmlaLink="$AA$230" lockText="1" noThreeD="1"/>
</file>

<file path=xl/ctrlProps/ctrlProp1001.xml><?xml version="1.0" encoding="utf-8"?>
<formControlPr xmlns="http://schemas.microsoft.com/office/spreadsheetml/2009/9/main" objectType="Radio" lockText="1" noThreeD="1"/>
</file>

<file path=xl/ctrlProps/ctrlProp1002.xml><?xml version="1.0" encoding="utf-8"?>
<formControlPr xmlns="http://schemas.microsoft.com/office/spreadsheetml/2009/9/main" objectType="Radio" checked="Checked" lockText="1" noThreeD="1"/>
</file>

<file path=xl/ctrlProps/ctrlProp1003.xml><?xml version="1.0" encoding="utf-8"?>
<formControlPr xmlns="http://schemas.microsoft.com/office/spreadsheetml/2009/9/main" objectType="Radio" lockText="1" noThreeD="1"/>
</file>

<file path=xl/ctrlProps/ctrlProp1004.xml><?xml version="1.0" encoding="utf-8"?>
<formControlPr xmlns="http://schemas.microsoft.com/office/spreadsheetml/2009/9/main" objectType="GBox" noThreeD="1"/>
</file>

<file path=xl/ctrlProps/ctrlProp1005.xml><?xml version="1.0" encoding="utf-8"?>
<formControlPr xmlns="http://schemas.microsoft.com/office/spreadsheetml/2009/9/main" objectType="Radio" firstButton="1" fmlaLink="$AA$218" lockText="1" noThreeD="1"/>
</file>

<file path=xl/ctrlProps/ctrlProp1006.xml><?xml version="1.0" encoding="utf-8"?>
<formControlPr xmlns="http://schemas.microsoft.com/office/spreadsheetml/2009/9/main" objectType="Radio" lockText="1" noThreeD="1"/>
</file>

<file path=xl/ctrlProps/ctrlProp1007.xml><?xml version="1.0" encoding="utf-8"?>
<formControlPr xmlns="http://schemas.microsoft.com/office/spreadsheetml/2009/9/main" objectType="Radio" lockText="1" noThreeD="1"/>
</file>

<file path=xl/ctrlProps/ctrlProp1008.xml><?xml version="1.0" encoding="utf-8"?>
<formControlPr xmlns="http://schemas.microsoft.com/office/spreadsheetml/2009/9/main" objectType="Radio" lockText="1" noThreeD="1"/>
</file>

<file path=xl/ctrlProps/ctrlProp1009.xml><?xml version="1.0" encoding="utf-8"?>
<formControlPr xmlns="http://schemas.microsoft.com/office/spreadsheetml/2009/9/main" objectType="GBox" noThreeD="1"/>
</file>

<file path=xl/ctrlProps/ctrlProp101.xml><?xml version="1.0" encoding="utf-8"?>
<formControlPr xmlns="http://schemas.microsoft.com/office/spreadsheetml/2009/9/main" objectType="CheckBox" checked="Checked" lockText="1" noThreeD="1"/>
</file>

<file path=xl/ctrlProps/ctrlProp1010.xml><?xml version="1.0" encoding="utf-8"?>
<formControlPr xmlns="http://schemas.microsoft.com/office/spreadsheetml/2009/9/main" objectType="Radio" firstButton="1" fmlaLink="$AA$219" lockText="1" noThreeD="1"/>
</file>

<file path=xl/ctrlProps/ctrlProp1011.xml><?xml version="1.0" encoding="utf-8"?>
<formControlPr xmlns="http://schemas.microsoft.com/office/spreadsheetml/2009/9/main" objectType="Radio" lockText="1" noThreeD="1"/>
</file>

<file path=xl/ctrlProps/ctrlProp1012.xml><?xml version="1.0" encoding="utf-8"?>
<formControlPr xmlns="http://schemas.microsoft.com/office/spreadsheetml/2009/9/main" objectType="Radio" lockText="1" noThreeD="1"/>
</file>

<file path=xl/ctrlProps/ctrlProp1013.xml><?xml version="1.0" encoding="utf-8"?>
<formControlPr xmlns="http://schemas.microsoft.com/office/spreadsheetml/2009/9/main" objectType="Radio" lockText="1" noThreeD="1"/>
</file>

<file path=xl/ctrlProps/ctrlProp1014.xml><?xml version="1.0" encoding="utf-8"?>
<formControlPr xmlns="http://schemas.microsoft.com/office/spreadsheetml/2009/9/main" objectType="Radio" lockText="1" noThreeD="1"/>
</file>

<file path=xl/ctrlProps/ctrlProp1015.xml><?xml version="1.0" encoding="utf-8"?>
<formControlPr xmlns="http://schemas.microsoft.com/office/spreadsheetml/2009/9/main" objectType="Radio" lockText="1" noThreeD="1"/>
</file>

<file path=xl/ctrlProps/ctrlProp1016.xml><?xml version="1.0" encoding="utf-8"?>
<formControlPr xmlns="http://schemas.microsoft.com/office/spreadsheetml/2009/9/main" objectType="Radio" lockText="1" noThreeD="1"/>
</file>

<file path=xl/ctrlProps/ctrlProp1017.xml><?xml version="1.0" encoding="utf-8"?>
<formControlPr xmlns="http://schemas.microsoft.com/office/spreadsheetml/2009/9/main" objectType="Radio" lockText="1" noThreeD="1"/>
</file>

<file path=xl/ctrlProps/ctrlProp1018.xml><?xml version="1.0" encoding="utf-8"?>
<formControlPr xmlns="http://schemas.microsoft.com/office/spreadsheetml/2009/9/main" objectType="Radio" lockText="1" noThreeD="1"/>
</file>

<file path=xl/ctrlProps/ctrlProp1019.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CheckBox" checked="Checked" lockText="1" noThreeD="1"/>
</file>

<file path=xl/ctrlProps/ctrlProp1020.xml><?xml version="1.0" encoding="utf-8"?>
<formControlPr xmlns="http://schemas.microsoft.com/office/spreadsheetml/2009/9/main" objectType="Radio" lockText="1" noThreeD="1"/>
</file>

<file path=xl/ctrlProps/ctrlProp1021.xml><?xml version="1.0" encoding="utf-8"?>
<formControlPr xmlns="http://schemas.microsoft.com/office/spreadsheetml/2009/9/main" objectType="Radio" lockText="1" noThreeD="1"/>
</file>

<file path=xl/ctrlProps/ctrlProp1022.xml><?xml version="1.0" encoding="utf-8"?>
<formControlPr xmlns="http://schemas.microsoft.com/office/spreadsheetml/2009/9/main" objectType="Radio" lockText="1" noThreeD="1"/>
</file>

<file path=xl/ctrlProps/ctrlProp1023.xml><?xml version="1.0" encoding="utf-8"?>
<formControlPr xmlns="http://schemas.microsoft.com/office/spreadsheetml/2009/9/main" objectType="Radio" lockText="1" noThreeD="1"/>
</file>

<file path=xl/ctrlProps/ctrlProp1024.xml><?xml version="1.0" encoding="utf-8"?>
<formControlPr xmlns="http://schemas.microsoft.com/office/spreadsheetml/2009/9/main" objectType="Radio" lockText="1" noThreeD="1"/>
</file>

<file path=xl/ctrlProps/ctrlProp1025.xml><?xml version="1.0" encoding="utf-8"?>
<formControlPr xmlns="http://schemas.microsoft.com/office/spreadsheetml/2009/9/main" objectType="Radio" lockText="1" noThreeD="1"/>
</file>

<file path=xl/ctrlProps/ctrlProp1026.xml><?xml version="1.0" encoding="utf-8"?>
<formControlPr xmlns="http://schemas.microsoft.com/office/spreadsheetml/2009/9/main" objectType="Radio" lockText="1" noThreeD="1"/>
</file>

<file path=xl/ctrlProps/ctrlProp1027.xml><?xml version="1.0" encoding="utf-8"?>
<formControlPr xmlns="http://schemas.microsoft.com/office/spreadsheetml/2009/9/main" objectType="Radio" lockText="1" noThreeD="1"/>
</file>

<file path=xl/ctrlProps/ctrlProp1028.xml><?xml version="1.0" encoding="utf-8"?>
<formControlPr xmlns="http://schemas.microsoft.com/office/spreadsheetml/2009/9/main" objectType="GBox" noThreeD="1"/>
</file>

<file path=xl/ctrlProps/ctrlProp1029.xml><?xml version="1.0" encoding="utf-8"?>
<formControlPr xmlns="http://schemas.microsoft.com/office/spreadsheetml/2009/9/main" objectType="GBox" noThreeD="1"/>
</file>

<file path=xl/ctrlProps/ctrlProp103.xml><?xml version="1.0" encoding="utf-8"?>
<formControlPr xmlns="http://schemas.microsoft.com/office/spreadsheetml/2009/9/main" objectType="CheckBox" checked="Checked" lockText="1" noThreeD="1"/>
</file>

<file path=xl/ctrlProps/ctrlProp1030.xml><?xml version="1.0" encoding="utf-8"?>
<formControlPr xmlns="http://schemas.microsoft.com/office/spreadsheetml/2009/9/main" objectType="GBox" noThreeD="1"/>
</file>

<file path=xl/ctrlProps/ctrlProp1031.xml><?xml version="1.0" encoding="utf-8"?>
<formControlPr xmlns="http://schemas.microsoft.com/office/spreadsheetml/2009/9/main" objectType="GBox" noThreeD="1"/>
</file>

<file path=xl/ctrlProps/ctrlProp1032.xml><?xml version="1.0" encoding="utf-8"?>
<formControlPr xmlns="http://schemas.microsoft.com/office/spreadsheetml/2009/9/main" objectType="Radio" checked="Checked" firstButton="1" fmlaLink="$AD$92" lockText="1" noThreeD="1"/>
</file>

<file path=xl/ctrlProps/ctrlProp1033.xml><?xml version="1.0" encoding="utf-8"?>
<formControlPr xmlns="http://schemas.microsoft.com/office/spreadsheetml/2009/9/main" objectType="Radio" checked="Checked" firstButton="1" fmlaLink="$AD$93" lockText="1" noThreeD="1"/>
</file>

<file path=xl/ctrlProps/ctrlProp1034.xml><?xml version="1.0" encoding="utf-8"?>
<formControlPr xmlns="http://schemas.microsoft.com/office/spreadsheetml/2009/9/main" objectType="Radio" checked="Checked" firstButton="1" fmlaLink="$AD$94" lockText="1" noThreeD="1"/>
</file>

<file path=xl/ctrlProps/ctrlProp1035.xml><?xml version="1.0" encoding="utf-8"?>
<formControlPr xmlns="http://schemas.microsoft.com/office/spreadsheetml/2009/9/main" objectType="Radio" checked="Checked" firstButton="1" fmlaLink="$AD$95" lockText="1" noThreeD="1"/>
</file>

<file path=xl/ctrlProps/ctrlProp1036.xml><?xml version="1.0" encoding="utf-8"?>
<formControlPr xmlns="http://schemas.microsoft.com/office/spreadsheetml/2009/9/main" objectType="Radio" firstButton="1" fmlaLink="$AD$96" lockText="1" noThreeD="1"/>
</file>

<file path=xl/ctrlProps/ctrlProp1037.xml><?xml version="1.0" encoding="utf-8"?>
<formControlPr xmlns="http://schemas.microsoft.com/office/spreadsheetml/2009/9/main" objectType="Radio" checked="Checked" firstButton="1" fmlaLink="$AD$97" lockText="1" noThreeD="1"/>
</file>

<file path=xl/ctrlProps/ctrlProp1038.xml><?xml version="1.0" encoding="utf-8"?>
<formControlPr xmlns="http://schemas.microsoft.com/office/spreadsheetml/2009/9/main" objectType="Radio" lockText="1" noThreeD="1"/>
</file>

<file path=xl/ctrlProps/ctrlProp1039.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CheckBox" checked="Checked" lockText="1" noThreeD="1"/>
</file>

<file path=xl/ctrlProps/ctrlProp1040.xml><?xml version="1.0" encoding="utf-8"?>
<formControlPr xmlns="http://schemas.microsoft.com/office/spreadsheetml/2009/9/main" objectType="Radio" lockText="1" noThreeD="1"/>
</file>

<file path=xl/ctrlProps/ctrlProp1041.xml><?xml version="1.0" encoding="utf-8"?>
<formControlPr xmlns="http://schemas.microsoft.com/office/spreadsheetml/2009/9/main" objectType="Radio" lockText="1" noThreeD="1"/>
</file>

<file path=xl/ctrlProps/ctrlProp1042.xml><?xml version="1.0" encoding="utf-8"?>
<formControlPr xmlns="http://schemas.microsoft.com/office/spreadsheetml/2009/9/main" objectType="Radio" checked="Checked" lockText="1" noThreeD="1"/>
</file>

<file path=xl/ctrlProps/ctrlProp1043.xml><?xml version="1.0" encoding="utf-8"?>
<formControlPr xmlns="http://schemas.microsoft.com/office/spreadsheetml/2009/9/main" objectType="Radio" lockText="1" noThreeD="1"/>
</file>

<file path=xl/ctrlProps/ctrlProp1044.xml><?xml version="1.0" encoding="utf-8"?>
<formControlPr xmlns="http://schemas.microsoft.com/office/spreadsheetml/2009/9/main" objectType="Radio" lockText="1" noThreeD="1"/>
</file>

<file path=xl/ctrlProps/ctrlProp1045.xml><?xml version="1.0" encoding="utf-8"?>
<formControlPr xmlns="http://schemas.microsoft.com/office/spreadsheetml/2009/9/main" objectType="Radio" lockText="1" noThreeD="1"/>
</file>

<file path=xl/ctrlProps/ctrlProp1046.xml><?xml version="1.0" encoding="utf-8"?>
<formControlPr xmlns="http://schemas.microsoft.com/office/spreadsheetml/2009/9/main" objectType="Radio" lockText="1" noThreeD="1"/>
</file>

<file path=xl/ctrlProps/ctrlProp1047.xml><?xml version="1.0" encoding="utf-8"?>
<formControlPr xmlns="http://schemas.microsoft.com/office/spreadsheetml/2009/9/main" objectType="Radio" lockText="1" noThreeD="1"/>
</file>

<file path=xl/ctrlProps/ctrlProp1048.xml><?xml version="1.0" encoding="utf-8"?>
<formControlPr xmlns="http://schemas.microsoft.com/office/spreadsheetml/2009/9/main" objectType="Radio" lockText="1" noThreeD="1"/>
</file>

<file path=xl/ctrlProps/ctrlProp1049.xml><?xml version="1.0" encoding="utf-8"?>
<formControlPr xmlns="http://schemas.microsoft.com/office/spreadsheetml/2009/9/main" objectType="Radio" lockText="1" noThreeD="1"/>
</file>

<file path=xl/ctrlProps/ctrlProp105.xml><?xml version="1.0" encoding="utf-8"?>
<formControlPr xmlns="http://schemas.microsoft.com/office/spreadsheetml/2009/9/main" objectType="CheckBox" checked="Checked" lockText="1" noThreeD="1"/>
</file>

<file path=xl/ctrlProps/ctrlProp1050.xml><?xml version="1.0" encoding="utf-8"?>
<formControlPr xmlns="http://schemas.microsoft.com/office/spreadsheetml/2009/9/main" objectType="Radio" lockText="1" noThreeD="1"/>
</file>

<file path=xl/ctrlProps/ctrlProp1051.xml><?xml version="1.0" encoding="utf-8"?>
<formControlPr xmlns="http://schemas.microsoft.com/office/spreadsheetml/2009/9/main" objectType="Radio" lockText="1" noThreeD="1"/>
</file>

<file path=xl/ctrlProps/ctrlProp1052.xml><?xml version="1.0" encoding="utf-8"?>
<formControlPr xmlns="http://schemas.microsoft.com/office/spreadsheetml/2009/9/main" objectType="Radio" lockText="1" noThreeD="1"/>
</file>

<file path=xl/ctrlProps/ctrlProp1053.xml><?xml version="1.0" encoding="utf-8"?>
<formControlPr xmlns="http://schemas.microsoft.com/office/spreadsheetml/2009/9/main" objectType="Radio" lockText="1" noThreeD="1"/>
</file>

<file path=xl/ctrlProps/ctrlProp1054.xml><?xml version="1.0" encoding="utf-8"?>
<formControlPr xmlns="http://schemas.microsoft.com/office/spreadsheetml/2009/9/main" objectType="Radio" lockText="1" noThreeD="1"/>
</file>

<file path=xl/ctrlProps/ctrlProp1055.xml><?xml version="1.0" encoding="utf-8"?>
<formControlPr xmlns="http://schemas.microsoft.com/office/spreadsheetml/2009/9/main" objectType="Radio" lockText="1" noThreeD="1"/>
</file>

<file path=xl/ctrlProps/ctrlProp1056.xml><?xml version="1.0" encoding="utf-8"?>
<formControlPr xmlns="http://schemas.microsoft.com/office/spreadsheetml/2009/9/main" objectType="Radio" lockText="1" noThreeD="1"/>
</file>

<file path=xl/ctrlProps/ctrlProp1057.xml><?xml version="1.0" encoding="utf-8"?>
<formControlPr xmlns="http://schemas.microsoft.com/office/spreadsheetml/2009/9/main" objectType="Radio" lockText="1" noThreeD="1"/>
</file>

<file path=xl/ctrlProps/ctrlProp1058.xml><?xml version="1.0" encoding="utf-8"?>
<formControlPr xmlns="http://schemas.microsoft.com/office/spreadsheetml/2009/9/main" objectType="Radio" lockText="1" noThreeD="1"/>
</file>

<file path=xl/ctrlProps/ctrlProp1059.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CheckBox" checked="Checked" lockText="1" noThreeD="1"/>
</file>

<file path=xl/ctrlProps/ctrlProp1060.xml><?xml version="1.0" encoding="utf-8"?>
<formControlPr xmlns="http://schemas.microsoft.com/office/spreadsheetml/2009/9/main" objectType="Radio" lockText="1" noThreeD="1"/>
</file>

<file path=xl/ctrlProps/ctrlProp1061.xml><?xml version="1.0" encoding="utf-8"?>
<formControlPr xmlns="http://schemas.microsoft.com/office/spreadsheetml/2009/9/main" objectType="Radio" lockText="1" noThreeD="1"/>
</file>

<file path=xl/ctrlProps/ctrlProp1062.xml><?xml version="1.0" encoding="utf-8"?>
<formControlPr xmlns="http://schemas.microsoft.com/office/spreadsheetml/2009/9/main" objectType="Radio" firstButton="1" fmlaLink="$AD$125" lockText="1" noThreeD="1"/>
</file>

<file path=xl/ctrlProps/ctrlProp1063.xml><?xml version="1.0" encoding="utf-8"?>
<formControlPr xmlns="http://schemas.microsoft.com/office/spreadsheetml/2009/9/main" objectType="Radio" firstButton="1" fmlaLink="$AD$126" lockText="1" noThreeD="1"/>
</file>

<file path=xl/ctrlProps/ctrlProp1064.xml><?xml version="1.0" encoding="utf-8"?>
<formControlPr xmlns="http://schemas.microsoft.com/office/spreadsheetml/2009/9/main" objectType="Radio" lockText="1" noThreeD="1"/>
</file>

<file path=xl/ctrlProps/ctrlProp1065.xml><?xml version="1.0" encoding="utf-8"?>
<formControlPr xmlns="http://schemas.microsoft.com/office/spreadsheetml/2009/9/main" objectType="Radio" lockText="1" noThreeD="1"/>
</file>

<file path=xl/ctrlProps/ctrlProp1066.xml><?xml version="1.0" encoding="utf-8"?>
<formControlPr xmlns="http://schemas.microsoft.com/office/spreadsheetml/2009/9/main" objectType="Radio" checked="Checked" lockText="1" noThreeD="1"/>
</file>

<file path=xl/ctrlProps/ctrlProp1067.xml><?xml version="1.0" encoding="utf-8"?>
<formControlPr xmlns="http://schemas.microsoft.com/office/spreadsheetml/2009/9/main" objectType="Radio" checked="Checked" lockText="1" noThreeD="1"/>
</file>

<file path=xl/ctrlProps/ctrlProp1068.xml><?xml version="1.0" encoding="utf-8"?>
<formControlPr xmlns="http://schemas.microsoft.com/office/spreadsheetml/2009/9/main" objectType="Radio" lockText="1" noThreeD="1"/>
</file>

<file path=xl/ctrlProps/ctrlProp1069.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CheckBox" checked="Checked" lockText="1" noThreeD="1"/>
</file>

<file path=xl/ctrlProps/ctrlProp1070.xml><?xml version="1.0" encoding="utf-8"?>
<formControlPr xmlns="http://schemas.microsoft.com/office/spreadsheetml/2009/9/main" objectType="Radio" lockText="1" noThreeD="1"/>
</file>

<file path=xl/ctrlProps/ctrlProp1071.xml><?xml version="1.0" encoding="utf-8"?>
<formControlPr xmlns="http://schemas.microsoft.com/office/spreadsheetml/2009/9/main" objectType="Radio" lockText="1" noThreeD="1"/>
</file>

<file path=xl/ctrlProps/ctrlProp1072.xml><?xml version="1.0" encoding="utf-8"?>
<formControlPr xmlns="http://schemas.microsoft.com/office/spreadsheetml/2009/9/main" objectType="GBox" noThreeD="1"/>
</file>

<file path=xl/ctrlProps/ctrlProp1073.xml><?xml version="1.0" encoding="utf-8"?>
<formControlPr xmlns="http://schemas.microsoft.com/office/spreadsheetml/2009/9/main" objectType="GBox" noThreeD="1"/>
</file>

<file path=xl/ctrlProps/ctrlProp1074.xml><?xml version="1.0" encoding="utf-8"?>
<formControlPr xmlns="http://schemas.microsoft.com/office/spreadsheetml/2009/9/main" objectType="GBox" noThreeD="1"/>
</file>

<file path=xl/ctrlProps/ctrlProp1075.xml><?xml version="1.0" encoding="utf-8"?>
<formControlPr xmlns="http://schemas.microsoft.com/office/spreadsheetml/2009/9/main" objectType="Radio" firstButton="1" fmlaLink="$AD$147" lockText="1" noThreeD="1"/>
</file>

<file path=xl/ctrlProps/ctrlProp1076.xml><?xml version="1.0" encoding="utf-8"?>
<formControlPr xmlns="http://schemas.microsoft.com/office/spreadsheetml/2009/9/main" objectType="Radio" firstButton="1" fmlaLink="$AD$148" lockText="1" noThreeD="1"/>
</file>

<file path=xl/ctrlProps/ctrlProp1077.xml><?xml version="1.0" encoding="utf-8"?>
<formControlPr xmlns="http://schemas.microsoft.com/office/spreadsheetml/2009/9/main" objectType="Radio" firstButton="1" fmlaLink="$AD$149" lockText="1" noThreeD="1"/>
</file>

<file path=xl/ctrlProps/ctrlProp1078.xml><?xml version="1.0" encoding="utf-8"?>
<formControlPr xmlns="http://schemas.microsoft.com/office/spreadsheetml/2009/9/main" objectType="Radio" firstButton="1" fmlaLink="$AD$150" lockText="1" noThreeD="1"/>
</file>

<file path=xl/ctrlProps/ctrlProp1079.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CheckBox" checked="Checked" lockText="1" noThreeD="1"/>
</file>

<file path=xl/ctrlProps/ctrlProp1080.xml><?xml version="1.0" encoding="utf-8"?>
<formControlPr xmlns="http://schemas.microsoft.com/office/spreadsheetml/2009/9/main" objectType="Radio" lockText="1" noThreeD="1"/>
</file>

<file path=xl/ctrlProps/ctrlProp1081.xml><?xml version="1.0" encoding="utf-8"?>
<formControlPr xmlns="http://schemas.microsoft.com/office/spreadsheetml/2009/9/main" objectType="Radio" lockText="1" noThreeD="1"/>
</file>

<file path=xl/ctrlProps/ctrlProp1082.xml><?xml version="1.0" encoding="utf-8"?>
<formControlPr xmlns="http://schemas.microsoft.com/office/spreadsheetml/2009/9/main" objectType="Radio" lockText="1" noThreeD="1"/>
</file>

<file path=xl/ctrlProps/ctrlProp1083.xml><?xml version="1.0" encoding="utf-8"?>
<formControlPr xmlns="http://schemas.microsoft.com/office/spreadsheetml/2009/9/main" objectType="Radio" firstButton="1" fmlaLink="$AD$151" lockText="1" noThreeD="1"/>
</file>

<file path=xl/ctrlProps/ctrlProp1084.xml><?xml version="1.0" encoding="utf-8"?>
<formControlPr xmlns="http://schemas.microsoft.com/office/spreadsheetml/2009/9/main" objectType="Radio" checked="Checked" lockText="1" noThreeD="1"/>
</file>

<file path=xl/ctrlProps/ctrlProp1085.xml><?xml version="1.0" encoding="utf-8"?>
<formControlPr xmlns="http://schemas.microsoft.com/office/spreadsheetml/2009/9/main" objectType="Radio" checked="Checked" lockText="1" noThreeD="1"/>
</file>

<file path=xl/ctrlProps/ctrlProp1086.xml><?xml version="1.0" encoding="utf-8"?>
<formControlPr xmlns="http://schemas.microsoft.com/office/spreadsheetml/2009/9/main" objectType="Radio" checked="Checked" lockText="1" noThreeD="1"/>
</file>

<file path=xl/ctrlProps/ctrlProp1087.xml><?xml version="1.0" encoding="utf-8"?>
<formControlPr xmlns="http://schemas.microsoft.com/office/spreadsheetml/2009/9/main" objectType="Radio" checked="Checked" lockText="1" noThreeD="1"/>
</file>

<file path=xl/ctrlProps/ctrlProp1088.xml><?xml version="1.0" encoding="utf-8"?>
<formControlPr xmlns="http://schemas.microsoft.com/office/spreadsheetml/2009/9/main" objectType="Radio" checked="Checked" lockText="1" noThreeD="1"/>
</file>

<file path=xl/ctrlProps/ctrlProp1089.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CheckBox" checked="Checked" lockText="1" noThreeD="1"/>
</file>

<file path=xl/ctrlProps/ctrlProp1090.xml><?xml version="1.0" encoding="utf-8"?>
<formControlPr xmlns="http://schemas.microsoft.com/office/spreadsheetml/2009/9/main" objectType="Radio" lockText="1" noThreeD="1"/>
</file>

<file path=xl/ctrlProps/ctrlProp1091.xml><?xml version="1.0" encoding="utf-8"?>
<formControlPr xmlns="http://schemas.microsoft.com/office/spreadsheetml/2009/9/main" objectType="Radio" lockText="1" noThreeD="1"/>
</file>

<file path=xl/ctrlProps/ctrlProp1092.xml><?xml version="1.0" encoding="utf-8"?>
<formControlPr xmlns="http://schemas.microsoft.com/office/spreadsheetml/2009/9/main" objectType="Radio" lockText="1" noThreeD="1"/>
</file>

<file path=xl/ctrlProps/ctrlProp1093.xml><?xml version="1.0" encoding="utf-8"?>
<formControlPr xmlns="http://schemas.microsoft.com/office/spreadsheetml/2009/9/main" objectType="Radio" lockText="1" noThreeD="1"/>
</file>

<file path=xl/ctrlProps/ctrlProp1094.xml><?xml version="1.0" encoding="utf-8"?>
<formControlPr xmlns="http://schemas.microsoft.com/office/spreadsheetml/2009/9/main" objectType="Radio" lockText="1" noThreeD="1"/>
</file>

<file path=xl/ctrlProps/ctrlProp1095.xml><?xml version="1.0" encoding="utf-8"?>
<formControlPr xmlns="http://schemas.microsoft.com/office/spreadsheetml/2009/9/main" objectType="Radio" lockText="1" noThreeD="1"/>
</file>

<file path=xl/ctrlProps/ctrlProp1096.xml><?xml version="1.0" encoding="utf-8"?>
<formControlPr xmlns="http://schemas.microsoft.com/office/spreadsheetml/2009/9/main" objectType="Radio" lockText="1" noThreeD="1"/>
</file>

<file path=xl/ctrlProps/ctrlProp1097.xml><?xml version="1.0" encoding="utf-8"?>
<formControlPr xmlns="http://schemas.microsoft.com/office/spreadsheetml/2009/9/main" objectType="Radio" lockText="1" noThreeD="1"/>
</file>

<file path=xl/ctrlProps/ctrlProp1098.xml><?xml version="1.0" encoding="utf-8"?>
<formControlPr xmlns="http://schemas.microsoft.com/office/spreadsheetml/2009/9/main" objectType="Radio" lockText="1" noThreeD="1"/>
</file>

<file path=xl/ctrlProps/ctrlProp1099.xml><?xml version="1.0" encoding="utf-8"?>
<formControlPr xmlns="http://schemas.microsoft.com/office/spreadsheetml/2009/9/main" objectType="GBox"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checked="Checked" lockText="1" noThreeD="1"/>
</file>

<file path=xl/ctrlProps/ctrlProp1100.xml><?xml version="1.0" encoding="utf-8"?>
<formControlPr xmlns="http://schemas.microsoft.com/office/spreadsheetml/2009/9/main" objectType="Radio" firstButton="1" fmlaLink="$AD$13" lockText="1" noThreeD="1"/>
</file>

<file path=xl/ctrlProps/ctrlProp1101.xml><?xml version="1.0" encoding="utf-8"?>
<formControlPr xmlns="http://schemas.microsoft.com/office/spreadsheetml/2009/9/main" objectType="Radio" checked="Checked" lockText="1" noThreeD="1"/>
</file>

<file path=xl/ctrlProps/ctrlProp1102.xml><?xml version="1.0" encoding="utf-8"?>
<formControlPr xmlns="http://schemas.microsoft.com/office/spreadsheetml/2009/9/main" objectType="GBox" noThreeD="1"/>
</file>

<file path=xl/ctrlProps/ctrlProp1103.xml><?xml version="1.0" encoding="utf-8"?>
<formControlPr xmlns="http://schemas.microsoft.com/office/spreadsheetml/2009/9/main" objectType="GBox" noThreeD="1"/>
</file>

<file path=xl/ctrlProps/ctrlProp1104.xml><?xml version="1.0" encoding="utf-8"?>
<formControlPr xmlns="http://schemas.microsoft.com/office/spreadsheetml/2009/9/main" objectType="GBox" noThreeD="1"/>
</file>

<file path=xl/ctrlProps/ctrlProp1105.xml><?xml version="1.0" encoding="utf-8"?>
<formControlPr xmlns="http://schemas.microsoft.com/office/spreadsheetml/2009/9/main" objectType="GBox" noThreeD="1"/>
</file>

<file path=xl/ctrlProps/ctrlProp1106.xml><?xml version="1.0" encoding="utf-8"?>
<formControlPr xmlns="http://schemas.microsoft.com/office/spreadsheetml/2009/9/main" objectType="GBox" noThreeD="1"/>
</file>

<file path=xl/ctrlProps/ctrlProp1107.xml><?xml version="1.0" encoding="utf-8"?>
<formControlPr xmlns="http://schemas.microsoft.com/office/spreadsheetml/2009/9/main" objectType="GBox" noThreeD="1"/>
</file>

<file path=xl/ctrlProps/ctrlProp1108.xml><?xml version="1.0" encoding="utf-8"?>
<formControlPr xmlns="http://schemas.microsoft.com/office/spreadsheetml/2009/9/main" objectType="Radio" lockText="1" noThreeD="1"/>
</file>

<file path=xl/ctrlProps/ctrlProp1109.xml><?xml version="1.0" encoding="utf-8"?>
<formControlPr xmlns="http://schemas.microsoft.com/office/spreadsheetml/2009/9/main" objectType="GBox" noThreeD="1"/>
</file>

<file path=xl/ctrlProps/ctrlProp111.xml><?xml version="1.0" encoding="utf-8"?>
<formControlPr xmlns="http://schemas.microsoft.com/office/spreadsheetml/2009/9/main" objectType="CheckBox" checked="Checked" lockText="1" noThreeD="1"/>
</file>

<file path=xl/ctrlProps/ctrlProp1110.xml><?xml version="1.0" encoding="utf-8"?>
<formControlPr xmlns="http://schemas.microsoft.com/office/spreadsheetml/2009/9/main" objectType="Radio" firstButton="1" lockText="1" noThreeD="1"/>
</file>

<file path=xl/ctrlProps/ctrlProp1111.xml><?xml version="1.0" encoding="utf-8"?>
<formControlPr xmlns="http://schemas.microsoft.com/office/spreadsheetml/2009/9/main" objectType="Radio" lockText="1" noThreeD="1"/>
</file>

<file path=xl/ctrlProps/ctrlProp1112.xml><?xml version="1.0" encoding="utf-8"?>
<formControlPr xmlns="http://schemas.microsoft.com/office/spreadsheetml/2009/9/main" objectType="Radio" lockText="1" noThreeD="1"/>
</file>

<file path=xl/ctrlProps/ctrlProp1113.xml><?xml version="1.0" encoding="utf-8"?>
<formControlPr xmlns="http://schemas.microsoft.com/office/spreadsheetml/2009/9/main" objectType="Radio" firstButton="1" lockText="1" noThreeD="1"/>
</file>

<file path=xl/ctrlProps/ctrlProp1114.xml><?xml version="1.0" encoding="utf-8"?>
<formControlPr xmlns="http://schemas.microsoft.com/office/spreadsheetml/2009/9/main" objectType="Radio" lockText="1" noThreeD="1"/>
</file>

<file path=xl/ctrlProps/ctrlProp1115.xml><?xml version="1.0" encoding="utf-8"?>
<formControlPr xmlns="http://schemas.microsoft.com/office/spreadsheetml/2009/9/main" objectType="GBox" noThreeD="1"/>
</file>

<file path=xl/ctrlProps/ctrlProp1116.xml><?xml version="1.0" encoding="utf-8"?>
<formControlPr xmlns="http://schemas.microsoft.com/office/spreadsheetml/2009/9/main" objectType="Radio" lockText="1" noThreeD="1"/>
</file>

<file path=xl/ctrlProps/ctrlProp1117.xml><?xml version="1.0" encoding="utf-8"?>
<formControlPr xmlns="http://schemas.microsoft.com/office/spreadsheetml/2009/9/main" objectType="Radio" lockText="1" noThreeD="1"/>
</file>

<file path=xl/ctrlProps/ctrlProp1118.xml><?xml version="1.0" encoding="utf-8"?>
<formControlPr xmlns="http://schemas.microsoft.com/office/spreadsheetml/2009/9/main" objectType="Radio" lockText="1" noThreeD="1"/>
</file>

<file path=xl/ctrlProps/ctrlProp1119.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CheckBox" checked="Checked" lockText="1" noThreeD="1"/>
</file>

<file path=xl/ctrlProps/ctrlProp1120.xml><?xml version="1.0" encoding="utf-8"?>
<formControlPr xmlns="http://schemas.microsoft.com/office/spreadsheetml/2009/9/main" objectType="Radio" lockText="1" noThreeD="1"/>
</file>

<file path=xl/ctrlProps/ctrlProp1121.xml><?xml version="1.0" encoding="utf-8"?>
<formControlPr xmlns="http://schemas.microsoft.com/office/spreadsheetml/2009/9/main" objectType="GBox" noThreeD="1"/>
</file>

<file path=xl/ctrlProps/ctrlProp1122.xml><?xml version="1.0" encoding="utf-8"?>
<formControlPr xmlns="http://schemas.microsoft.com/office/spreadsheetml/2009/9/main" objectType="Radio" lockText="1" noThreeD="1"/>
</file>

<file path=xl/ctrlProps/ctrlProp1123.xml><?xml version="1.0" encoding="utf-8"?>
<formControlPr xmlns="http://schemas.microsoft.com/office/spreadsheetml/2009/9/main" objectType="Radio" lockText="1" noThreeD="1"/>
</file>

<file path=xl/ctrlProps/ctrlProp1124.xml><?xml version="1.0" encoding="utf-8"?>
<formControlPr xmlns="http://schemas.microsoft.com/office/spreadsheetml/2009/9/main" objectType="Radio" lockText="1" noThreeD="1"/>
</file>

<file path=xl/ctrlProps/ctrlProp1125.xml><?xml version="1.0" encoding="utf-8"?>
<formControlPr xmlns="http://schemas.microsoft.com/office/spreadsheetml/2009/9/main" objectType="Radio" lockText="1" noThreeD="1"/>
</file>

<file path=xl/ctrlProps/ctrlProp1126.xml><?xml version="1.0" encoding="utf-8"?>
<formControlPr xmlns="http://schemas.microsoft.com/office/spreadsheetml/2009/9/main" objectType="Radio" lockText="1" noThreeD="1"/>
</file>

<file path=xl/ctrlProps/ctrlProp1127.xml><?xml version="1.0" encoding="utf-8"?>
<formControlPr xmlns="http://schemas.microsoft.com/office/spreadsheetml/2009/9/main" objectType="CheckBox" lockText="1" noThreeD="1"/>
</file>

<file path=xl/ctrlProps/ctrlProp1128.xml><?xml version="1.0" encoding="utf-8"?>
<formControlPr xmlns="http://schemas.microsoft.com/office/spreadsheetml/2009/9/main" objectType="CheckBox" lockText="1" noThreeD="1"/>
</file>

<file path=xl/ctrlProps/ctrlProp1129.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30.xml><?xml version="1.0" encoding="utf-8"?>
<formControlPr xmlns="http://schemas.microsoft.com/office/spreadsheetml/2009/9/main" objectType="GBox" noThreeD="1"/>
</file>

<file path=xl/ctrlProps/ctrlProp1131.xml><?xml version="1.0" encoding="utf-8"?>
<formControlPr xmlns="http://schemas.microsoft.com/office/spreadsheetml/2009/9/main" objectType="Radio" firstButton="1" lockText="1" noThreeD="1"/>
</file>

<file path=xl/ctrlProps/ctrlProp1132.xml><?xml version="1.0" encoding="utf-8"?>
<formControlPr xmlns="http://schemas.microsoft.com/office/spreadsheetml/2009/9/main" objectType="Radio" lockText="1" noThreeD="1"/>
</file>

<file path=xl/ctrlProps/ctrlProp1133.xml><?xml version="1.0" encoding="utf-8"?>
<formControlPr xmlns="http://schemas.microsoft.com/office/spreadsheetml/2009/9/main" objectType="Radio" lockText="1" noThreeD="1"/>
</file>

<file path=xl/ctrlProps/ctrlProp1134.xml><?xml version="1.0" encoding="utf-8"?>
<formControlPr xmlns="http://schemas.microsoft.com/office/spreadsheetml/2009/9/main" objectType="Radio" lockText="1" noThreeD="1"/>
</file>

<file path=xl/ctrlProps/ctrlProp1135.xml><?xml version="1.0" encoding="utf-8"?>
<formControlPr xmlns="http://schemas.microsoft.com/office/spreadsheetml/2009/9/main" objectType="Radio" lockText="1" noThreeD="1"/>
</file>

<file path=xl/ctrlProps/ctrlProp1136.xml><?xml version="1.0" encoding="utf-8"?>
<formControlPr xmlns="http://schemas.microsoft.com/office/spreadsheetml/2009/9/main" objectType="GBox" noThreeD="1"/>
</file>

<file path=xl/ctrlProps/ctrlProp1137.xml><?xml version="1.0" encoding="utf-8"?>
<formControlPr xmlns="http://schemas.microsoft.com/office/spreadsheetml/2009/9/main" objectType="Radio" lockText="1" noThreeD="1"/>
</file>

<file path=xl/ctrlProps/ctrlProp1138.xml><?xml version="1.0" encoding="utf-8"?>
<formControlPr xmlns="http://schemas.microsoft.com/office/spreadsheetml/2009/9/main" objectType="Radio" lockText="1" noThreeD="1"/>
</file>

<file path=xl/ctrlProps/ctrlProp1139.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CheckBox" checked="Checked" lockText="1" noThreeD="1"/>
</file>

<file path=xl/ctrlProps/ctrlProp1140.xml><?xml version="1.0" encoding="utf-8"?>
<formControlPr xmlns="http://schemas.microsoft.com/office/spreadsheetml/2009/9/main" objectType="Radio" lockText="1" noThreeD="1"/>
</file>

<file path=xl/ctrlProps/ctrlProp1141.xml><?xml version="1.0" encoding="utf-8"?>
<formControlPr xmlns="http://schemas.microsoft.com/office/spreadsheetml/2009/9/main" objectType="Radio" lockText="1" noThreeD="1"/>
</file>

<file path=xl/ctrlProps/ctrlProp1142.xml><?xml version="1.0" encoding="utf-8"?>
<formControlPr xmlns="http://schemas.microsoft.com/office/spreadsheetml/2009/9/main" objectType="GBox" noThreeD="1"/>
</file>

<file path=xl/ctrlProps/ctrlProp1143.xml><?xml version="1.0" encoding="utf-8"?>
<formControlPr xmlns="http://schemas.microsoft.com/office/spreadsheetml/2009/9/main" objectType="Radio" lockText="1" noThreeD="1"/>
</file>

<file path=xl/ctrlProps/ctrlProp1144.xml><?xml version="1.0" encoding="utf-8"?>
<formControlPr xmlns="http://schemas.microsoft.com/office/spreadsheetml/2009/9/main" objectType="Radio" lockText="1" noThreeD="1"/>
</file>

<file path=xl/ctrlProps/ctrlProp1145.xml><?xml version="1.0" encoding="utf-8"?>
<formControlPr xmlns="http://schemas.microsoft.com/office/spreadsheetml/2009/9/main" objectType="Radio" lockText="1" noThreeD="1"/>
</file>

<file path=xl/ctrlProps/ctrlProp1146.xml><?xml version="1.0" encoding="utf-8"?>
<formControlPr xmlns="http://schemas.microsoft.com/office/spreadsheetml/2009/9/main" objectType="Radio" lockText="1" noThreeD="1"/>
</file>

<file path=xl/ctrlProps/ctrlProp1147.xml><?xml version="1.0" encoding="utf-8"?>
<formControlPr xmlns="http://schemas.microsoft.com/office/spreadsheetml/2009/9/main" objectType="Radio" lockText="1" noThreeD="1"/>
</file>

<file path=xl/ctrlProps/ctrlProp1148.xml><?xml version="1.0" encoding="utf-8"?>
<formControlPr xmlns="http://schemas.microsoft.com/office/spreadsheetml/2009/9/main" objectType="GBox" noThreeD="1"/>
</file>

<file path=xl/ctrlProps/ctrlProp1149.xml><?xml version="1.0" encoding="utf-8"?>
<formControlPr xmlns="http://schemas.microsoft.com/office/spreadsheetml/2009/9/main" objectType="Radio" firstButton="1" lockText="1" noThreeD="1"/>
</file>

<file path=xl/ctrlProps/ctrlProp115.xml><?xml version="1.0" encoding="utf-8"?>
<formControlPr xmlns="http://schemas.microsoft.com/office/spreadsheetml/2009/9/main" objectType="CheckBox" checked="Checked" lockText="1" noThreeD="1"/>
</file>

<file path=xl/ctrlProps/ctrlProp1150.xml><?xml version="1.0" encoding="utf-8"?>
<formControlPr xmlns="http://schemas.microsoft.com/office/spreadsheetml/2009/9/main" objectType="Radio" lockText="1" noThreeD="1"/>
</file>

<file path=xl/ctrlProps/ctrlProp1151.xml><?xml version="1.0" encoding="utf-8"?>
<formControlPr xmlns="http://schemas.microsoft.com/office/spreadsheetml/2009/9/main" objectType="Radio" lockText="1" noThreeD="1"/>
</file>

<file path=xl/ctrlProps/ctrlProp1152.xml><?xml version="1.0" encoding="utf-8"?>
<formControlPr xmlns="http://schemas.microsoft.com/office/spreadsheetml/2009/9/main" objectType="Radio" lockText="1" noThreeD="1"/>
</file>

<file path=xl/ctrlProps/ctrlProp1153.xml><?xml version="1.0" encoding="utf-8"?>
<formControlPr xmlns="http://schemas.microsoft.com/office/spreadsheetml/2009/9/main" objectType="Radio" lockText="1" noThreeD="1"/>
</file>

<file path=xl/ctrlProps/ctrlProp1154.xml><?xml version="1.0" encoding="utf-8"?>
<formControlPr xmlns="http://schemas.microsoft.com/office/spreadsheetml/2009/9/main" objectType="GBox" noThreeD="1"/>
</file>

<file path=xl/ctrlProps/ctrlProp1155.xml><?xml version="1.0" encoding="utf-8"?>
<formControlPr xmlns="http://schemas.microsoft.com/office/spreadsheetml/2009/9/main" objectType="Radio" lockText="1" noThreeD="1"/>
</file>

<file path=xl/ctrlProps/ctrlProp1156.xml><?xml version="1.0" encoding="utf-8"?>
<formControlPr xmlns="http://schemas.microsoft.com/office/spreadsheetml/2009/9/main" objectType="Radio" lockText="1" noThreeD="1"/>
</file>

<file path=xl/ctrlProps/ctrlProp1157.xml><?xml version="1.0" encoding="utf-8"?>
<formControlPr xmlns="http://schemas.microsoft.com/office/spreadsheetml/2009/9/main" objectType="Radio" lockText="1" noThreeD="1"/>
</file>

<file path=xl/ctrlProps/ctrlProp1158.xml><?xml version="1.0" encoding="utf-8"?>
<formControlPr xmlns="http://schemas.microsoft.com/office/spreadsheetml/2009/9/main" objectType="Radio" lockText="1" noThreeD="1"/>
</file>

<file path=xl/ctrlProps/ctrlProp1159.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CheckBox" checked="Checked" lockText="1" noThreeD="1"/>
</file>

<file path=xl/ctrlProps/ctrlProp1160.xml><?xml version="1.0" encoding="utf-8"?>
<formControlPr xmlns="http://schemas.microsoft.com/office/spreadsheetml/2009/9/main" objectType="GBox" noThreeD="1"/>
</file>

<file path=xl/ctrlProps/ctrlProp1161.xml><?xml version="1.0" encoding="utf-8"?>
<formControlPr xmlns="http://schemas.microsoft.com/office/spreadsheetml/2009/9/main" objectType="Radio" lockText="1" noThreeD="1"/>
</file>

<file path=xl/ctrlProps/ctrlProp1162.xml><?xml version="1.0" encoding="utf-8"?>
<formControlPr xmlns="http://schemas.microsoft.com/office/spreadsheetml/2009/9/main" objectType="Radio" lockText="1" noThreeD="1"/>
</file>

<file path=xl/ctrlProps/ctrlProp1163.xml><?xml version="1.0" encoding="utf-8"?>
<formControlPr xmlns="http://schemas.microsoft.com/office/spreadsheetml/2009/9/main" objectType="Radio" lockText="1" noThreeD="1"/>
</file>

<file path=xl/ctrlProps/ctrlProp1164.xml><?xml version="1.0" encoding="utf-8"?>
<formControlPr xmlns="http://schemas.microsoft.com/office/spreadsheetml/2009/9/main" objectType="Radio" lockText="1" noThreeD="1"/>
</file>

<file path=xl/ctrlProps/ctrlProp1165.xml><?xml version="1.0" encoding="utf-8"?>
<formControlPr xmlns="http://schemas.microsoft.com/office/spreadsheetml/2009/9/main" objectType="Radio" lockText="1" noThreeD="1"/>
</file>

<file path=xl/ctrlProps/ctrlProp1166.xml><?xml version="1.0" encoding="utf-8"?>
<formControlPr xmlns="http://schemas.microsoft.com/office/spreadsheetml/2009/9/main" objectType="GBox" noThreeD="1"/>
</file>

<file path=xl/ctrlProps/ctrlProp1167.xml><?xml version="1.0" encoding="utf-8"?>
<formControlPr xmlns="http://schemas.microsoft.com/office/spreadsheetml/2009/9/main" objectType="Radio" lockText="1" noThreeD="1"/>
</file>

<file path=xl/ctrlProps/ctrlProp1168.xml><?xml version="1.0" encoding="utf-8"?>
<formControlPr xmlns="http://schemas.microsoft.com/office/spreadsheetml/2009/9/main" objectType="Radio" lockText="1" noThreeD="1"/>
</file>

<file path=xl/ctrlProps/ctrlProp1169.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CheckBox" checked="Checked" lockText="1" noThreeD="1"/>
</file>

<file path=xl/ctrlProps/ctrlProp1170.xml><?xml version="1.0" encoding="utf-8"?>
<formControlPr xmlns="http://schemas.microsoft.com/office/spreadsheetml/2009/9/main" objectType="Radio" lockText="1" noThreeD="1"/>
</file>

<file path=xl/ctrlProps/ctrlProp1171.xml><?xml version="1.0" encoding="utf-8"?>
<formControlPr xmlns="http://schemas.microsoft.com/office/spreadsheetml/2009/9/main" objectType="Radio" lockText="1" noThreeD="1"/>
</file>

<file path=xl/ctrlProps/ctrlProp1172.xml><?xml version="1.0" encoding="utf-8"?>
<formControlPr xmlns="http://schemas.microsoft.com/office/spreadsheetml/2009/9/main" objectType="GBox" noThreeD="1"/>
</file>

<file path=xl/ctrlProps/ctrlProp1173.xml><?xml version="1.0" encoding="utf-8"?>
<formControlPr xmlns="http://schemas.microsoft.com/office/spreadsheetml/2009/9/main" objectType="Radio" lockText="1" noThreeD="1"/>
</file>

<file path=xl/ctrlProps/ctrlProp1174.xml><?xml version="1.0" encoding="utf-8"?>
<formControlPr xmlns="http://schemas.microsoft.com/office/spreadsheetml/2009/9/main" objectType="Radio" lockText="1" noThreeD="1"/>
</file>

<file path=xl/ctrlProps/ctrlProp1175.xml><?xml version="1.0" encoding="utf-8"?>
<formControlPr xmlns="http://schemas.microsoft.com/office/spreadsheetml/2009/9/main" objectType="Radio" lockText="1" noThreeD="1"/>
</file>

<file path=xl/ctrlProps/ctrlProp1176.xml><?xml version="1.0" encoding="utf-8"?>
<formControlPr xmlns="http://schemas.microsoft.com/office/spreadsheetml/2009/9/main" objectType="Radio" lockText="1" noThreeD="1"/>
</file>

<file path=xl/ctrlProps/ctrlProp1177.xml><?xml version="1.0" encoding="utf-8"?>
<formControlPr xmlns="http://schemas.microsoft.com/office/spreadsheetml/2009/9/main" objectType="Radio" lockText="1" noThreeD="1"/>
</file>

<file path=xl/ctrlProps/ctrlProp1178.xml><?xml version="1.0" encoding="utf-8"?>
<formControlPr xmlns="http://schemas.microsoft.com/office/spreadsheetml/2009/9/main" objectType="GBox" noThreeD="1"/>
</file>

<file path=xl/ctrlProps/ctrlProp1179.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CheckBox" lockText="1" noThreeD="1"/>
</file>

<file path=xl/ctrlProps/ctrlProp1180.xml><?xml version="1.0" encoding="utf-8"?>
<formControlPr xmlns="http://schemas.microsoft.com/office/spreadsheetml/2009/9/main" objectType="Radio" lockText="1" noThreeD="1"/>
</file>

<file path=xl/ctrlProps/ctrlProp1181.xml><?xml version="1.0" encoding="utf-8"?>
<formControlPr xmlns="http://schemas.microsoft.com/office/spreadsheetml/2009/9/main" objectType="Radio" lockText="1" noThreeD="1"/>
</file>

<file path=xl/ctrlProps/ctrlProp1182.xml><?xml version="1.0" encoding="utf-8"?>
<formControlPr xmlns="http://schemas.microsoft.com/office/spreadsheetml/2009/9/main" objectType="Radio" lockText="1" noThreeD="1"/>
</file>

<file path=xl/ctrlProps/ctrlProp1183.xml><?xml version="1.0" encoding="utf-8"?>
<formControlPr xmlns="http://schemas.microsoft.com/office/spreadsheetml/2009/9/main" objectType="Radio" lockText="1" noThreeD="1"/>
</file>

<file path=xl/ctrlProps/ctrlProp1184.xml><?xml version="1.0" encoding="utf-8"?>
<formControlPr xmlns="http://schemas.microsoft.com/office/spreadsheetml/2009/9/main" objectType="GBox" noThreeD="1"/>
</file>

<file path=xl/ctrlProps/ctrlProp1185.xml><?xml version="1.0" encoding="utf-8"?>
<formControlPr xmlns="http://schemas.microsoft.com/office/spreadsheetml/2009/9/main" objectType="Radio" lockText="1" noThreeD="1"/>
</file>

<file path=xl/ctrlProps/ctrlProp1186.xml><?xml version="1.0" encoding="utf-8"?>
<formControlPr xmlns="http://schemas.microsoft.com/office/spreadsheetml/2009/9/main" objectType="Radio" lockText="1" noThreeD="1"/>
</file>

<file path=xl/ctrlProps/ctrlProp1187.xml><?xml version="1.0" encoding="utf-8"?>
<formControlPr xmlns="http://schemas.microsoft.com/office/spreadsheetml/2009/9/main" objectType="Radio" lockText="1" noThreeD="1"/>
</file>

<file path=xl/ctrlProps/ctrlProp1188.xml><?xml version="1.0" encoding="utf-8"?>
<formControlPr xmlns="http://schemas.microsoft.com/office/spreadsheetml/2009/9/main" objectType="Radio" lockText="1" noThreeD="1"/>
</file>

<file path=xl/ctrlProps/ctrlProp1189.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CheckBox" checked="Checked" lockText="1" noThreeD="1"/>
</file>

<file path=xl/ctrlProps/ctrlProp1190.xml><?xml version="1.0" encoding="utf-8"?>
<formControlPr xmlns="http://schemas.microsoft.com/office/spreadsheetml/2009/9/main" objectType="GBox" noThreeD="1"/>
</file>

<file path=xl/ctrlProps/ctrlProp1191.xml><?xml version="1.0" encoding="utf-8"?>
<formControlPr xmlns="http://schemas.microsoft.com/office/spreadsheetml/2009/9/main" objectType="Radio" lockText="1" noThreeD="1"/>
</file>

<file path=xl/ctrlProps/ctrlProp1192.xml><?xml version="1.0" encoding="utf-8"?>
<formControlPr xmlns="http://schemas.microsoft.com/office/spreadsheetml/2009/9/main" objectType="Radio" lockText="1" noThreeD="1"/>
</file>

<file path=xl/ctrlProps/ctrlProp1193.xml><?xml version="1.0" encoding="utf-8"?>
<formControlPr xmlns="http://schemas.microsoft.com/office/spreadsheetml/2009/9/main" objectType="Radio" lockText="1" noThreeD="1"/>
</file>

<file path=xl/ctrlProps/ctrlProp1194.xml><?xml version="1.0" encoding="utf-8"?>
<formControlPr xmlns="http://schemas.microsoft.com/office/spreadsheetml/2009/9/main" objectType="Radio" lockText="1" noThreeD="1"/>
</file>

<file path=xl/ctrlProps/ctrlProp1195.xml><?xml version="1.0" encoding="utf-8"?>
<formControlPr xmlns="http://schemas.microsoft.com/office/spreadsheetml/2009/9/main" objectType="Radio" lockText="1" noThreeD="1"/>
</file>

<file path=xl/ctrlProps/ctrlProp1196.xml><?xml version="1.0" encoding="utf-8"?>
<formControlPr xmlns="http://schemas.microsoft.com/office/spreadsheetml/2009/9/main" objectType="GBox" noThreeD="1"/>
</file>

<file path=xl/ctrlProps/ctrlProp1197.xml><?xml version="1.0" encoding="utf-8"?>
<formControlPr xmlns="http://schemas.microsoft.com/office/spreadsheetml/2009/9/main" objectType="Radio" lockText="1" noThreeD="1"/>
</file>

<file path=xl/ctrlProps/ctrlProp1198.xml><?xml version="1.0" encoding="utf-8"?>
<formControlPr xmlns="http://schemas.microsoft.com/office/spreadsheetml/2009/9/main" objectType="Radio" lockText="1" noThreeD="1"/>
</file>

<file path=xl/ctrlProps/ctrlProp119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lockText="1" noThreeD="1"/>
</file>

<file path=xl/ctrlProps/ctrlProp1200.xml><?xml version="1.0" encoding="utf-8"?>
<formControlPr xmlns="http://schemas.microsoft.com/office/spreadsheetml/2009/9/main" objectType="Radio" lockText="1" noThreeD="1"/>
</file>

<file path=xl/ctrlProps/ctrlProp1201.xml><?xml version="1.0" encoding="utf-8"?>
<formControlPr xmlns="http://schemas.microsoft.com/office/spreadsheetml/2009/9/main" objectType="Radio" lockText="1" noThreeD="1"/>
</file>

<file path=xl/ctrlProps/ctrlProp1202.xml><?xml version="1.0" encoding="utf-8"?>
<formControlPr xmlns="http://schemas.microsoft.com/office/spreadsheetml/2009/9/main" objectType="GBox" noThreeD="1"/>
</file>

<file path=xl/ctrlProps/ctrlProp1203.xml><?xml version="1.0" encoding="utf-8"?>
<formControlPr xmlns="http://schemas.microsoft.com/office/spreadsheetml/2009/9/main" objectType="Radio" lockText="1" noThreeD="1"/>
</file>

<file path=xl/ctrlProps/ctrlProp1204.xml><?xml version="1.0" encoding="utf-8"?>
<formControlPr xmlns="http://schemas.microsoft.com/office/spreadsheetml/2009/9/main" objectType="Radio" lockText="1" noThreeD="1"/>
</file>

<file path=xl/ctrlProps/ctrlProp1205.xml><?xml version="1.0" encoding="utf-8"?>
<formControlPr xmlns="http://schemas.microsoft.com/office/spreadsheetml/2009/9/main" objectType="Radio" lockText="1" noThreeD="1"/>
</file>

<file path=xl/ctrlProps/ctrlProp1206.xml><?xml version="1.0" encoding="utf-8"?>
<formControlPr xmlns="http://schemas.microsoft.com/office/spreadsheetml/2009/9/main" objectType="Radio" lockText="1" noThreeD="1"/>
</file>

<file path=xl/ctrlProps/ctrlProp1207.xml><?xml version="1.0" encoding="utf-8"?>
<formControlPr xmlns="http://schemas.microsoft.com/office/spreadsheetml/2009/9/main" objectType="Radio" lockText="1" noThreeD="1"/>
</file>

<file path=xl/ctrlProps/ctrlProp1208.xml><?xml version="1.0" encoding="utf-8"?>
<formControlPr xmlns="http://schemas.microsoft.com/office/spreadsheetml/2009/9/main" objectType="GBox" noThreeD="1"/>
</file>

<file path=xl/ctrlProps/ctrlProp1209.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CheckBox" lockText="1" noThreeD="1"/>
</file>

<file path=xl/ctrlProps/ctrlProp1210.xml><?xml version="1.0" encoding="utf-8"?>
<formControlPr xmlns="http://schemas.microsoft.com/office/spreadsheetml/2009/9/main" objectType="Radio" lockText="1" noThreeD="1"/>
</file>

<file path=xl/ctrlProps/ctrlProp1211.xml><?xml version="1.0" encoding="utf-8"?>
<formControlPr xmlns="http://schemas.microsoft.com/office/spreadsheetml/2009/9/main" objectType="Radio" lockText="1" noThreeD="1"/>
</file>

<file path=xl/ctrlProps/ctrlProp1212.xml><?xml version="1.0" encoding="utf-8"?>
<formControlPr xmlns="http://schemas.microsoft.com/office/spreadsheetml/2009/9/main" objectType="Radio" lockText="1" noThreeD="1"/>
</file>

<file path=xl/ctrlProps/ctrlProp1213.xml><?xml version="1.0" encoding="utf-8"?>
<formControlPr xmlns="http://schemas.microsoft.com/office/spreadsheetml/2009/9/main" objectType="GBox" noThreeD="1"/>
</file>

<file path=xl/ctrlProps/ctrlProp1214.xml><?xml version="1.0" encoding="utf-8"?>
<formControlPr xmlns="http://schemas.microsoft.com/office/spreadsheetml/2009/9/main" objectType="Radio" lockText="1" noThreeD="1"/>
</file>

<file path=xl/ctrlProps/ctrlProp1215.xml><?xml version="1.0" encoding="utf-8"?>
<formControlPr xmlns="http://schemas.microsoft.com/office/spreadsheetml/2009/9/main" objectType="Radio" lockText="1" noThreeD="1"/>
</file>

<file path=xl/ctrlProps/ctrlProp1216.xml><?xml version="1.0" encoding="utf-8"?>
<formControlPr xmlns="http://schemas.microsoft.com/office/spreadsheetml/2009/9/main" objectType="Radio" lockText="1" noThreeD="1"/>
</file>

<file path=xl/ctrlProps/ctrlProp1217.xml><?xml version="1.0" encoding="utf-8"?>
<formControlPr xmlns="http://schemas.microsoft.com/office/spreadsheetml/2009/9/main" objectType="Radio" lockText="1" noThreeD="1"/>
</file>

<file path=xl/ctrlProps/ctrlProp1218.xml><?xml version="1.0" encoding="utf-8"?>
<formControlPr xmlns="http://schemas.microsoft.com/office/spreadsheetml/2009/9/main" objectType="Radio" lockText="1" noThreeD="1"/>
</file>

<file path=xl/ctrlProps/ctrlProp1219.xml><?xml version="1.0" encoding="utf-8"?>
<formControlPr xmlns="http://schemas.microsoft.com/office/spreadsheetml/2009/9/main" objectType="GBox" noThreeD="1"/>
</file>

<file path=xl/ctrlProps/ctrlProp122.xml><?xml version="1.0" encoding="utf-8"?>
<formControlPr xmlns="http://schemas.microsoft.com/office/spreadsheetml/2009/9/main" objectType="CheckBox" lockText="1" noThreeD="1"/>
</file>

<file path=xl/ctrlProps/ctrlProp1220.xml><?xml version="1.0" encoding="utf-8"?>
<formControlPr xmlns="http://schemas.microsoft.com/office/spreadsheetml/2009/9/main" objectType="Radio" lockText="1" noThreeD="1"/>
</file>

<file path=xl/ctrlProps/ctrlProp1221.xml><?xml version="1.0" encoding="utf-8"?>
<formControlPr xmlns="http://schemas.microsoft.com/office/spreadsheetml/2009/9/main" objectType="Radio" lockText="1" noThreeD="1"/>
</file>

<file path=xl/ctrlProps/ctrlProp1222.xml><?xml version="1.0" encoding="utf-8"?>
<formControlPr xmlns="http://schemas.microsoft.com/office/spreadsheetml/2009/9/main" objectType="Radio" lockText="1" noThreeD="1"/>
</file>

<file path=xl/ctrlProps/ctrlProp1223.xml><?xml version="1.0" encoding="utf-8"?>
<formControlPr xmlns="http://schemas.microsoft.com/office/spreadsheetml/2009/9/main" objectType="Radio" lockText="1" noThreeD="1"/>
</file>

<file path=xl/ctrlProps/ctrlProp1224.xml><?xml version="1.0" encoding="utf-8"?>
<formControlPr xmlns="http://schemas.microsoft.com/office/spreadsheetml/2009/9/main" objectType="Radio" lockText="1" noThreeD="1"/>
</file>

<file path=xl/ctrlProps/ctrlProp1225.xml><?xml version="1.0" encoding="utf-8"?>
<formControlPr xmlns="http://schemas.microsoft.com/office/spreadsheetml/2009/9/main" objectType="GBox" noThreeD="1"/>
</file>

<file path=xl/ctrlProps/ctrlProp1226.xml><?xml version="1.0" encoding="utf-8"?>
<formControlPr xmlns="http://schemas.microsoft.com/office/spreadsheetml/2009/9/main" objectType="Radio" lockText="1" noThreeD="1"/>
</file>

<file path=xl/ctrlProps/ctrlProp1227.xml><?xml version="1.0" encoding="utf-8"?>
<formControlPr xmlns="http://schemas.microsoft.com/office/spreadsheetml/2009/9/main" objectType="Radio" lockText="1" noThreeD="1"/>
</file>

<file path=xl/ctrlProps/ctrlProp1228.xml><?xml version="1.0" encoding="utf-8"?>
<formControlPr xmlns="http://schemas.microsoft.com/office/spreadsheetml/2009/9/main" objectType="Radio" lockText="1" noThreeD="1"/>
</file>

<file path=xl/ctrlProps/ctrlProp1229.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GBox" noThreeD="1"/>
</file>

<file path=xl/ctrlProps/ctrlProp1230.xml><?xml version="1.0" encoding="utf-8"?>
<formControlPr xmlns="http://schemas.microsoft.com/office/spreadsheetml/2009/9/main" objectType="Radio" lockText="1" noThreeD="1"/>
</file>

<file path=xl/ctrlProps/ctrlProp1231.xml><?xml version="1.0" encoding="utf-8"?>
<formControlPr xmlns="http://schemas.microsoft.com/office/spreadsheetml/2009/9/main" objectType="GBox" noThreeD="1"/>
</file>

<file path=xl/ctrlProps/ctrlProp1232.xml><?xml version="1.0" encoding="utf-8"?>
<formControlPr xmlns="http://schemas.microsoft.com/office/spreadsheetml/2009/9/main" objectType="Radio" lockText="1" noThreeD="1"/>
</file>

<file path=xl/ctrlProps/ctrlProp1233.xml><?xml version="1.0" encoding="utf-8"?>
<formControlPr xmlns="http://schemas.microsoft.com/office/spreadsheetml/2009/9/main" objectType="Radio" lockText="1" noThreeD="1"/>
</file>

<file path=xl/ctrlProps/ctrlProp1234.xml><?xml version="1.0" encoding="utf-8"?>
<formControlPr xmlns="http://schemas.microsoft.com/office/spreadsheetml/2009/9/main" objectType="Radio" lockText="1" noThreeD="1"/>
</file>

<file path=xl/ctrlProps/ctrlProp1235.xml><?xml version="1.0" encoding="utf-8"?>
<formControlPr xmlns="http://schemas.microsoft.com/office/spreadsheetml/2009/9/main" objectType="Radio" lockText="1" noThreeD="1"/>
</file>

<file path=xl/ctrlProps/ctrlProp1236.xml><?xml version="1.0" encoding="utf-8"?>
<formControlPr xmlns="http://schemas.microsoft.com/office/spreadsheetml/2009/9/main" objectType="Radio" lockText="1" noThreeD="1"/>
</file>

<file path=xl/ctrlProps/ctrlProp1237.xml><?xml version="1.0" encoding="utf-8"?>
<formControlPr xmlns="http://schemas.microsoft.com/office/spreadsheetml/2009/9/main" objectType="GBox" noThreeD="1"/>
</file>

<file path=xl/ctrlProps/ctrlProp1238.xml><?xml version="1.0" encoding="utf-8"?>
<formControlPr xmlns="http://schemas.microsoft.com/office/spreadsheetml/2009/9/main" objectType="Radio" lockText="1" noThreeD="1"/>
</file>

<file path=xl/ctrlProps/ctrlProp1239.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GBox" noThreeD="1"/>
</file>

<file path=xl/ctrlProps/ctrlProp1240.xml><?xml version="1.0" encoding="utf-8"?>
<formControlPr xmlns="http://schemas.microsoft.com/office/spreadsheetml/2009/9/main" objectType="Radio" lockText="1" noThreeD="1"/>
</file>

<file path=xl/ctrlProps/ctrlProp1241.xml><?xml version="1.0" encoding="utf-8"?>
<formControlPr xmlns="http://schemas.microsoft.com/office/spreadsheetml/2009/9/main" objectType="Radio" lockText="1" noThreeD="1"/>
</file>

<file path=xl/ctrlProps/ctrlProp1242.xml><?xml version="1.0" encoding="utf-8"?>
<formControlPr xmlns="http://schemas.microsoft.com/office/spreadsheetml/2009/9/main" objectType="Radio" lockText="1" noThreeD="1"/>
</file>

<file path=xl/ctrlProps/ctrlProp1243.xml><?xml version="1.0" encoding="utf-8"?>
<formControlPr xmlns="http://schemas.microsoft.com/office/spreadsheetml/2009/9/main" objectType="GBox" noThreeD="1"/>
</file>

<file path=xl/ctrlProps/ctrlProp1244.xml><?xml version="1.0" encoding="utf-8"?>
<formControlPr xmlns="http://schemas.microsoft.com/office/spreadsheetml/2009/9/main" objectType="Radio" lockText="1" noThreeD="1"/>
</file>

<file path=xl/ctrlProps/ctrlProp1245.xml><?xml version="1.0" encoding="utf-8"?>
<formControlPr xmlns="http://schemas.microsoft.com/office/spreadsheetml/2009/9/main" objectType="Radio" lockText="1" noThreeD="1"/>
</file>

<file path=xl/ctrlProps/ctrlProp1246.xml><?xml version="1.0" encoding="utf-8"?>
<formControlPr xmlns="http://schemas.microsoft.com/office/spreadsheetml/2009/9/main" objectType="Radio" lockText="1" noThreeD="1"/>
</file>

<file path=xl/ctrlProps/ctrlProp1247.xml><?xml version="1.0" encoding="utf-8"?>
<formControlPr xmlns="http://schemas.microsoft.com/office/spreadsheetml/2009/9/main" objectType="Radio" lockText="1" noThreeD="1"/>
</file>

<file path=xl/ctrlProps/ctrlProp1248.xml><?xml version="1.0" encoding="utf-8"?>
<formControlPr xmlns="http://schemas.microsoft.com/office/spreadsheetml/2009/9/main" objectType="Radio" lockText="1" noThreeD="1"/>
</file>

<file path=xl/ctrlProps/ctrlProp1249.xml><?xml version="1.0" encoding="utf-8"?>
<formControlPr xmlns="http://schemas.microsoft.com/office/spreadsheetml/2009/9/main" objectType="GBox" noThreeD="1"/>
</file>

<file path=xl/ctrlProps/ctrlProp125.xml><?xml version="1.0" encoding="utf-8"?>
<formControlPr xmlns="http://schemas.microsoft.com/office/spreadsheetml/2009/9/main" objectType="GBox" noThreeD="1"/>
</file>

<file path=xl/ctrlProps/ctrlProp1250.xml><?xml version="1.0" encoding="utf-8"?>
<formControlPr xmlns="http://schemas.microsoft.com/office/spreadsheetml/2009/9/main" objectType="Radio" lockText="1" noThreeD="1"/>
</file>

<file path=xl/ctrlProps/ctrlProp1251.xml><?xml version="1.0" encoding="utf-8"?>
<formControlPr xmlns="http://schemas.microsoft.com/office/spreadsheetml/2009/9/main" objectType="Radio" lockText="1" noThreeD="1"/>
</file>

<file path=xl/ctrlProps/ctrlProp1252.xml><?xml version="1.0" encoding="utf-8"?>
<formControlPr xmlns="http://schemas.microsoft.com/office/spreadsheetml/2009/9/main" objectType="Radio" lockText="1" noThreeD="1"/>
</file>

<file path=xl/ctrlProps/ctrlProp1253.xml><?xml version="1.0" encoding="utf-8"?>
<formControlPr xmlns="http://schemas.microsoft.com/office/spreadsheetml/2009/9/main" objectType="Radio" lockText="1" noThreeD="1"/>
</file>

<file path=xl/ctrlProps/ctrlProp1254.xml><?xml version="1.0" encoding="utf-8"?>
<formControlPr xmlns="http://schemas.microsoft.com/office/spreadsheetml/2009/9/main" objectType="Radio" lockText="1" noThreeD="1"/>
</file>

<file path=xl/ctrlProps/ctrlProp1255.xml><?xml version="1.0" encoding="utf-8"?>
<formControlPr xmlns="http://schemas.microsoft.com/office/spreadsheetml/2009/9/main" objectType="Radio" lockText="1" noThreeD="1"/>
</file>

<file path=xl/ctrlProps/ctrlProp1256.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Radio" firstButton="1" fmlaLink="$AD$35" lockText="1" noThreeD="1"/>
</file>

<file path=xl/ctrlProps/ctrlProp127.xml><?xml version="1.0" encoding="utf-8"?>
<formControlPr xmlns="http://schemas.microsoft.com/office/spreadsheetml/2009/9/main" objectType="Radio" firstButton="1" fmlaLink="$AD$36" lockText="1" noThreeD="1"/>
</file>

<file path=xl/ctrlProps/ctrlProp128.xml><?xml version="1.0" encoding="utf-8"?>
<formControlPr xmlns="http://schemas.microsoft.com/office/spreadsheetml/2009/9/main" objectType="Radio" firstButton="1" fmlaLink="$AD$37" lockText="1" noThreeD="1"/>
</file>

<file path=xl/ctrlProps/ctrlProp129.xml><?xml version="1.0" encoding="utf-8"?>
<formControlPr xmlns="http://schemas.microsoft.com/office/spreadsheetml/2009/9/main" objectType="Radio" firstButton="1" fmlaLink="$AD$38"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Radio" checked="Checked"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checked="Checked"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firstButton="1" fmlaLink="$AD$46" lockText="1" noThreeD="1"/>
</file>

<file path=xl/ctrlProps/ctrlProp143.xml><?xml version="1.0" encoding="utf-8"?>
<formControlPr xmlns="http://schemas.microsoft.com/office/spreadsheetml/2009/9/main" objectType="Radio" firstButton="1" fmlaLink="$AD$47" lockText="1" noThreeD="1"/>
</file>

<file path=xl/ctrlProps/ctrlProp144.xml><?xml version="1.0" encoding="utf-8"?>
<formControlPr xmlns="http://schemas.microsoft.com/office/spreadsheetml/2009/9/main" objectType="Radio" firstButton="1" fmlaLink="$AD$48"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checked="Checked" lockText="1" noThreeD="1"/>
</file>

<file path=xl/ctrlProps/ctrlProp152.xml><?xml version="1.0" encoding="utf-8"?>
<formControlPr xmlns="http://schemas.microsoft.com/office/spreadsheetml/2009/9/main" objectType="Radio" checked="Checked"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GBox" noThreeD="1"/>
</file>

<file path=xl/ctrlProps/ctrlProp155.xml><?xml version="1.0" encoding="utf-8"?>
<formControlPr xmlns="http://schemas.microsoft.com/office/spreadsheetml/2009/9/main" objectType="GBox" noThreeD="1"/>
</file>

<file path=xl/ctrlProps/ctrlProp156.xml><?xml version="1.0" encoding="utf-8"?>
<formControlPr xmlns="http://schemas.microsoft.com/office/spreadsheetml/2009/9/main" objectType="GBox" noThreeD="1"/>
</file>

<file path=xl/ctrlProps/ctrlProp157.xml><?xml version="1.0" encoding="utf-8"?>
<formControlPr xmlns="http://schemas.microsoft.com/office/spreadsheetml/2009/9/main" objectType="Radio" firstButton="1" fmlaLink="$AD$91" lockText="1" noThreeD="1"/>
</file>

<file path=xl/ctrlProps/ctrlProp158.xml><?xml version="1.0" encoding="utf-8"?>
<formControlPr xmlns="http://schemas.microsoft.com/office/spreadsheetml/2009/9/main" objectType="Radio" firstButton="1" fmlaLink="$AD$92" lockText="1" noThreeD="1"/>
</file>

<file path=xl/ctrlProps/ctrlProp159.xml><?xml version="1.0" encoding="utf-8"?>
<formControlPr xmlns="http://schemas.microsoft.com/office/spreadsheetml/2009/9/main" objectType="Radio" firstButton="1" fmlaLink="$AD$93"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Radio" lockText="1" noThreeD="1"/>
</file>

<file path=xl/ctrlProps/ctrlProp164.xml><?xml version="1.0" encoding="utf-8"?>
<formControlPr xmlns="http://schemas.microsoft.com/office/spreadsheetml/2009/9/main" objectType="Radio"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Radio" checked="Checked" lockText="1" noThreeD="1"/>
</file>

<file path=xl/ctrlProps/ctrlProp17.xml><?xml version="1.0" encoding="utf-8"?>
<formControlPr xmlns="http://schemas.microsoft.com/office/spreadsheetml/2009/9/main" objectType="CheckBox" checked="Checked"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GBox" noThreeD="1"/>
</file>

<file path=xl/ctrlProps/ctrlProp173.xml><?xml version="1.0" encoding="utf-8"?>
<formControlPr xmlns="http://schemas.microsoft.com/office/spreadsheetml/2009/9/main" objectType="Radio" firstButton="1" fmlaLink="$AD$105" lockText="1" noThreeD="1"/>
</file>

<file path=xl/ctrlProps/ctrlProp174.xml><?xml version="1.0" encoding="utf-8"?>
<formControlPr xmlns="http://schemas.microsoft.com/office/spreadsheetml/2009/9/main" objectType="Radio" firstButton="1" fmlaLink="$AD$109" lockText="1" noThreeD="1"/>
</file>

<file path=xl/ctrlProps/ctrlProp175.xml><?xml version="1.0" encoding="utf-8"?>
<formControlPr xmlns="http://schemas.microsoft.com/office/spreadsheetml/2009/9/main" objectType="Radio" firstButton="1" fmlaLink="$AD$111" lockText="1" noThreeD="1"/>
</file>

<file path=xl/ctrlProps/ctrlProp176.xml><?xml version="1.0" encoding="utf-8"?>
<formControlPr xmlns="http://schemas.microsoft.com/office/spreadsheetml/2009/9/main" objectType="Radio"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Radio" lockText="1" noThreeD="1"/>
</file>

<file path=xl/ctrlProps/ctrlProp182.xml><?xml version="1.0" encoding="utf-8"?>
<formControlPr xmlns="http://schemas.microsoft.com/office/spreadsheetml/2009/9/main" objectType="Radio" lockText="1" noThreeD="1"/>
</file>

<file path=xl/ctrlProps/ctrlProp183.xml><?xml version="1.0" encoding="utf-8"?>
<formControlPr xmlns="http://schemas.microsoft.com/office/spreadsheetml/2009/9/main" objectType="Radio" checked="Checked" lockText="1" noThreeD="1"/>
</file>

<file path=xl/ctrlProps/ctrlProp184.xml><?xml version="1.0" encoding="utf-8"?>
<formControlPr xmlns="http://schemas.microsoft.com/office/spreadsheetml/2009/9/main" objectType="Radio" checked="Checked" lockText="1" noThreeD="1"/>
</file>

<file path=xl/ctrlProps/ctrlProp185.xml><?xml version="1.0" encoding="utf-8"?>
<formControlPr xmlns="http://schemas.microsoft.com/office/spreadsheetml/2009/9/main" objectType="Radio" checked="Checked"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GBox" noThreeD="1"/>
</file>

<file path=xl/ctrlProps/ctrlProp189.xml><?xml version="1.0" encoding="utf-8"?>
<formControlPr xmlns="http://schemas.microsoft.com/office/spreadsheetml/2009/9/main" objectType="GBox"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GBox" noThreeD="1"/>
</file>

<file path=xl/ctrlProps/ctrlProp191.xml><?xml version="1.0" encoding="utf-8"?>
<formControlPr xmlns="http://schemas.microsoft.com/office/spreadsheetml/2009/9/main" objectType="Radio" firstButton="1" fmlaLink="$AD$121" lockText="1" noThreeD="1"/>
</file>

<file path=xl/ctrlProps/ctrlProp192.xml><?xml version="1.0" encoding="utf-8"?>
<formControlPr xmlns="http://schemas.microsoft.com/office/spreadsheetml/2009/9/main" objectType="Radio" firstButton="1" fmlaLink="$AD$122" lockText="1" noThreeD="1"/>
</file>

<file path=xl/ctrlProps/ctrlProp193.xml><?xml version="1.0" encoding="utf-8"?>
<formControlPr xmlns="http://schemas.microsoft.com/office/spreadsheetml/2009/9/main" objectType="Radio" firstButton="1" fmlaLink="$AD$123" lockText="1" noThreeD="1"/>
</file>

<file path=xl/ctrlProps/ctrlProp194.xml><?xml version="1.0" encoding="utf-8"?>
<formControlPr xmlns="http://schemas.microsoft.com/office/spreadsheetml/2009/9/main" objectType="Radio" firstButton="1" fmlaLink="$AD$124"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checked="Checked"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GBox" noThreeD="1"/>
</file>

<file path=xl/ctrlProps/ctrlProp212.xml><?xml version="1.0" encoding="utf-8"?>
<formControlPr xmlns="http://schemas.microsoft.com/office/spreadsheetml/2009/9/main" objectType="GBox" noThreeD="1"/>
</file>

<file path=xl/ctrlProps/ctrlProp213.xml><?xml version="1.0" encoding="utf-8"?>
<formControlPr xmlns="http://schemas.microsoft.com/office/spreadsheetml/2009/9/main" objectType="GBox" noThreeD="1"/>
</file>

<file path=xl/ctrlProps/ctrlProp214.xml><?xml version="1.0" encoding="utf-8"?>
<formControlPr xmlns="http://schemas.microsoft.com/office/spreadsheetml/2009/9/main" objectType="GBox" noThreeD="1"/>
</file>

<file path=xl/ctrlProps/ctrlProp215.xml><?xml version="1.0" encoding="utf-8"?>
<formControlPr xmlns="http://schemas.microsoft.com/office/spreadsheetml/2009/9/main" objectType="GBox" noThreeD="1"/>
</file>

<file path=xl/ctrlProps/ctrlProp216.xml><?xml version="1.0" encoding="utf-8"?>
<formControlPr xmlns="http://schemas.microsoft.com/office/spreadsheetml/2009/9/main" objectType="GBox" noThreeD="1"/>
</file>

<file path=xl/ctrlProps/ctrlProp217.xml><?xml version="1.0" encoding="utf-8"?>
<formControlPr xmlns="http://schemas.microsoft.com/office/spreadsheetml/2009/9/main" objectType="GBox" noThreeD="1"/>
</file>

<file path=xl/ctrlProps/ctrlProp218.xml><?xml version="1.0" encoding="utf-8"?>
<formControlPr xmlns="http://schemas.microsoft.com/office/spreadsheetml/2009/9/main" objectType="GBox" noThreeD="1"/>
</file>

<file path=xl/ctrlProps/ctrlProp219.xml><?xml version="1.0" encoding="utf-8"?>
<formControlPr xmlns="http://schemas.microsoft.com/office/spreadsheetml/2009/9/main" objectType="Radio" firstButton="1" fmlaLink="$AD$21" lockText="1" noThreeD="1"/>
</file>

<file path=xl/ctrlProps/ctrlProp22.xml><?xml version="1.0" encoding="utf-8"?>
<formControlPr xmlns="http://schemas.microsoft.com/office/spreadsheetml/2009/9/main" objectType="CheckBox" checked="Checked" lockText="1"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Radio" lockText="1" noThreeD="1"/>
</file>

<file path=xl/ctrlProps/ctrlProp222.xml><?xml version="1.0" encoding="utf-8"?>
<formControlPr xmlns="http://schemas.microsoft.com/office/spreadsheetml/2009/9/main" objectType="Radio" lockText="1" noThreeD="1"/>
</file>

<file path=xl/ctrlProps/ctrlProp223.xml><?xml version="1.0" encoding="utf-8"?>
<formControlPr xmlns="http://schemas.microsoft.com/office/spreadsheetml/2009/9/main" objectType="GBox" noThreeD="1"/>
</file>

<file path=xl/ctrlProps/ctrlProp224.xml><?xml version="1.0" encoding="utf-8"?>
<formControlPr xmlns="http://schemas.microsoft.com/office/spreadsheetml/2009/9/main" objectType="Radio" firstButton="1" fmlaLink="$AD$22" lockText="1" noThreeD="1"/>
</file>

<file path=xl/ctrlProps/ctrlProp225.xml><?xml version="1.0" encoding="utf-8"?>
<formControlPr xmlns="http://schemas.microsoft.com/office/spreadsheetml/2009/9/main" objectType="Radio" lockText="1" noThreeD="1"/>
</file>

<file path=xl/ctrlProps/ctrlProp226.xml><?xml version="1.0" encoding="utf-8"?>
<formControlPr xmlns="http://schemas.microsoft.com/office/spreadsheetml/2009/9/main" objectType="Radio"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firstButton="1" fmlaLink="$AD$23" lockText="1"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checked="Checked" lockText="1" noThreeD="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GBox" noThreeD="1"/>
</file>

<file path=xl/ctrlProps/ctrlProp234.xml><?xml version="1.0" encoding="utf-8"?>
<formControlPr xmlns="http://schemas.microsoft.com/office/spreadsheetml/2009/9/main" objectType="Radio" firstButton="1" fmlaLink="$AD$24" lockText="1" noThreeD="1"/>
</file>

<file path=xl/ctrlProps/ctrlProp235.xml><?xml version="1.0" encoding="utf-8"?>
<formControlPr xmlns="http://schemas.microsoft.com/office/spreadsheetml/2009/9/main" objectType="Radio" lockText="1" noThreeD="1"/>
</file>

<file path=xl/ctrlProps/ctrlProp236.xml><?xml version="1.0" encoding="utf-8"?>
<formControlPr xmlns="http://schemas.microsoft.com/office/spreadsheetml/2009/9/main" objectType="Radio" lockText="1" noThreeD="1"/>
</file>

<file path=xl/ctrlProps/ctrlProp237.xml><?xml version="1.0" encoding="utf-8"?>
<formControlPr xmlns="http://schemas.microsoft.com/office/spreadsheetml/2009/9/main" objectType="Radio" lockText="1" noThreeD="1"/>
</file>

<file path=xl/ctrlProps/ctrlProp238.xml><?xml version="1.0" encoding="utf-8"?>
<formControlPr xmlns="http://schemas.microsoft.com/office/spreadsheetml/2009/9/main" objectType="Radio" firstButton="1" fmlaLink="$AD$25" lockText="1" noThreeD="1"/>
</file>

<file path=xl/ctrlProps/ctrlProp239.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Radio" lockText="1" noThreeD="1"/>
</file>

<file path=xl/ctrlProps/ctrlProp241.xml><?xml version="1.0" encoding="utf-8"?>
<formControlPr xmlns="http://schemas.microsoft.com/office/spreadsheetml/2009/9/main" objectType="Radio" lockText="1" noThreeD="1"/>
</file>

<file path=xl/ctrlProps/ctrlProp242.xml><?xml version="1.0" encoding="utf-8"?>
<formControlPr xmlns="http://schemas.microsoft.com/office/spreadsheetml/2009/9/main" objectType="GBox" noThreeD="1"/>
</file>

<file path=xl/ctrlProps/ctrlProp243.xml><?xml version="1.0" encoding="utf-8"?>
<formControlPr xmlns="http://schemas.microsoft.com/office/spreadsheetml/2009/9/main" objectType="Radio" firstButton="1" fmlaLink="$AD$26" lockText="1" noThreeD="1"/>
</file>

<file path=xl/ctrlProps/ctrlProp244.xml><?xml version="1.0" encoding="utf-8"?>
<formControlPr xmlns="http://schemas.microsoft.com/office/spreadsheetml/2009/9/main" objectType="Radio" lockText="1" noThreeD="1"/>
</file>

<file path=xl/ctrlProps/ctrlProp245.xml><?xml version="1.0" encoding="utf-8"?>
<formControlPr xmlns="http://schemas.microsoft.com/office/spreadsheetml/2009/9/main" objectType="Radio" lockText="1" noThreeD="1"/>
</file>

<file path=xl/ctrlProps/ctrlProp246.xml><?xml version="1.0" encoding="utf-8"?>
<formControlPr xmlns="http://schemas.microsoft.com/office/spreadsheetml/2009/9/main" objectType="Radio" lockText="1" noThreeD="1"/>
</file>

<file path=xl/ctrlProps/ctrlProp247.xml><?xml version="1.0" encoding="utf-8"?>
<formControlPr xmlns="http://schemas.microsoft.com/office/spreadsheetml/2009/9/main" objectType="GBox" noThreeD="1"/>
</file>

<file path=xl/ctrlProps/ctrlProp248.xml><?xml version="1.0" encoding="utf-8"?>
<formControlPr xmlns="http://schemas.microsoft.com/office/spreadsheetml/2009/9/main" objectType="Radio" firstButton="1" fmlaLink="$AD$27" lockText="1" noThreeD="1"/>
</file>

<file path=xl/ctrlProps/ctrlProp249.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CheckBox" checked="Checked" lockText="1" noThreeD="1"/>
</file>

<file path=xl/ctrlProps/ctrlProp250.xml><?xml version="1.0" encoding="utf-8"?>
<formControlPr xmlns="http://schemas.microsoft.com/office/spreadsheetml/2009/9/main" objectType="Radio" lockText="1" noThreeD="1"/>
</file>

<file path=xl/ctrlProps/ctrlProp251.xml><?xml version="1.0" encoding="utf-8"?>
<formControlPr xmlns="http://schemas.microsoft.com/office/spreadsheetml/2009/9/main" objectType="Radio" checked="Checked" lockText="1" noThreeD="1"/>
</file>

<file path=xl/ctrlProps/ctrlProp252.xml><?xml version="1.0" encoding="utf-8"?>
<formControlPr xmlns="http://schemas.microsoft.com/office/spreadsheetml/2009/9/main" objectType="GBox" noThreeD="1"/>
</file>

<file path=xl/ctrlProps/ctrlProp253.xml><?xml version="1.0" encoding="utf-8"?>
<formControlPr xmlns="http://schemas.microsoft.com/office/spreadsheetml/2009/9/main" objectType="Radio" lockText="1" noThreeD="1"/>
</file>

<file path=xl/ctrlProps/ctrlProp254.xml><?xml version="1.0" encoding="utf-8"?>
<formControlPr xmlns="http://schemas.microsoft.com/office/spreadsheetml/2009/9/main" objectType="Radio" checked="Checked" lockText="1" noThreeD="1"/>
</file>

<file path=xl/ctrlProps/ctrlProp255.xml><?xml version="1.0" encoding="utf-8"?>
<formControlPr xmlns="http://schemas.microsoft.com/office/spreadsheetml/2009/9/main" objectType="Radio" lockText="1" noThreeD="1"/>
</file>

<file path=xl/ctrlProps/ctrlProp256.xml><?xml version="1.0" encoding="utf-8"?>
<formControlPr xmlns="http://schemas.microsoft.com/office/spreadsheetml/2009/9/main" objectType="Radio" lockText="1" noThreeD="1"/>
</file>

<file path=xl/ctrlProps/ctrlProp257.xml><?xml version="1.0" encoding="utf-8"?>
<formControlPr xmlns="http://schemas.microsoft.com/office/spreadsheetml/2009/9/main" objectType="Radio" lockText="1" noThreeD="1"/>
</file>

<file path=xl/ctrlProps/ctrlProp258.xml><?xml version="1.0" encoding="utf-8"?>
<formControlPr xmlns="http://schemas.microsoft.com/office/spreadsheetml/2009/9/main" objectType="Radio" lockText="1" noThreeD="1"/>
</file>

<file path=xl/ctrlProps/ctrlProp259.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Radio" lockText="1" noThreeD="1"/>
</file>

<file path=xl/ctrlProps/ctrlProp261.xml><?xml version="1.0" encoding="utf-8"?>
<formControlPr xmlns="http://schemas.microsoft.com/office/spreadsheetml/2009/9/main" objectType="Radio" lockText="1" noThreeD="1"/>
</file>

<file path=xl/ctrlProps/ctrlProp262.xml><?xml version="1.0" encoding="utf-8"?>
<formControlPr xmlns="http://schemas.microsoft.com/office/spreadsheetml/2009/9/main" objectType="Radio" lockText="1" noThreeD="1"/>
</file>

<file path=xl/ctrlProps/ctrlProp263.xml><?xml version="1.0" encoding="utf-8"?>
<formControlPr xmlns="http://schemas.microsoft.com/office/spreadsheetml/2009/9/main" objectType="Radio" lockText="1" noThreeD="1"/>
</file>

<file path=xl/ctrlProps/ctrlProp264.xml><?xml version="1.0" encoding="utf-8"?>
<formControlPr xmlns="http://schemas.microsoft.com/office/spreadsheetml/2009/9/main" objectType="Radio" lockText="1" noThreeD="1"/>
</file>

<file path=xl/ctrlProps/ctrlProp265.xml><?xml version="1.0" encoding="utf-8"?>
<formControlPr xmlns="http://schemas.microsoft.com/office/spreadsheetml/2009/9/main" objectType="Radio" lockText="1" noThreeD="1"/>
</file>

<file path=xl/ctrlProps/ctrlProp266.xml><?xml version="1.0" encoding="utf-8"?>
<formControlPr xmlns="http://schemas.microsoft.com/office/spreadsheetml/2009/9/main" objectType="Radio" lockText="1" noThreeD="1"/>
</file>

<file path=xl/ctrlProps/ctrlProp267.xml><?xml version="1.0" encoding="utf-8"?>
<formControlPr xmlns="http://schemas.microsoft.com/office/spreadsheetml/2009/9/main" objectType="GBox" noThreeD="1"/>
</file>

<file path=xl/ctrlProps/ctrlProp268.xml><?xml version="1.0" encoding="utf-8"?>
<formControlPr xmlns="http://schemas.microsoft.com/office/spreadsheetml/2009/9/main" objectType="Radio" firstButton="1" fmlaLink="$AD$94" lockText="1" noThreeD="1"/>
</file>

<file path=xl/ctrlProps/ctrlProp269.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Radio" lockText="1" noThreeD="1"/>
</file>

<file path=xl/ctrlProps/ctrlProp271.xml><?xml version="1.0" encoding="utf-8"?>
<formControlPr xmlns="http://schemas.microsoft.com/office/spreadsheetml/2009/9/main" objectType="Radio" lockText="1" noThreeD="1"/>
</file>

<file path=xl/ctrlProps/ctrlProp272.xml><?xml version="1.0" encoding="utf-8"?>
<formControlPr xmlns="http://schemas.microsoft.com/office/spreadsheetml/2009/9/main" objectType="Radio" lockText="1" noThreeD="1"/>
</file>

<file path=xl/ctrlProps/ctrlProp273.xml><?xml version="1.0" encoding="utf-8"?>
<formControlPr xmlns="http://schemas.microsoft.com/office/spreadsheetml/2009/9/main" objectType="Radio" firstButton="1" fmlaLink="$AD$127" lockText="1" noThreeD="1"/>
</file>

<file path=xl/ctrlProps/ctrlProp274.xml><?xml version="1.0" encoding="utf-8"?>
<formControlPr xmlns="http://schemas.microsoft.com/office/spreadsheetml/2009/9/main" objectType="Radio" lockText="1" noThreeD="1"/>
</file>

<file path=xl/ctrlProps/ctrlProp275.xml><?xml version="1.0" encoding="utf-8"?>
<formControlPr xmlns="http://schemas.microsoft.com/office/spreadsheetml/2009/9/main" objectType="Radio" lockText="1" noThreeD="1"/>
</file>

<file path=xl/ctrlProps/ctrlProp276.xml><?xml version="1.0" encoding="utf-8"?>
<formControlPr xmlns="http://schemas.microsoft.com/office/spreadsheetml/2009/9/main" objectType="Radio" lockText="1" noThreeD="1"/>
</file>

<file path=xl/ctrlProps/ctrlProp277.xml><?xml version="1.0" encoding="utf-8"?>
<formControlPr xmlns="http://schemas.microsoft.com/office/spreadsheetml/2009/9/main" objectType="Radio" lockText="1" noThreeD="1"/>
</file>

<file path=xl/ctrlProps/ctrlProp278.xml><?xml version="1.0" encoding="utf-8"?>
<formControlPr xmlns="http://schemas.microsoft.com/office/spreadsheetml/2009/9/main" objectType="GBox" noThreeD="1"/>
</file>

<file path=xl/ctrlProps/ctrlProp279.xml><?xml version="1.0" encoding="utf-8"?>
<formControlPr xmlns="http://schemas.microsoft.com/office/spreadsheetml/2009/9/main" objectType="Radio" firstButton="1" fmlaLink="$AD$126"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Radio" lockText="1" noThreeD="1"/>
</file>

<file path=xl/ctrlProps/ctrlProp281.xml><?xml version="1.0" encoding="utf-8"?>
<formControlPr xmlns="http://schemas.microsoft.com/office/spreadsheetml/2009/9/main" objectType="Radio" lockText="1" noThreeD="1"/>
</file>

<file path=xl/ctrlProps/ctrlProp282.xml><?xml version="1.0" encoding="utf-8"?>
<formControlPr xmlns="http://schemas.microsoft.com/office/spreadsheetml/2009/9/main" objectType="Radio" lockText="1" noThreeD="1"/>
</file>

<file path=xl/ctrlProps/ctrlProp283.xml><?xml version="1.0" encoding="utf-8"?>
<formControlPr xmlns="http://schemas.microsoft.com/office/spreadsheetml/2009/9/main" objectType="Radio" lockText="1" noThreeD="1"/>
</file>

<file path=xl/ctrlProps/ctrlProp284.xml><?xml version="1.0" encoding="utf-8"?>
<formControlPr xmlns="http://schemas.microsoft.com/office/spreadsheetml/2009/9/main" objectType="GBox" noThreeD="1"/>
</file>

<file path=xl/ctrlProps/ctrlProp285.xml><?xml version="1.0" encoding="utf-8"?>
<formControlPr xmlns="http://schemas.microsoft.com/office/spreadsheetml/2009/9/main" objectType="Radio" firstButton="1" fmlaLink="$AD$125" lockText="1" noThreeD="1"/>
</file>

<file path=xl/ctrlProps/ctrlProp286.xml><?xml version="1.0" encoding="utf-8"?>
<formControlPr xmlns="http://schemas.microsoft.com/office/spreadsheetml/2009/9/main" objectType="Radio" lockText="1" noThreeD="1"/>
</file>

<file path=xl/ctrlProps/ctrlProp287.xml><?xml version="1.0" encoding="utf-8"?>
<formControlPr xmlns="http://schemas.microsoft.com/office/spreadsheetml/2009/9/main" objectType="Radio" lockText="1" noThreeD="1"/>
</file>

<file path=xl/ctrlProps/ctrlProp288.xml><?xml version="1.0" encoding="utf-8"?>
<formControlPr xmlns="http://schemas.microsoft.com/office/spreadsheetml/2009/9/main" objectType="Radio" lockText="1" noThreeD="1"/>
</file>

<file path=xl/ctrlProps/ctrlProp289.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GBox" noThreeD="1"/>
</file>

<file path=xl/ctrlProps/ctrlProp291.xml><?xml version="1.0" encoding="utf-8"?>
<formControlPr xmlns="http://schemas.microsoft.com/office/spreadsheetml/2009/9/main" objectType="GBox" noThreeD="1"/>
</file>

<file path=xl/ctrlProps/ctrlProp292.xml><?xml version="1.0" encoding="utf-8"?>
<formControlPr xmlns="http://schemas.microsoft.com/office/spreadsheetml/2009/9/main" objectType="Radio" firstButton="1" fmlaLink="$AD$17" lockText="1" noThreeD="1"/>
</file>

<file path=xl/ctrlProps/ctrlProp293.xml><?xml version="1.0" encoding="utf-8"?>
<formControlPr xmlns="http://schemas.microsoft.com/office/spreadsheetml/2009/9/main" objectType="Radio" lockText="1" noThreeD="1"/>
</file>

<file path=xl/ctrlProps/ctrlProp294.xml><?xml version="1.0" encoding="utf-8"?>
<formControlPr xmlns="http://schemas.microsoft.com/office/spreadsheetml/2009/9/main" objectType="Radio" checked="Checked" lockText="1" noThreeD="1"/>
</file>

<file path=xl/ctrlProps/ctrlProp295.xml><?xml version="1.0" encoding="utf-8"?>
<formControlPr xmlns="http://schemas.microsoft.com/office/spreadsheetml/2009/9/main" objectType="Radio" lockText="1" noThreeD="1"/>
</file>

<file path=xl/ctrlProps/ctrlProp296.xml><?xml version="1.0" encoding="utf-8"?>
<formControlPr xmlns="http://schemas.microsoft.com/office/spreadsheetml/2009/9/main" objectType="Radio" lockText="1" noThreeD="1"/>
</file>

<file path=xl/ctrlProps/ctrlProp297.xml><?xml version="1.0" encoding="utf-8"?>
<formControlPr xmlns="http://schemas.microsoft.com/office/spreadsheetml/2009/9/main" objectType="GBox" noThreeD="1"/>
</file>

<file path=xl/ctrlProps/ctrlProp298.xml><?xml version="1.0" encoding="utf-8"?>
<formControlPr xmlns="http://schemas.microsoft.com/office/spreadsheetml/2009/9/main" objectType="Radio" firstButton="1" fmlaLink="$AD$20" lockText="1" noThreeD="1"/>
</file>

<file path=xl/ctrlProps/ctrlProp29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Radio" lockText="1" noThreeD="1"/>
</file>

<file path=xl/ctrlProps/ctrlProp301.xml><?xml version="1.0" encoding="utf-8"?>
<formControlPr xmlns="http://schemas.microsoft.com/office/spreadsheetml/2009/9/main" objectType="Radio" lockText="1" noThreeD="1"/>
</file>

<file path=xl/ctrlProps/ctrlProp302.xml><?xml version="1.0" encoding="utf-8"?>
<formControlPr xmlns="http://schemas.microsoft.com/office/spreadsheetml/2009/9/main" objectType="Radio" checked="Checked" lockText="1" noThreeD="1"/>
</file>

<file path=xl/ctrlProps/ctrlProp303.xml><?xml version="1.0" encoding="utf-8"?>
<formControlPr xmlns="http://schemas.microsoft.com/office/spreadsheetml/2009/9/main" objectType="Radio" firstButton="1" fmlaLink="$AD$16" lockText="1" noThreeD="1"/>
</file>

<file path=xl/ctrlProps/ctrlProp304.xml><?xml version="1.0" encoding="utf-8"?>
<formControlPr xmlns="http://schemas.microsoft.com/office/spreadsheetml/2009/9/main" objectType="Radio" lockText="1" noThreeD="1"/>
</file>

<file path=xl/ctrlProps/ctrlProp305.xml><?xml version="1.0" encoding="utf-8"?>
<formControlPr xmlns="http://schemas.microsoft.com/office/spreadsheetml/2009/9/main" objectType="Radio" lockText="1" noThreeD="1"/>
</file>

<file path=xl/ctrlProps/ctrlProp306.xml><?xml version="1.0" encoding="utf-8"?>
<formControlPr xmlns="http://schemas.microsoft.com/office/spreadsheetml/2009/9/main" objectType="Radio" checked="Checked" lockText="1" noThreeD="1"/>
</file>

<file path=xl/ctrlProps/ctrlProp307.xml><?xml version="1.0" encoding="utf-8"?>
<formControlPr xmlns="http://schemas.microsoft.com/office/spreadsheetml/2009/9/main" objectType="Radio" lockText="1" noThreeD="1"/>
</file>

<file path=xl/ctrlProps/ctrlProp308.xml><?xml version="1.0" encoding="utf-8"?>
<formControlPr xmlns="http://schemas.microsoft.com/office/spreadsheetml/2009/9/main" objectType="GBox" noThreeD="1"/>
</file>

<file path=xl/ctrlProps/ctrlProp309.xml><?xml version="1.0" encoding="utf-8"?>
<formControlPr xmlns="http://schemas.microsoft.com/office/spreadsheetml/2009/9/main" objectType="Radio" firstButton="1" fmlaLink="$AD$18" lockText="1" noThreeD="1"/>
</file>

<file path=xl/ctrlProps/ctrlProp31.xml><?xml version="1.0" encoding="utf-8"?>
<formControlPr xmlns="http://schemas.microsoft.com/office/spreadsheetml/2009/9/main" objectType="CheckBox" checked="Checked" lockText="1" noThreeD="1"/>
</file>

<file path=xl/ctrlProps/ctrlProp310.xml><?xml version="1.0" encoding="utf-8"?>
<formControlPr xmlns="http://schemas.microsoft.com/office/spreadsheetml/2009/9/main" objectType="Radio" lockText="1" noThreeD="1"/>
</file>

<file path=xl/ctrlProps/ctrlProp311.xml><?xml version="1.0" encoding="utf-8"?>
<formControlPr xmlns="http://schemas.microsoft.com/office/spreadsheetml/2009/9/main" objectType="Radio" lockText="1" noThreeD="1"/>
</file>

<file path=xl/ctrlProps/ctrlProp312.xml><?xml version="1.0" encoding="utf-8"?>
<formControlPr xmlns="http://schemas.microsoft.com/office/spreadsheetml/2009/9/main" objectType="Radio" lockText="1" noThreeD="1"/>
</file>

<file path=xl/ctrlProps/ctrlProp313.xml><?xml version="1.0" encoding="utf-8"?>
<formControlPr xmlns="http://schemas.microsoft.com/office/spreadsheetml/2009/9/main" objectType="Radio" checked="Checked" lockText="1" noThreeD="1"/>
</file>

<file path=xl/ctrlProps/ctrlProp314.xml><?xml version="1.0" encoding="utf-8"?>
<formControlPr xmlns="http://schemas.microsoft.com/office/spreadsheetml/2009/9/main" objectType="GBox" noThreeD="1"/>
</file>

<file path=xl/ctrlProps/ctrlProp315.xml><?xml version="1.0" encoding="utf-8"?>
<formControlPr xmlns="http://schemas.microsoft.com/office/spreadsheetml/2009/9/main" objectType="GBox" noThreeD="1"/>
</file>

<file path=xl/ctrlProps/ctrlProp316.xml><?xml version="1.0" encoding="utf-8"?>
<formControlPr xmlns="http://schemas.microsoft.com/office/spreadsheetml/2009/9/main" objectType="Radio" firstButton="1" fmlaLink="$AD$14" lockText="1" noThreeD="1"/>
</file>

<file path=xl/ctrlProps/ctrlProp317.xml><?xml version="1.0" encoding="utf-8"?>
<formControlPr xmlns="http://schemas.microsoft.com/office/spreadsheetml/2009/9/main" objectType="Radio" lockText="1" noThreeD="1"/>
</file>

<file path=xl/ctrlProps/ctrlProp318.xml><?xml version="1.0" encoding="utf-8"?>
<formControlPr xmlns="http://schemas.microsoft.com/office/spreadsheetml/2009/9/main" objectType="Radio" lockText="1" noThreeD="1"/>
</file>

<file path=xl/ctrlProps/ctrlProp319.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Radio" checked="Checked" lockText="1" noThreeD="1"/>
</file>

<file path=xl/ctrlProps/ctrlProp321.xml><?xml version="1.0" encoding="utf-8"?>
<formControlPr xmlns="http://schemas.microsoft.com/office/spreadsheetml/2009/9/main" objectType="Radio" firstButton="1" fmlaLink="$AD$15" lockText="1" noThreeD="1"/>
</file>

<file path=xl/ctrlProps/ctrlProp322.xml><?xml version="1.0" encoding="utf-8"?>
<formControlPr xmlns="http://schemas.microsoft.com/office/spreadsheetml/2009/9/main" objectType="Radio" lockText="1" noThreeD="1"/>
</file>

<file path=xl/ctrlProps/ctrlProp323.xml><?xml version="1.0" encoding="utf-8"?>
<formControlPr xmlns="http://schemas.microsoft.com/office/spreadsheetml/2009/9/main" objectType="Radio" checked="Checked" lockText="1" noThreeD="1"/>
</file>

<file path=xl/ctrlProps/ctrlProp324.xml><?xml version="1.0" encoding="utf-8"?>
<formControlPr xmlns="http://schemas.microsoft.com/office/spreadsheetml/2009/9/main" objectType="Radio" lockText="1" noThreeD="1"/>
</file>

<file path=xl/ctrlProps/ctrlProp325.xml><?xml version="1.0" encoding="utf-8"?>
<formControlPr xmlns="http://schemas.microsoft.com/office/spreadsheetml/2009/9/main" objectType="GBox" noThreeD="1"/>
</file>

<file path=xl/ctrlProps/ctrlProp326.xml><?xml version="1.0" encoding="utf-8"?>
<formControlPr xmlns="http://schemas.microsoft.com/office/spreadsheetml/2009/9/main" objectType="Radio" lockText="1" noThreeD="1"/>
</file>

<file path=xl/ctrlProps/ctrlProp327.xml><?xml version="1.0" encoding="utf-8"?>
<formControlPr xmlns="http://schemas.microsoft.com/office/spreadsheetml/2009/9/main" objectType="GBox" noThreeD="1"/>
</file>

<file path=xl/ctrlProps/ctrlProp328.xml><?xml version="1.0" encoding="utf-8"?>
<formControlPr xmlns="http://schemas.microsoft.com/office/spreadsheetml/2009/9/main" objectType="Radio" firstButton="1" fmlaLink="$AD$19" lockText="1" noThreeD="1"/>
</file>

<file path=xl/ctrlProps/ctrlProp329.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Radio" checked="Checked" lockText="1" noThreeD="1"/>
</file>

<file path=xl/ctrlProps/ctrlProp331.xml><?xml version="1.0" encoding="utf-8"?>
<formControlPr xmlns="http://schemas.microsoft.com/office/spreadsheetml/2009/9/main" objectType="Radio" lockText="1" noThreeD="1"/>
</file>

<file path=xl/ctrlProps/ctrlProp332.xml><?xml version="1.0" encoding="utf-8"?>
<formControlPr xmlns="http://schemas.microsoft.com/office/spreadsheetml/2009/9/main" objectType="Radio" lockText="1" noThreeD="1"/>
</file>

<file path=xl/ctrlProps/ctrlProp333.xml><?xml version="1.0" encoding="utf-8"?>
<formControlPr xmlns="http://schemas.microsoft.com/office/spreadsheetml/2009/9/main" objectType="GBox" noThreeD="1"/>
</file>

<file path=xl/ctrlProps/ctrlProp334.xml><?xml version="1.0" encoding="utf-8"?>
<formControlPr xmlns="http://schemas.microsoft.com/office/spreadsheetml/2009/9/main" objectType="Radio" firstButton="1" fmlaLink="$AD$57" lockText="1" noThreeD="1"/>
</file>

<file path=xl/ctrlProps/ctrlProp335.xml><?xml version="1.0" encoding="utf-8"?>
<formControlPr xmlns="http://schemas.microsoft.com/office/spreadsheetml/2009/9/main" objectType="Radio" lockText="1" noThreeD="1"/>
</file>

<file path=xl/ctrlProps/ctrlProp336.xml><?xml version="1.0" encoding="utf-8"?>
<formControlPr xmlns="http://schemas.microsoft.com/office/spreadsheetml/2009/9/main" objectType="Radio" lockText="1" noThreeD="1"/>
</file>

<file path=xl/ctrlProps/ctrlProp337.xml><?xml version="1.0" encoding="utf-8"?>
<formControlPr xmlns="http://schemas.microsoft.com/office/spreadsheetml/2009/9/main" objectType="Radio" lockText="1" noThreeD="1"/>
</file>

<file path=xl/ctrlProps/ctrlProp338.xml><?xml version="1.0" encoding="utf-8"?>
<formControlPr xmlns="http://schemas.microsoft.com/office/spreadsheetml/2009/9/main" objectType="Radio" lockText="1" noThreeD="1"/>
</file>

<file path=xl/ctrlProps/ctrlProp339.xml><?xml version="1.0" encoding="utf-8"?>
<formControlPr xmlns="http://schemas.microsoft.com/office/spreadsheetml/2009/9/main" objectType="Radio" firstButton="1" fmlaLink="$AD$58"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Radio" lockText="1" noThreeD="1"/>
</file>

<file path=xl/ctrlProps/ctrlProp341.xml><?xml version="1.0" encoding="utf-8"?>
<formControlPr xmlns="http://schemas.microsoft.com/office/spreadsheetml/2009/9/main" objectType="Radio" lockText="1" noThreeD="1"/>
</file>

<file path=xl/ctrlProps/ctrlProp342.xml><?xml version="1.0" encoding="utf-8"?>
<formControlPr xmlns="http://schemas.microsoft.com/office/spreadsheetml/2009/9/main" objectType="Radio" lockText="1" noThreeD="1"/>
</file>

<file path=xl/ctrlProps/ctrlProp343.xml><?xml version="1.0" encoding="utf-8"?>
<formControlPr xmlns="http://schemas.microsoft.com/office/spreadsheetml/2009/9/main" objectType="GBox" noThreeD="1"/>
</file>

<file path=xl/ctrlProps/ctrlProp344.xml><?xml version="1.0" encoding="utf-8"?>
<formControlPr xmlns="http://schemas.microsoft.com/office/spreadsheetml/2009/9/main" objectType="Radio" firstButton="1" fmlaLink="$AD$123" lockText="1" noThreeD="1"/>
</file>

<file path=xl/ctrlProps/ctrlProp345.xml><?xml version="1.0" encoding="utf-8"?>
<formControlPr xmlns="http://schemas.microsoft.com/office/spreadsheetml/2009/9/main" objectType="Radio" firstButton="1" fmlaLink="$AD$59" lockText="1" noThreeD="1"/>
</file>

<file path=xl/ctrlProps/ctrlProp346.xml><?xml version="1.0" encoding="utf-8"?>
<formControlPr xmlns="http://schemas.microsoft.com/office/spreadsheetml/2009/9/main" objectType="Radio" lockText="1" noThreeD="1"/>
</file>

<file path=xl/ctrlProps/ctrlProp347.xml><?xml version="1.0" encoding="utf-8"?>
<formControlPr xmlns="http://schemas.microsoft.com/office/spreadsheetml/2009/9/main" objectType="Radio" lockText="1" noThreeD="1"/>
</file>

<file path=xl/ctrlProps/ctrlProp348.xml><?xml version="1.0" encoding="utf-8"?>
<formControlPr xmlns="http://schemas.microsoft.com/office/spreadsheetml/2009/9/main" objectType="Radio" lockText="1" noThreeD="1"/>
</file>

<file path=xl/ctrlProps/ctrlProp349.xml><?xml version="1.0" encoding="utf-8"?>
<formControlPr xmlns="http://schemas.microsoft.com/office/spreadsheetml/2009/9/main" objectType="GBox"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Radio" lockText="1" noThreeD="1"/>
</file>

<file path=xl/ctrlProps/ctrlProp351.xml><?xml version="1.0" encoding="utf-8"?>
<formControlPr xmlns="http://schemas.microsoft.com/office/spreadsheetml/2009/9/main" objectType="GBox" noThreeD="1"/>
</file>

<file path=xl/ctrlProps/ctrlProp352.xml><?xml version="1.0" encoding="utf-8"?>
<formControlPr xmlns="http://schemas.microsoft.com/office/spreadsheetml/2009/9/main" objectType="Radio" firstButton="1" fmlaLink="$AD$78" lockText="1" noThreeD="1"/>
</file>

<file path=xl/ctrlProps/ctrlProp353.xml><?xml version="1.0" encoding="utf-8"?>
<formControlPr xmlns="http://schemas.microsoft.com/office/spreadsheetml/2009/9/main" objectType="Radio" lockText="1" noThreeD="1"/>
</file>

<file path=xl/ctrlProps/ctrlProp354.xml><?xml version="1.0" encoding="utf-8"?>
<formControlPr xmlns="http://schemas.microsoft.com/office/spreadsheetml/2009/9/main" objectType="Radio" checked="Checked" lockText="1" noThreeD="1"/>
</file>

<file path=xl/ctrlProps/ctrlProp355.xml><?xml version="1.0" encoding="utf-8"?>
<formControlPr xmlns="http://schemas.microsoft.com/office/spreadsheetml/2009/9/main" objectType="Radio" lockText="1" noThreeD="1"/>
</file>

<file path=xl/ctrlProps/ctrlProp356.xml><?xml version="1.0" encoding="utf-8"?>
<formControlPr xmlns="http://schemas.microsoft.com/office/spreadsheetml/2009/9/main" objectType="Radio" lockText="1" noThreeD="1"/>
</file>

<file path=xl/ctrlProps/ctrlProp357.xml><?xml version="1.0" encoding="utf-8"?>
<formControlPr xmlns="http://schemas.microsoft.com/office/spreadsheetml/2009/9/main" objectType="Radio" firstButton="1" fmlaLink="$AD$79" lockText="1" noThreeD="1"/>
</file>

<file path=xl/ctrlProps/ctrlProp358.xml><?xml version="1.0" encoding="utf-8"?>
<formControlPr xmlns="http://schemas.microsoft.com/office/spreadsheetml/2009/9/main" objectType="Radio" lockText="1" noThreeD="1"/>
</file>

<file path=xl/ctrlProps/ctrlProp359.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CheckBox" checked="Checked" lockText="1" noThreeD="1"/>
</file>

<file path=xl/ctrlProps/ctrlProp360.xml><?xml version="1.0" encoding="utf-8"?>
<formControlPr xmlns="http://schemas.microsoft.com/office/spreadsheetml/2009/9/main" objectType="Radio" lockText="1" noThreeD="1"/>
</file>

<file path=xl/ctrlProps/ctrlProp361.xml><?xml version="1.0" encoding="utf-8"?>
<formControlPr xmlns="http://schemas.microsoft.com/office/spreadsheetml/2009/9/main" objectType="GBox" noThreeD="1"/>
</file>

<file path=xl/ctrlProps/ctrlProp362.xml><?xml version="1.0" encoding="utf-8"?>
<formControlPr xmlns="http://schemas.microsoft.com/office/spreadsheetml/2009/9/main" objectType="Radio" lockText="1" noThreeD="1"/>
</file>

<file path=xl/ctrlProps/ctrlProp363.xml><?xml version="1.0" encoding="utf-8"?>
<formControlPr xmlns="http://schemas.microsoft.com/office/spreadsheetml/2009/9/main" objectType="Radio" firstButton="1" fmlaLink="$AD$80" lockText="1" noThreeD="1"/>
</file>

<file path=xl/ctrlProps/ctrlProp364.xml><?xml version="1.0" encoding="utf-8"?>
<formControlPr xmlns="http://schemas.microsoft.com/office/spreadsheetml/2009/9/main" objectType="Radio" lockText="1" noThreeD="1"/>
</file>

<file path=xl/ctrlProps/ctrlProp365.xml><?xml version="1.0" encoding="utf-8"?>
<formControlPr xmlns="http://schemas.microsoft.com/office/spreadsheetml/2009/9/main" objectType="Radio" lockText="1" noThreeD="1"/>
</file>

<file path=xl/ctrlProps/ctrlProp366.xml><?xml version="1.0" encoding="utf-8"?>
<formControlPr xmlns="http://schemas.microsoft.com/office/spreadsheetml/2009/9/main" objectType="Radio" checked="Checked" lockText="1" noThreeD="1"/>
</file>

<file path=xl/ctrlProps/ctrlProp367.xml><?xml version="1.0" encoding="utf-8"?>
<formControlPr xmlns="http://schemas.microsoft.com/office/spreadsheetml/2009/9/main" objectType="GBox" noThreeD="1"/>
</file>

<file path=xl/ctrlProps/ctrlProp368.xml><?xml version="1.0" encoding="utf-8"?>
<formControlPr xmlns="http://schemas.microsoft.com/office/spreadsheetml/2009/9/main" objectType="Radio" lockText="1" noThreeD="1"/>
</file>

<file path=xl/ctrlProps/ctrlProp369.xml><?xml version="1.0" encoding="utf-8"?>
<formControlPr xmlns="http://schemas.microsoft.com/office/spreadsheetml/2009/9/main" objectType="GBox"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Radio" firstButton="1" fmlaLink="$AD$107" lockText="1" noThreeD="1"/>
</file>

<file path=xl/ctrlProps/ctrlProp371.xml><?xml version="1.0" encoding="utf-8"?>
<formControlPr xmlns="http://schemas.microsoft.com/office/spreadsheetml/2009/9/main" objectType="Radio" checked="Checked" lockText="1" noThreeD="1"/>
</file>

<file path=xl/ctrlProps/ctrlProp372.xml><?xml version="1.0" encoding="utf-8"?>
<formControlPr xmlns="http://schemas.microsoft.com/office/spreadsheetml/2009/9/main" objectType="Radio" lockText="1" noThreeD="1"/>
</file>

<file path=xl/ctrlProps/ctrlProp373.xml><?xml version="1.0" encoding="utf-8"?>
<formControlPr xmlns="http://schemas.microsoft.com/office/spreadsheetml/2009/9/main" objectType="Radio" lockText="1" noThreeD="1"/>
</file>

<file path=xl/ctrlProps/ctrlProp374.xml><?xml version="1.0" encoding="utf-8"?>
<formControlPr xmlns="http://schemas.microsoft.com/office/spreadsheetml/2009/9/main" objectType="Radio" lockText="1" noThreeD="1"/>
</file>

<file path=xl/ctrlProps/ctrlProp375.xml><?xml version="1.0" encoding="utf-8"?>
<formControlPr xmlns="http://schemas.microsoft.com/office/spreadsheetml/2009/9/main" objectType="GBox" noThreeD="1"/>
</file>

<file path=xl/ctrlProps/ctrlProp376.xml><?xml version="1.0" encoding="utf-8"?>
<formControlPr xmlns="http://schemas.microsoft.com/office/spreadsheetml/2009/9/main" objectType="Radio" firstButton="1" fmlaLink="$O$18" lockText="1" noThreeD="1"/>
</file>

<file path=xl/ctrlProps/ctrlProp377.xml><?xml version="1.0" encoding="utf-8"?>
<formControlPr xmlns="http://schemas.microsoft.com/office/spreadsheetml/2009/9/main" objectType="Radio" lockText="1" noThreeD="1"/>
</file>

<file path=xl/ctrlProps/ctrlProp378.xml><?xml version="1.0" encoding="utf-8"?>
<formControlPr xmlns="http://schemas.microsoft.com/office/spreadsheetml/2009/9/main" objectType="Radio" lockText="1" noThreeD="1"/>
</file>

<file path=xl/ctrlProps/ctrlProp379.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CheckBox" checked="Checked" lockText="1" noThreeD="1"/>
</file>

<file path=xl/ctrlProps/ctrlProp380.xml><?xml version="1.0" encoding="utf-8"?>
<formControlPr xmlns="http://schemas.microsoft.com/office/spreadsheetml/2009/9/main" objectType="GBox" noThreeD="1"/>
</file>

<file path=xl/ctrlProps/ctrlProp381.xml><?xml version="1.0" encoding="utf-8"?>
<formControlPr xmlns="http://schemas.microsoft.com/office/spreadsheetml/2009/9/main" objectType="Radio" firstButton="1" fmlaLink="$O$19" lockText="1" noThreeD="1"/>
</file>

<file path=xl/ctrlProps/ctrlProp382.xml><?xml version="1.0" encoding="utf-8"?>
<formControlPr xmlns="http://schemas.microsoft.com/office/spreadsheetml/2009/9/main" objectType="Radio" lockText="1" noThreeD="1"/>
</file>

<file path=xl/ctrlProps/ctrlProp383.xml><?xml version="1.0" encoding="utf-8"?>
<formControlPr xmlns="http://schemas.microsoft.com/office/spreadsheetml/2009/9/main" objectType="Radio" lockText="1" noThreeD="1"/>
</file>

<file path=xl/ctrlProps/ctrlProp384.xml><?xml version="1.0" encoding="utf-8"?>
<formControlPr xmlns="http://schemas.microsoft.com/office/spreadsheetml/2009/9/main" objectType="Radio" checked="Checked" lockText="1" noThreeD="1"/>
</file>

<file path=xl/ctrlProps/ctrlProp385.xml><?xml version="1.0" encoding="utf-8"?>
<formControlPr xmlns="http://schemas.microsoft.com/office/spreadsheetml/2009/9/main" objectType="Radio" checked="Checked" lockText="1" noThreeD="1"/>
</file>

<file path=xl/ctrlProps/ctrlProp386.xml><?xml version="1.0" encoding="utf-8"?>
<formControlPr xmlns="http://schemas.microsoft.com/office/spreadsheetml/2009/9/main" objectType="Radio" lockText="1" noThreeD="1"/>
</file>

<file path=xl/ctrlProps/ctrlProp387.xml><?xml version="1.0" encoding="utf-8"?>
<formControlPr xmlns="http://schemas.microsoft.com/office/spreadsheetml/2009/9/main" objectType="Radio" firstButton="1" fmlaLink="$O$11" lockText="1" noThreeD="1"/>
</file>

<file path=xl/ctrlProps/ctrlProp388.xml><?xml version="1.0" encoding="utf-8"?>
<formControlPr xmlns="http://schemas.microsoft.com/office/spreadsheetml/2009/9/main" objectType="Radio" lockText="1" noThreeD="1"/>
</file>

<file path=xl/ctrlProps/ctrlProp389.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Radio" lockText="1" noThreeD="1"/>
</file>

<file path=xl/ctrlProps/ctrlProp391.xml><?xml version="1.0" encoding="utf-8"?>
<formControlPr xmlns="http://schemas.microsoft.com/office/spreadsheetml/2009/9/main" objectType="Radio" checked="Checked" lockText="1" noThreeD="1"/>
</file>

<file path=xl/ctrlProps/ctrlProp392.xml><?xml version="1.0" encoding="utf-8"?>
<formControlPr xmlns="http://schemas.microsoft.com/office/spreadsheetml/2009/9/main" objectType="GBox" noThreeD="1"/>
</file>

<file path=xl/ctrlProps/ctrlProp393.xml><?xml version="1.0" encoding="utf-8"?>
<formControlPr xmlns="http://schemas.microsoft.com/office/spreadsheetml/2009/9/main" objectType="Radio" firstButton="1" fmlaLink="$O$12" lockText="1" noThreeD="1"/>
</file>

<file path=xl/ctrlProps/ctrlProp394.xml><?xml version="1.0" encoding="utf-8"?>
<formControlPr xmlns="http://schemas.microsoft.com/office/spreadsheetml/2009/9/main" objectType="Radio" lockText="1" noThreeD="1"/>
</file>

<file path=xl/ctrlProps/ctrlProp395.xml><?xml version="1.0" encoding="utf-8"?>
<formControlPr xmlns="http://schemas.microsoft.com/office/spreadsheetml/2009/9/main" objectType="Radio" lockText="1" noThreeD="1"/>
</file>

<file path=xl/ctrlProps/ctrlProp396.xml><?xml version="1.0" encoding="utf-8"?>
<formControlPr xmlns="http://schemas.microsoft.com/office/spreadsheetml/2009/9/main" objectType="Radio" checked="Checked" lockText="1" noThreeD="1"/>
</file>

<file path=xl/ctrlProps/ctrlProp397.xml><?xml version="1.0" encoding="utf-8"?>
<formControlPr xmlns="http://schemas.microsoft.com/office/spreadsheetml/2009/9/main" objectType="Radio" lockText="1" noThreeD="1"/>
</file>

<file path=xl/ctrlProps/ctrlProp398.xml><?xml version="1.0" encoding="utf-8"?>
<formControlPr xmlns="http://schemas.microsoft.com/office/spreadsheetml/2009/9/main" objectType="GBox" noThreeD="1"/>
</file>

<file path=xl/ctrlProps/ctrlProp399.xml><?xml version="1.0" encoding="utf-8"?>
<formControlPr xmlns="http://schemas.microsoft.com/office/spreadsheetml/2009/9/main" objectType="Radio" firstButton="1" fmlaLink="$O$13"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Radio" lockText="1" noThreeD="1"/>
</file>

<file path=xl/ctrlProps/ctrlProp401.xml><?xml version="1.0" encoding="utf-8"?>
<formControlPr xmlns="http://schemas.microsoft.com/office/spreadsheetml/2009/9/main" objectType="Radio" lockText="1" noThreeD="1"/>
</file>

<file path=xl/ctrlProps/ctrlProp402.xml><?xml version="1.0" encoding="utf-8"?>
<formControlPr xmlns="http://schemas.microsoft.com/office/spreadsheetml/2009/9/main" objectType="Radio" lockText="1" noThreeD="1"/>
</file>

<file path=xl/ctrlProps/ctrlProp403.xml><?xml version="1.0" encoding="utf-8"?>
<formControlPr xmlns="http://schemas.microsoft.com/office/spreadsheetml/2009/9/main" objectType="Radio" checked="Checked" lockText="1" noThreeD="1"/>
</file>

<file path=xl/ctrlProps/ctrlProp404.xml><?xml version="1.0" encoding="utf-8"?>
<formControlPr xmlns="http://schemas.microsoft.com/office/spreadsheetml/2009/9/main" objectType="GBox" noThreeD="1"/>
</file>

<file path=xl/ctrlProps/ctrlProp405.xml><?xml version="1.0" encoding="utf-8"?>
<formControlPr xmlns="http://schemas.microsoft.com/office/spreadsheetml/2009/9/main" objectType="Radio" firstButton="1" fmlaLink="$O$14" lockText="1" noThreeD="1"/>
</file>

<file path=xl/ctrlProps/ctrlProp406.xml><?xml version="1.0" encoding="utf-8"?>
<formControlPr xmlns="http://schemas.microsoft.com/office/spreadsheetml/2009/9/main" objectType="Radio" lockText="1" noThreeD="1"/>
</file>

<file path=xl/ctrlProps/ctrlProp407.xml><?xml version="1.0" encoding="utf-8"?>
<formControlPr xmlns="http://schemas.microsoft.com/office/spreadsheetml/2009/9/main" objectType="Radio" checked="Checked" lockText="1" noThreeD="1"/>
</file>

<file path=xl/ctrlProps/ctrlProp408.xml><?xml version="1.0" encoding="utf-8"?>
<formControlPr xmlns="http://schemas.microsoft.com/office/spreadsheetml/2009/9/main" objectType="Radio" lockText="1" noThreeD="1"/>
</file>

<file path=xl/ctrlProps/ctrlProp409.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GBox" noThreeD="1"/>
</file>

<file path=xl/ctrlProps/ctrlProp411.xml><?xml version="1.0" encoding="utf-8"?>
<formControlPr xmlns="http://schemas.microsoft.com/office/spreadsheetml/2009/9/main" objectType="Radio" firstButton="1" fmlaLink="$O$15" lockText="1" noThreeD="1"/>
</file>

<file path=xl/ctrlProps/ctrlProp412.xml><?xml version="1.0" encoding="utf-8"?>
<formControlPr xmlns="http://schemas.microsoft.com/office/spreadsheetml/2009/9/main" objectType="Radio" checked="Checked" lockText="1" noThreeD="1"/>
</file>

<file path=xl/ctrlProps/ctrlProp413.xml><?xml version="1.0" encoding="utf-8"?>
<formControlPr xmlns="http://schemas.microsoft.com/office/spreadsheetml/2009/9/main" objectType="Radio" lockText="1" noThreeD="1"/>
</file>

<file path=xl/ctrlProps/ctrlProp414.xml><?xml version="1.0" encoding="utf-8"?>
<formControlPr xmlns="http://schemas.microsoft.com/office/spreadsheetml/2009/9/main" objectType="Radio" lockText="1" noThreeD="1"/>
</file>

<file path=xl/ctrlProps/ctrlProp415.xml><?xml version="1.0" encoding="utf-8"?>
<formControlPr xmlns="http://schemas.microsoft.com/office/spreadsheetml/2009/9/main" objectType="Radio" lockText="1" noThreeD="1"/>
</file>

<file path=xl/ctrlProps/ctrlProp416.xml><?xml version="1.0" encoding="utf-8"?>
<formControlPr xmlns="http://schemas.microsoft.com/office/spreadsheetml/2009/9/main" objectType="GBox" noThreeD="1"/>
</file>

<file path=xl/ctrlProps/ctrlProp417.xml><?xml version="1.0" encoding="utf-8"?>
<formControlPr xmlns="http://schemas.microsoft.com/office/spreadsheetml/2009/9/main" objectType="Radio" firstButton="1" fmlaLink="$O$16" lockText="1" noThreeD="1"/>
</file>

<file path=xl/ctrlProps/ctrlProp418.xml><?xml version="1.0" encoding="utf-8"?>
<formControlPr xmlns="http://schemas.microsoft.com/office/spreadsheetml/2009/9/main" objectType="Radio" checked="Checked" lockText="1" noThreeD="1"/>
</file>

<file path=xl/ctrlProps/ctrlProp419.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Radio" lockText="1" noThreeD="1"/>
</file>

<file path=xl/ctrlProps/ctrlProp421.xml><?xml version="1.0" encoding="utf-8"?>
<formControlPr xmlns="http://schemas.microsoft.com/office/spreadsheetml/2009/9/main" objectType="Radio" lockText="1" noThreeD="1"/>
</file>

<file path=xl/ctrlProps/ctrlProp422.xml><?xml version="1.0" encoding="utf-8"?>
<formControlPr xmlns="http://schemas.microsoft.com/office/spreadsheetml/2009/9/main" objectType="GBox" noThreeD="1"/>
</file>

<file path=xl/ctrlProps/ctrlProp423.xml><?xml version="1.0" encoding="utf-8"?>
<formControlPr xmlns="http://schemas.microsoft.com/office/spreadsheetml/2009/9/main" objectType="Radio" firstButton="1" fmlaLink="$O$17" lockText="1" noThreeD="1"/>
</file>

<file path=xl/ctrlProps/ctrlProp424.xml><?xml version="1.0" encoding="utf-8"?>
<formControlPr xmlns="http://schemas.microsoft.com/office/spreadsheetml/2009/9/main" objectType="Radio" lockText="1" noThreeD="1"/>
</file>

<file path=xl/ctrlProps/ctrlProp425.xml><?xml version="1.0" encoding="utf-8"?>
<formControlPr xmlns="http://schemas.microsoft.com/office/spreadsheetml/2009/9/main" objectType="Radio" lockText="1" noThreeD="1"/>
</file>

<file path=xl/ctrlProps/ctrlProp426.xml><?xml version="1.0" encoding="utf-8"?>
<formControlPr xmlns="http://schemas.microsoft.com/office/spreadsheetml/2009/9/main" objectType="Radio" lockText="1" noThreeD="1"/>
</file>

<file path=xl/ctrlProps/ctrlProp427.xml><?xml version="1.0" encoding="utf-8"?>
<formControlPr xmlns="http://schemas.microsoft.com/office/spreadsheetml/2009/9/main" objectType="Radio" checked="Checked" lockText="1" noThreeD="1"/>
</file>

<file path=xl/ctrlProps/ctrlProp428.xml><?xml version="1.0" encoding="utf-8"?>
<formControlPr xmlns="http://schemas.microsoft.com/office/spreadsheetml/2009/9/main" objectType="Radio" firstButton="1" fmlaLink="$O$20" lockText="1" noThreeD="1"/>
</file>

<file path=xl/ctrlProps/ctrlProp429.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Radio" lockText="1" noThreeD="1"/>
</file>

<file path=xl/ctrlProps/ctrlProp431.xml><?xml version="1.0" encoding="utf-8"?>
<formControlPr xmlns="http://schemas.microsoft.com/office/spreadsheetml/2009/9/main" objectType="Radio" lockText="1" noThreeD="1"/>
</file>

<file path=xl/ctrlProps/ctrlProp432.xml><?xml version="1.0" encoding="utf-8"?>
<formControlPr xmlns="http://schemas.microsoft.com/office/spreadsheetml/2009/9/main" objectType="GBox" noThreeD="1"/>
</file>

<file path=xl/ctrlProps/ctrlProp433.xml><?xml version="1.0" encoding="utf-8"?>
<formControlPr xmlns="http://schemas.microsoft.com/office/spreadsheetml/2009/9/main" objectType="Radio" checked="Checked" lockText="1" noThreeD="1"/>
</file>

<file path=xl/ctrlProps/ctrlProp434.xml><?xml version="1.0" encoding="utf-8"?>
<formControlPr xmlns="http://schemas.microsoft.com/office/spreadsheetml/2009/9/main" objectType="GBox" noThreeD="1"/>
</file>

<file path=xl/ctrlProps/ctrlProp435.xml><?xml version="1.0" encoding="utf-8"?>
<formControlPr xmlns="http://schemas.microsoft.com/office/spreadsheetml/2009/9/main" objectType="GBox" noThreeD="1"/>
</file>

<file path=xl/ctrlProps/ctrlProp436.xml><?xml version="1.0" encoding="utf-8"?>
<formControlPr xmlns="http://schemas.microsoft.com/office/spreadsheetml/2009/9/main" objectType="GBox" noThreeD="1"/>
</file>

<file path=xl/ctrlProps/ctrlProp437.xml><?xml version="1.0" encoding="utf-8"?>
<formControlPr xmlns="http://schemas.microsoft.com/office/spreadsheetml/2009/9/main" objectType="GBox" noThreeD="1"/>
</file>

<file path=xl/ctrlProps/ctrlProp438.xml><?xml version="1.0" encoding="utf-8"?>
<formControlPr xmlns="http://schemas.microsoft.com/office/spreadsheetml/2009/9/main" objectType="GBox" noThreeD="1"/>
</file>

<file path=xl/ctrlProps/ctrlProp439.xml><?xml version="1.0" encoding="utf-8"?>
<formControlPr xmlns="http://schemas.microsoft.com/office/spreadsheetml/2009/9/main" objectType="GBox"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GBox" noThreeD="1"/>
</file>

<file path=xl/ctrlProps/ctrlProp441.xml><?xml version="1.0" encoding="utf-8"?>
<formControlPr xmlns="http://schemas.microsoft.com/office/spreadsheetml/2009/9/main" objectType="Radio" firstButton="1" fmlaLink="$AB$24" lockText="1" noThreeD="1"/>
</file>

<file path=xl/ctrlProps/ctrlProp442.xml><?xml version="1.0" encoding="utf-8"?>
<formControlPr xmlns="http://schemas.microsoft.com/office/spreadsheetml/2009/9/main" objectType="Radio" firstButton="1" fmlaLink="$AB$25" lockText="1" noThreeD="1"/>
</file>

<file path=xl/ctrlProps/ctrlProp443.xml><?xml version="1.0" encoding="utf-8"?>
<formControlPr xmlns="http://schemas.microsoft.com/office/spreadsheetml/2009/9/main" objectType="Radio" firstButton="1" fmlaLink="$AB$26" lockText="1" noThreeD="1"/>
</file>

<file path=xl/ctrlProps/ctrlProp444.xml><?xml version="1.0" encoding="utf-8"?>
<formControlPr xmlns="http://schemas.microsoft.com/office/spreadsheetml/2009/9/main" objectType="Radio" firstButton="1" fmlaLink="$AB$27" lockText="1" noThreeD="1"/>
</file>

<file path=xl/ctrlProps/ctrlProp445.xml><?xml version="1.0" encoding="utf-8"?>
<formControlPr xmlns="http://schemas.microsoft.com/office/spreadsheetml/2009/9/main" objectType="Radio" firstButton="1" fmlaLink="$AB$28" lockText="1" noThreeD="1"/>
</file>

<file path=xl/ctrlProps/ctrlProp446.xml><?xml version="1.0" encoding="utf-8"?>
<formControlPr xmlns="http://schemas.microsoft.com/office/spreadsheetml/2009/9/main" objectType="Radio" firstButton="1" fmlaLink="$AB$29" lockText="1" noThreeD="1"/>
</file>

<file path=xl/ctrlProps/ctrlProp447.xml><?xml version="1.0" encoding="utf-8"?>
<formControlPr xmlns="http://schemas.microsoft.com/office/spreadsheetml/2009/9/main" objectType="Radio" firstButton="1" fmlaLink="$AB$30" lockText="1" noThreeD="1"/>
</file>

<file path=xl/ctrlProps/ctrlProp448.xml><?xml version="1.0" encoding="utf-8"?>
<formControlPr xmlns="http://schemas.microsoft.com/office/spreadsheetml/2009/9/main" objectType="Radio" firstButton="1" fmlaLink="$AB$31" lockText="1" noThreeD="1"/>
</file>

<file path=xl/ctrlProps/ctrlProp449.xml><?xml version="1.0" encoding="utf-8"?>
<formControlPr xmlns="http://schemas.microsoft.com/office/spreadsheetml/2009/9/main" objectType="Radio" firstButton="1" fmlaLink="$AB$32" lockText="1" noThreeD="1"/>
</file>

<file path=xl/ctrlProps/ctrlProp45.xml><?xml version="1.0" encoding="utf-8"?>
<formControlPr xmlns="http://schemas.microsoft.com/office/spreadsheetml/2009/9/main" objectType="CheckBox" checked="Checked" lockText="1" noThreeD="1"/>
</file>

<file path=xl/ctrlProps/ctrlProp450.xml><?xml version="1.0" encoding="utf-8"?>
<formControlPr xmlns="http://schemas.microsoft.com/office/spreadsheetml/2009/9/main" objectType="Radio" firstButton="1" fmlaLink="$AB$33" lockText="1" noThreeD="1"/>
</file>

<file path=xl/ctrlProps/ctrlProp451.xml><?xml version="1.0" encoding="utf-8"?>
<formControlPr xmlns="http://schemas.microsoft.com/office/spreadsheetml/2009/9/main" objectType="Radio" firstButton="1" fmlaLink="$AB$34" lockText="1" noThreeD="1"/>
</file>

<file path=xl/ctrlProps/ctrlProp452.xml><?xml version="1.0" encoding="utf-8"?>
<formControlPr xmlns="http://schemas.microsoft.com/office/spreadsheetml/2009/9/main" objectType="Radio" firstButton="1" fmlaLink="$AB$35" lockText="1" noThreeD="1"/>
</file>

<file path=xl/ctrlProps/ctrlProp453.xml><?xml version="1.0" encoding="utf-8"?>
<formControlPr xmlns="http://schemas.microsoft.com/office/spreadsheetml/2009/9/main" objectType="Radio" firstButton="1" fmlaLink="$AB$36" lockText="1" noThreeD="1"/>
</file>

<file path=xl/ctrlProps/ctrlProp454.xml><?xml version="1.0" encoding="utf-8"?>
<formControlPr xmlns="http://schemas.microsoft.com/office/spreadsheetml/2009/9/main" objectType="Radio" lockText="1" noThreeD="1"/>
</file>

<file path=xl/ctrlProps/ctrlProp455.xml><?xml version="1.0" encoding="utf-8"?>
<formControlPr xmlns="http://schemas.microsoft.com/office/spreadsheetml/2009/9/main" objectType="Radio" lockText="1" noThreeD="1"/>
</file>

<file path=xl/ctrlProps/ctrlProp456.xml><?xml version="1.0" encoding="utf-8"?>
<formControlPr xmlns="http://schemas.microsoft.com/office/spreadsheetml/2009/9/main" objectType="Radio" lockText="1" noThreeD="1"/>
</file>

<file path=xl/ctrlProps/ctrlProp457.xml><?xml version="1.0" encoding="utf-8"?>
<formControlPr xmlns="http://schemas.microsoft.com/office/spreadsheetml/2009/9/main" objectType="Radio" lockText="1" noThreeD="1"/>
</file>

<file path=xl/ctrlProps/ctrlProp458.xml><?xml version="1.0" encoding="utf-8"?>
<formControlPr xmlns="http://schemas.microsoft.com/office/spreadsheetml/2009/9/main" objectType="Radio" lockText="1" noThreeD="1"/>
</file>

<file path=xl/ctrlProps/ctrlProp459.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Radio" lockText="1" noThreeD="1"/>
</file>

<file path=xl/ctrlProps/ctrlProp461.xml><?xml version="1.0" encoding="utf-8"?>
<formControlPr xmlns="http://schemas.microsoft.com/office/spreadsheetml/2009/9/main" objectType="Radio" lockText="1" noThreeD="1"/>
</file>

<file path=xl/ctrlProps/ctrlProp462.xml><?xml version="1.0" encoding="utf-8"?>
<formControlPr xmlns="http://schemas.microsoft.com/office/spreadsheetml/2009/9/main" objectType="Radio" lockText="1" noThreeD="1"/>
</file>

<file path=xl/ctrlProps/ctrlProp463.xml><?xml version="1.0" encoding="utf-8"?>
<formControlPr xmlns="http://schemas.microsoft.com/office/spreadsheetml/2009/9/main" objectType="Radio" lockText="1" noThreeD="1"/>
</file>

<file path=xl/ctrlProps/ctrlProp464.xml><?xml version="1.0" encoding="utf-8"?>
<formControlPr xmlns="http://schemas.microsoft.com/office/spreadsheetml/2009/9/main" objectType="Radio" lockText="1" noThreeD="1"/>
</file>

<file path=xl/ctrlProps/ctrlProp465.xml><?xml version="1.0" encoding="utf-8"?>
<formControlPr xmlns="http://schemas.microsoft.com/office/spreadsheetml/2009/9/main" objectType="Radio" lockText="1" noThreeD="1"/>
</file>

<file path=xl/ctrlProps/ctrlProp466.xml><?xml version="1.0" encoding="utf-8"?>
<formControlPr xmlns="http://schemas.microsoft.com/office/spreadsheetml/2009/9/main" objectType="Radio" lockText="1" noThreeD="1"/>
</file>

<file path=xl/ctrlProps/ctrlProp467.xml><?xml version="1.0" encoding="utf-8"?>
<formControlPr xmlns="http://schemas.microsoft.com/office/spreadsheetml/2009/9/main" objectType="Radio" lockText="1" noThreeD="1"/>
</file>

<file path=xl/ctrlProps/ctrlProp468.xml><?xml version="1.0" encoding="utf-8"?>
<formControlPr xmlns="http://schemas.microsoft.com/office/spreadsheetml/2009/9/main" objectType="Radio" checked="Checked" lockText="1" noThreeD="1"/>
</file>

<file path=xl/ctrlProps/ctrlProp469.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lockText="1" noThreeD="1"/>
</file>

<file path=xl/ctrlProps/ctrlProp470.xml><?xml version="1.0" encoding="utf-8"?>
<formControlPr xmlns="http://schemas.microsoft.com/office/spreadsheetml/2009/9/main" objectType="Radio" checked="Checked" lockText="1" noThreeD="1"/>
</file>

<file path=xl/ctrlProps/ctrlProp471.xml><?xml version="1.0" encoding="utf-8"?>
<formControlPr xmlns="http://schemas.microsoft.com/office/spreadsheetml/2009/9/main" objectType="Radio" lockText="1" noThreeD="1"/>
</file>

<file path=xl/ctrlProps/ctrlProp472.xml><?xml version="1.0" encoding="utf-8"?>
<formControlPr xmlns="http://schemas.microsoft.com/office/spreadsheetml/2009/9/main" objectType="Radio" checked="Checked" lockText="1" noThreeD="1"/>
</file>

<file path=xl/ctrlProps/ctrlProp473.xml><?xml version="1.0" encoding="utf-8"?>
<formControlPr xmlns="http://schemas.microsoft.com/office/spreadsheetml/2009/9/main" objectType="Radio" lockText="1" noThreeD="1"/>
</file>

<file path=xl/ctrlProps/ctrlProp474.xml><?xml version="1.0" encoding="utf-8"?>
<formControlPr xmlns="http://schemas.microsoft.com/office/spreadsheetml/2009/9/main" objectType="Radio" lockText="1" noThreeD="1"/>
</file>

<file path=xl/ctrlProps/ctrlProp475.xml><?xml version="1.0" encoding="utf-8"?>
<formControlPr xmlns="http://schemas.microsoft.com/office/spreadsheetml/2009/9/main" objectType="Radio" lockText="1" noThreeD="1"/>
</file>

<file path=xl/ctrlProps/ctrlProp476.xml><?xml version="1.0" encoding="utf-8"?>
<formControlPr xmlns="http://schemas.microsoft.com/office/spreadsheetml/2009/9/main" objectType="Radio" lockText="1" noThreeD="1"/>
</file>

<file path=xl/ctrlProps/ctrlProp477.xml><?xml version="1.0" encoding="utf-8"?>
<formControlPr xmlns="http://schemas.microsoft.com/office/spreadsheetml/2009/9/main" objectType="Radio" lockText="1" noThreeD="1"/>
</file>

<file path=xl/ctrlProps/ctrlProp478.xml><?xml version="1.0" encoding="utf-8"?>
<formControlPr xmlns="http://schemas.microsoft.com/office/spreadsheetml/2009/9/main" objectType="Radio" lockText="1" noThreeD="1"/>
</file>

<file path=xl/ctrlProps/ctrlProp479.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Radio" lockText="1" noThreeD="1"/>
</file>

<file path=xl/ctrlProps/ctrlProp481.xml><?xml version="1.0" encoding="utf-8"?>
<formControlPr xmlns="http://schemas.microsoft.com/office/spreadsheetml/2009/9/main" objectType="Radio" lockText="1" noThreeD="1"/>
</file>

<file path=xl/ctrlProps/ctrlProp482.xml><?xml version="1.0" encoding="utf-8"?>
<formControlPr xmlns="http://schemas.microsoft.com/office/spreadsheetml/2009/9/main" objectType="Radio" checked="Checked" lockText="1" noThreeD="1"/>
</file>

<file path=xl/ctrlProps/ctrlProp483.xml><?xml version="1.0" encoding="utf-8"?>
<formControlPr xmlns="http://schemas.microsoft.com/office/spreadsheetml/2009/9/main" objectType="Radio" lockText="1" noThreeD="1"/>
</file>

<file path=xl/ctrlProps/ctrlProp484.xml><?xml version="1.0" encoding="utf-8"?>
<formControlPr xmlns="http://schemas.microsoft.com/office/spreadsheetml/2009/9/main" objectType="Radio" lockText="1" noThreeD="1"/>
</file>

<file path=xl/ctrlProps/ctrlProp485.xml><?xml version="1.0" encoding="utf-8"?>
<formControlPr xmlns="http://schemas.microsoft.com/office/spreadsheetml/2009/9/main" objectType="Radio" lockText="1" noThreeD="1"/>
</file>

<file path=xl/ctrlProps/ctrlProp486.xml><?xml version="1.0" encoding="utf-8"?>
<formControlPr xmlns="http://schemas.microsoft.com/office/spreadsheetml/2009/9/main" objectType="Radio" lockText="1" noThreeD="1"/>
</file>

<file path=xl/ctrlProps/ctrlProp487.xml><?xml version="1.0" encoding="utf-8"?>
<formControlPr xmlns="http://schemas.microsoft.com/office/spreadsheetml/2009/9/main" objectType="Radio" lockText="1" noThreeD="1"/>
</file>

<file path=xl/ctrlProps/ctrlProp488.xml><?xml version="1.0" encoding="utf-8"?>
<formControlPr xmlns="http://schemas.microsoft.com/office/spreadsheetml/2009/9/main" objectType="Radio" lockText="1" noThreeD="1"/>
</file>

<file path=xl/ctrlProps/ctrlProp489.xml><?xml version="1.0" encoding="utf-8"?>
<formControlPr xmlns="http://schemas.microsoft.com/office/spreadsheetml/2009/9/main" objectType="Radio" checked="Checked"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Radio" lockText="1" noThreeD="1"/>
</file>

<file path=xl/ctrlProps/ctrlProp491.xml><?xml version="1.0" encoding="utf-8"?>
<formControlPr xmlns="http://schemas.microsoft.com/office/spreadsheetml/2009/9/main" objectType="Radio" lockText="1" noThreeD="1"/>
</file>

<file path=xl/ctrlProps/ctrlProp492.xml><?xml version="1.0" encoding="utf-8"?>
<formControlPr xmlns="http://schemas.microsoft.com/office/spreadsheetml/2009/9/main" objectType="Radio" lockText="1" noThreeD="1"/>
</file>

<file path=xl/ctrlProps/ctrlProp493.xml><?xml version="1.0" encoding="utf-8"?>
<formControlPr xmlns="http://schemas.microsoft.com/office/spreadsheetml/2009/9/main" objectType="Radio" firstButton="1" fmlaLink="$AB$37" lockText="1" noThreeD="1"/>
</file>

<file path=xl/ctrlProps/ctrlProp494.xml><?xml version="1.0" encoding="utf-8"?>
<formControlPr xmlns="http://schemas.microsoft.com/office/spreadsheetml/2009/9/main" objectType="Radio" lockText="1" noThreeD="1"/>
</file>

<file path=xl/ctrlProps/ctrlProp495.xml><?xml version="1.0" encoding="utf-8"?>
<formControlPr xmlns="http://schemas.microsoft.com/office/spreadsheetml/2009/9/main" objectType="Radio" lockText="1" noThreeD="1"/>
</file>

<file path=xl/ctrlProps/ctrlProp496.xml><?xml version="1.0" encoding="utf-8"?>
<formControlPr xmlns="http://schemas.microsoft.com/office/spreadsheetml/2009/9/main" objectType="Radio" checked="Checked" lockText="1" noThreeD="1"/>
</file>

<file path=xl/ctrlProps/ctrlProp497.xml><?xml version="1.0" encoding="utf-8"?>
<formControlPr xmlns="http://schemas.microsoft.com/office/spreadsheetml/2009/9/main" objectType="Radio" lockText="1" noThreeD="1"/>
</file>

<file path=xl/ctrlProps/ctrlProp498.xml><?xml version="1.0" encoding="utf-8"?>
<formControlPr xmlns="http://schemas.microsoft.com/office/spreadsheetml/2009/9/main" objectType="GBox" noThreeD="1"/>
</file>

<file path=xl/ctrlProps/ctrlProp499.xml><?xml version="1.0" encoding="utf-8"?>
<formControlPr xmlns="http://schemas.microsoft.com/office/spreadsheetml/2009/9/main" objectType="Radio" firstButton="1" fmlaLink="$AB$48"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Radio" firstButton="1" fmlaLink="$AB$49" lockText="1" noThreeD="1"/>
</file>

<file path=xl/ctrlProps/ctrlProp501.xml><?xml version="1.0" encoding="utf-8"?>
<formControlPr xmlns="http://schemas.microsoft.com/office/spreadsheetml/2009/9/main" objectType="Radio" firstButton="1" fmlaLink="$AB$50" lockText="1" noThreeD="1"/>
</file>

<file path=xl/ctrlProps/ctrlProp502.xml><?xml version="1.0" encoding="utf-8"?>
<formControlPr xmlns="http://schemas.microsoft.com/office/spreadsheetml/2009/9/main" objectType="Radio" lockText="1" noThreeD="1"/>
</file>

<file path=xl/ctrlProps/ctrlProp503.xml><?xml version="1.0" encoding="utf-8"?>
<formControlPr xmlns="http://schemas.microsoft.com/office/spreadsheetml/2009/9/main" objectType="Radio" lockText="1" noThreeD="1"/>
</file>

<file path=xl/ctrlProps/ctrlProp504.xml><?xml version="1.0" encoding="utf-8"?>
<formControlPr xmlns="http://schemas.microsoft.com/office/spreadsheetml/2009/9/main" objectType="Radio" lockText="1" noThreeD="1"/>
</file>

<file path=xl/ctrlProps/ctrlProp505.xml><?xml version="1.0" encoding="utf-8"?>
<formControlPr xmlns="http://schemas.microsoft.com/office/spreadsheetml/2009/9/main" objectType="Radio" lockText="1" noThreeD="1"/>
</file>

<file path=xl/ctrlProps/ctrlProp506.xml><?xml version="1.0" encoding="utf-8"?>
<formControlPr xmlns="http://schemas.microsoft.com/office/spreadsheetml/2009/9/main" objectType="Radio" lockText="1" noThreeD="1"/>
</file>

<file path=xl/ctrlProps/ctrlProp507.xml><?xml version="1.0" encoding="utf-8"?>
<formControlPr xmlns="http://schemas.microsoft.com/office/spreadsheetml/2009/9/main" objectType="Radio" lockText="1" noThreeD="1"/>
</file>

<file path=xl/ctrlProps/ctrlProp508.xml><?xml version="1.0" encoding="utf-8"?>
<formControlPr xmlns="http://schemas.microsoft.com/office/spreadsheetml/2009/9/main" objectType="Radio" checked="Checked" lockText="1" noThreeD="1"/>
</file>

<file path=xl/ctrlProps/ctrlProp509.xml><?xml version="1.0" encoding="utf-8"?>
<formControlPr xmlns="http://schemas.microsoft.com/office/spreadsheetml/2009/9/main" objectType="Radio" checked="Checked" lockText="1" noThreeD="1"/>
</file>

<file path=xl/ctrlProps/ctrlProp51.xml><?xml version="1.0" encoding="utf-8"?>
<formControlPr xmlns="http://schemas.microsoft.com/office/spreadsheetml/2009/9/main" objectType="CheckBox" checked="Checked" lockText="1" noThreeD="1"/>
</file>

<file path=xl/ctrlProps/ctrlProp510.xml><?xml version="1.0" encoding="utf-8"?>
<formControlPr xmlns="http://schemas.microsoft.com/office/spreadsheetml/2009/9/main" objectType="Radio" lockText="1" noThreeD="1"/>
</file>

<file path=xl/ctrlProps/ctrlProp511.xml><?xml version="1.0" encoding="utf-8"?>
<formControlPr xmlns="http://schemas.microsoft.com/office/spreadsheetml/2009/9/main" objectType="Radio" lockText="1" noThreeD="1"/>
</file>

<file path=xl/ctrlProps/ctrlProp512.xml><?xml version="1.0" encoding="utf-8"?>
<formControlPr xmlns="http://schemas.microsoft.com/office/spreadsheetml/2009/9/main" objectType="Radio" lockText="1" noThreeD="1"/>
</file>

<file path=xl/ctrlProps/ctrlProp513.xml><?xml version="1.0" encoding="utf-8"?>
<formControlPr xmlns="http://schemas.microsoft.com/office/spreadsheetml/2009/9/main" objectType="Radio" lockText="1" noThreeD="1"/>
</file>

<file path=xl/ctrlProps/ctrlProp514.xml><?xml version="1.0" encoding="utf-8"?>
<formControlPr xmlns="http://schemas.microsoft.com/office/spreadsheetml/2009/9/main" objectType="GBox" noThreeD="1"/>
</file>

<file path=xl/ctrlProps/ctrlProp515.xml><?xml version="1.0" encoding="utf-8"?>
<formControlPr xmlns="http://schemas.microsoft.com/office/spreadsheetml/2009/9/main" objectType="GBox" noThreeD="1"/>
</file>

<file path=xl/ctrlProps/ctrlProp516.xml><?xml version="1.0" encoding="utf-8"?>
<formControlPr xmlns="http://schemas.microsoft.com/office/spreadsheetml/2009/9/main" objectType="GBox" noThreeD="1"/>
</file>

<file path=xl/ctrlProps/ctrlProp517.xml><?xml version="1.0" encoding="utf-8"?>
<formControlPr xmlns="http://schemas.microsoft.com/office/spreadsheetml/2009/9/main" objectType="Radio" firstButton="1" fmlaLink="$AB$61" lockText="1" noThreeD="1"/>
</file>

<file path=xl/ctrlProps/ctrlProp518.xml><?xml version="1.0" encoding="utf-8"?>
<formControlPr xmlns="http://schemas.microsoft.com/office/spreadsheetml/2009/9/main" objectType="Radio" firstButton="1" fmlaLink="$AB$62" lockText="1" noThreeD="1"/>
</file>

<file path=xl/ctrlProps/ctrlProp519.xml><?xml version="1.0" encoding="utf-8"?>
<formControlPr xmlns="http://schemas.microsoft.com/office/spreadsheetml/2009/9/main" objectType="Radio" firstButton="1" fmlaLink="$AB$63"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Radio" lockText="1" noThreeD="1"/>
</file>

<file path=xl/ctrlProps/ctrlProp521.xml><?xml version="1.0" encoding="utf-8"?>
<formControlPr xmlns="http://schemas.microsoft.com/office/spreadsheetml/2009/9/main" objectType="Radio" lockText="1" noThreeD="1"/>
</file>

<file path=xl/ctrlProps/ctrlProp522.xml><?xml version="1.0" encoding="utf-8"?>
<formControlPr xmlns="http://schemas.microsoft.com/office/spreadsheetml/2009/9/main" objectType="Radio" lockText="1" noThreeD="1"/>
</file>

<file path=xl/ctrlProps/ctrlProp523.xml><?xml version="1.0" encoding="utf-8"?>
<formControlPr xmlns="http://schemas.microsoft.com/office/spreadsheetml/2009/9/main" objectType="Radio" lockText="1" noThreeD="1"/>
</file>

<file path=xl/ctrlProps/ctrlProp524.xml><?xml version="1.0" encoding="utf-8"?>
<formControlPr xmlns="http://schemas.microsoft.com/office/spreadsheetml/2009/9/main" objectType="Radio" lockText="1" noThreeD="1"/>
</file>

<file path=xl/ctrlProps/ctrlProp525.xml><?xml version="1.0" encoding="utf-8"?>
<formControlPr xmlns="http://schemas.microsoft.com/office/spreadsheetml/2009/9/main" objectType="Radio" lockText="1" noThreeD="1"/>
</file>

<file path=xl/ctrlProps/ctrlProp526.xml><?xml version="1.0" encoding="utf-8"?>
<formControlPr xmlns="http://schemas.microsoft.com/office/spreadsheetml/2009/9/main" objectType="Radio" lockText="1" noThreeD="1"/>
</file>

<file path=xl/ctrlProps/ctrlProp527.xml><?xml version="1.0" encoding="utf-8"?>
<formControlPr xmlns="http://schemas.microsoft.com/office/spreadsheetml/2009/9/main" objectType="Radio" lockText="1" noThreeD="1"/>
</file>

<file path=xl/ctrlProps/ctrlProp528.xml><?xml version="1.0" encoding="utf-8"?>
<formControlPr xmlns="http://schemas.microsoft.com/office/spreadsheetml/2009/9/main" objectType="Radio" lockText="1" noThreeD="1"/>
</file>

<file path=xl/ctrlProps/ctrlProp529.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Radio" lockText="1" noThreeD="1"/>
</file>

<file path=xl/ctrlProps/ctrlProp531.xml><?xml version="1.0" encoding="utf-8"?>
<formControlPr xmlns="http://schemas.microsoft.com/office/spreadsheetml/2009/9/main" objectType="Radio" lockText="1" noThreeD="1"/>
</file>

<file path=xl/ctrlProps/ctrlProp532.xml><?xml version="1.0" encoding="utf-8"?>
<formControlPr xmlns="http://schemas.microsoft.com/office/spreadsheetml/2009/9/main" objectType="GBox" noThreeD="1"/>
</file>

<file path=xl/ctrlProps/ctrlProp533.xml><?xml version="1.0" encoding="utf-8"?>
<formControlPr xmlns="http://schemas.microsoft.com/office/spreadsheetml/2009/9/main" objectType="Radio" firstButton="1" fmlaLink="$AB$240" lockText="1" noThreeD="1"/>
</file>

<file path=xl/ctrlProps/ctrlProp534.xml><?xml version="1.0" encoding="utf-8"?>
<formControlPr xmlns="http://schemas.microsoft.com/office/spreadsheetml/2009/9/main" objectType="Radio" firstButton="1" fmlaLink="$AB$246" lockText="1" noThreeD="1"/>
</file>

<file path=xl/ctrlProps/ctrlProp535.xml><?xml version="1.0" encoding="utf-8"?>
<formControlPr xmlns="http://schemas.microsoft.com/office/spreadsheetml/2009/9/main" objectType="Radio" lockText="1" noThreeD="1"/>
</file>

<file path=xl/ctrlProps/ctrlProp536.xml><?xml version="1.0" encoding="utf-8"?>
<formControlPr xmlns="http://schemas.microsoft.com/office/spreadsheetml/2009/9/main" objectType="Radio" lockText="1" noThreeD="1"/>
</file>

<file path=xl/ctrlProps/ctrlProp537.xml><?xml version="1.0" encoding="utf-8"?>
<formControlPr xmlns="http://schemas.microsoft.com/office/spreadsheetml/2009/9/main" objectType="Radio" firstButton="1" fmlaLink="$AB$252" lockText="1" noThreeD="1"/>
</file>

<file path=xl/ctrlProps/ctrlProp538.xml><?xml version="1.0" encoding="utf-8"?>
<formControlPr xmlns="http://schemas.microsoft.com/office/spreadsheetml/2009/9/main" objectType="Radio" firstButton="1" fmlaLink="$AB$258" lockText="1" noThreeD="1"/>
</file>

<file path=xl/ctrlProps/ctrlProp539.xml><?xml version="1.0" encoding="utf-8"?>
<formControlPr xmlns="http://schemas.microsoft.com/office/spreadsheetml/2009/9/main" objectType="Radio" firstButton="1" fmlaLink="$AB$264" lockText="1" noThreeD="1"/>
</file>

<file path=xl/ctrlProps/ctrlProp54.xml><?xml version="1.0" encoding="utf-8"?>
<formControlPr xmlns="http://schemas.microsoft.com/office/spreadsheetml/2009/9/main" objectType="CheckBox" checked="Checked" lockText="1" noThreeD="1"/>
</file>

<file path=xl/ctrlProps/ctrlProp540.xml><?xml version="1.0" encoding="utf-8"?>
<formControlPr xmlns="http://schemas.microsoft.com/office/spreadsheetml/2009/9/main" objectType="Radio" firstButton="1" fmlaLink="$AB$270" lockText="1" noThreeD="1"/>
</file>

<file path=xl/ctrlProps/ctrlProp541.xml><?xml version="1.0" encoding="utf-8"?>
<formControlPr xmlns="http://schemas.microsoft.com/office/spreadsheetml/2009/9/main" objectType="Radio" firstButton="1" fmlaLink="$AB$276" lockText="1" noThreeD="1"/>
</file>

<file path=xl/ctrlProps/ctrlProp542.xml><?xml version="1.0" encoding="utf-8"?>
<formControlPr xmlns="http://schemas.microsoft.com/office/spreadsheetml/2009/9/main" objectType="Radio" lockText="1" noThreeD="1"/>
</file>

<file path=xl/ctrlProps/ctrlProp543.xml><?xml version="1.0" encoding="utf-8"?>
<formControlPr xmlns="http://schemas.microsoft.com/office/spreadsheetml/2009/9/main" objectType="Radio" checked="Checked" lockText="1" noThreeD="1"/>
</file>

<file path=xl/ctrlProps/ctrlProp544.xml><?xml version="1.0" encoding="utf-8"?>
<formControlPr xmlns="http://schemas.microsoft.com/office/spreadsheetml/2009/9/main" objectType="Radio" lockText="1" noThreeD="1"/>
</file>

<file path=xl/ctrlProps/ctrlProp545.xml><?xml version="1.0" encoding="utf-8"?>
<formControlPr xmlns="http://schemas.microsoft.com/office/spreadsheetml/2009/9/main" objectType="Radio" lockText="1" noThreeD="1"/>
</file>

<file path=xl/ctrlProps/ctrlProp546.xml><?xml version="1.0" encoding="utf-8"?>
<formControlPr xmlns="http://schemas.microsoft.com/office/spreadsheetml/2009/9/main" objectType="Radio" lockText="1" noThreeD="1"/>
</file>

<file path=xl/ctrlProps/ctrlProp547.xml><?xml version="1.0" encoding="utf-8"?>
<formControlPr xmlns="http://schemas.microsoft.com/office/spreadsheetml/2009/9/main" objectType="Radio" checked="Checked" lockText="1" noThreeD="1"/>
</file>

<file path=xl/ctrlProps/ctrlProp548.xml><?xml version="1.0" encoding="utf-8"?>
<formControlPr xmlns="http://schemas.microsoft.com/office/spreadsheetml/2009/9/main" objectType="Radio" lockText="1" noThreeD="1"/>
</file>

<file path=xl/ctrlProps/ctrlProp549.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CheckBox" checked="Checked" lockText="1" noThreeD="1"/>
</file>

<file path=xl/ctrlProps/ctrlProp550.xml><?xml version="1.0" encoding="utf-8"?>
<formControlPr xmlns="http://schemas.microsoft.com/office/spreadsheetml/2009/9/main" objectType="Radio" lockText="1" noThreeD="1"/>
</file>

<file path=xl/ctrlProps/ctrlProp551.xml><?xml version="1.0" encoding="utf-8"?>
<formControlPr xmlns="http://schemas.microsoft.com/office/spreadsheetml/2009/9/main" objectType="Radio" lockText="1" noThreeD="1"/>
</file>

<file path=xl/ctrlProps/ctrlProp552.xml><?xml version="1.0" encoding="utf-8"?>
<formControlPr xmlns="http://schemas.microsoft.com/office/spreadsheetml/2009/9/main" objectType="Radio" lockText="1" noThreeD="1"/>
</file>

<file path=xl/ctrlProps/ctrlProp553.xml><?xml version="1.0" encoding="utf-8"?>
<formControlPr xmlns="http://schemas.microsoft.com/office/spreadsheetml/2009/9/main" objectType="Radio" lockText="1" noThreeD="1"/>
</file>

<file path=xl/ctrlProps/ctrlProp554.xml><?xml version="1.0" encoding="utf-8"?>
<formControlPr xmlns="http://schemas.microsoft.com/office/spreadsheetml/2009/9/main" objectType="Radio" lockText="1" noThreeD="1"/>
</file>

<file path=xl/ctrlProps/ctrlProp555.xml><?xml version="1.0" encoding="utf-8"?>
<formControlPr xmlns="http://schemas.microsoft.com/office/spreadsheetml/2009/9/main" objectType="Radio" checked="Checked" lockText="1" noThreeD="1"/>
</file>

<file path=xl/ctrlProps/ctrlProp556.xml><?xml version="1.0" encoding="utf-8"?>
<formControlPr xmlns="http://schemas.microsoft.com/office/spreadsheetml/2009/9/main" objectType="Radio" checked="Checked" lockText="1" noThreeD="1"/>
</file>

<file path=xl/ctrlProps/ctrlProp557.xml><?xml version="1.0" encoding="utf-8"?>
<formControlPr xmlns="http://schemas.microsoft.com/office/spreadsheetml/2009/9/main" objectType="Radio" lockText="1" noThreeD="1"/>
</file>

<file path=xl/ctrlProps/ctrlProp558.xml><?xml version="1.0" encoding="utf-8"?>
<formControlPr xmlns="http://schemas.microsoft.com/office/spreadsheetml/2009/9/main" objectType="Radio" checked="Checked" lockText="1" noThreeD="1"/>
</file>

<file path=xl/ctrlProps/ctrlProp559.xml><?xml version="1.0" encoding="utf-8"?>
<formControlPr xmlns="http://schemas.microsoft.com/office/spreadsheetml/2009/9/main" objectType="Radio" checked="Checked" lockText="1" noThreeD="1"/>
</file>

<file path=xl/ctrlProps/ctrlProp56.xml><?xml version="1.0" encoding="utf-8"?>
<formControlPr xmlns="http://schemas.microsoft.com/office/spreadsheetml/2009/9/main" objectType="CheckBox" checked="Checked" lockText="1" noThreeD="1"/>
</file>

<file path=xl/ctrlProps/ctrlProp560.xml><?xml version="1.0" encoding="utf-8"?>
<formControlPr xmlns="http://schemas.microsoft.com/office/spreadsheetml/2009/9/main" objectType="Radio" checked="Checked" lockText="1" noThreeD="1"/>
</file>

<file path=xl/ctrlProps/ctrlProp561.xml><?xml version="1.0" encoding="utf-8"?>
<formControlPr xmlns="http://schemas.microsoft.com/office/spreadsheetml/2009/9/main" objectType="Radio" lockText="1" noThreeD="1"/>
</file>

<file path=xl/ctrlProps/ctrlProp562.xml><?xml version="1.0" encoding="utf-8"?>
<formControlPr xmlns="http://schemas.microsoft.com/office/spreadsheetml/2009/9/main" objectType="Radio" lockText="1" noThreeD="1"/>
</file>

<file path=xl/ctrlProps/ctrlProp563.xml><?xml version="1.0" encoding="utf-8"?>
<formControlPr xmlns="http://schemas.microsoft.com/office/spreadsheetml/2009/9/main" objectType="GBox" noThreeD="1"/>
</file>

<file path=xl/ctrlProps/ctrlProp564.xml><?xml version="1.0" encoding="utf-8"?>
<formControlPr xmlns="http://schemas.microsoft.com/office/spreadsheetml/2009/9/main" objectType="GBox" noThreeD="1"/>
</file>

<file path=xl/ctrlProps/ctrlProp565.xml><?xml version="1.0" encoding="utf-8"?>
<formControlPr xmlns="http://schemas.microsoft.com/office/spreadsheetml/2009/9/main" objectType="GBox" noThreeD="1"/>
</file>

<file path=xl/ctrlProps/ctrlProp566.xml><?xml version="1.0" encoding="utf-8"?>
<formControlPr xmlns="http://schemas.microsoft.com/office/spreadsheetml/2009/9/main" objectType="GBox" noThreeD="1"/>
</file>

<file path=xl/ctrlProps/ctrlProp567.xml><?xml version="1.0" encoding="utf-8"?>
<formControlPr xmlns="http://schemas.microsoft.com/office/spreadsheetml/2009/9/main" objectType="Radio" firstButton="1" fmlaLink="$AB$300" lockText="1" noThreeD="1"/>
</file>

<file path=xl/ctrlProps/ctrlProp568.xml><?xml version="1.0" encoding="utf-8"?>
<formControlPr xmlns="http://schemas.microsoft.com/office/spreadsheetml/2009/9/main" objectType="Radio" firstButton="1" fmlaLink="$AB$306" lockText="1" noThreeD="1"/>
</file>

<file path=xl/ctrlProps/ctrlProp569.xml><?xml version="1.0" encoding="utf-8"?>
<formControlPr xmlns="http://schemas.microsoft.com/office/spreadsheetml/2009/9/main" objectType="Radio" firstButton="1" fmlaLink="$AB$307"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Radio" firstButton="1" fmlaLink="$AB$288" lockText="1" noThreeD="1"/>
</file>

<file path=xl/ctrlProps/ctrlProp571.xml><?xml version="1.0" encoding="utf-8"?>
<formControlPr xmlns="http://schemas.microsoft.com/office/spreadsheetml/2009/9/main" objectType="Radio" firstButton="1" fmlaLink="$AB$294" lockText="1" noThreeD="1"/>
</file>

<file path=xl/ctrlProps/ctrlProp572.xml><?xml version="1.0" encoding="utf-8"?>
<formControlPr xmlns="http://schemas.microsoft.com/office/spreadsheetml/2009/9/main" objectType="Radio" lockText="1" noThreeD="1"/>
</file>

<file path=xl/ctrlProps/ctrlProp573.xml><?xml version="1.0" encoding="utf-8"?>
<formControlPr xmlns="http://schemas.microsoft.com/office/spreadsheetml/2009/9/main" objectType="Radio" lockText="1" noThreeD="1"/>
</file>

<file path=xl/ctrlProps/ctrlProp574.xml><?xml version="1.0" encoding="utf-8"?>
<formControlPr xmlns="http://schemas.microsoft.com/office/spreadsheetml/2009/9/main" objectType="Radio" lockText="1" noThreeD="1"/>
</file>

<file path=xl/ctrlProps/ctrlProp575.xml><?xml version="1.0" encoding="utf-8"?>
<formControlPr xmlns="http://schemas.microsoft.com/office/spreadsheetml/2009/9/main" objectType="Radio" firstButton="1" fmlaLink="$AB$310" lockText="1" noThreeD="1"/>
</file>

<file path=xl/ctrlProps/ctrlProp576.xml><?xml version="1.0" encoding="utf-8"?>
<formControlPr xmlns="http://schemas.microsoft.com/office/spreadsheetml/2009/9/main" objectType="Radio" lockText="1" noThreeD="1"/>
</file>

<file path=xl/ctrlProps/ctrlProp577.xml><?xml version="1.0" encoding="utf-8"?>
<formControlPr xmlns="http://schemas.microsoft.com/office/spreadsheetml/2009/9/main" objectType="Radio" lockText="1" noThreeD="1"/>
</file>

<file path=xl/ctrlProps/ctrlProp578.xml><?xml version="1.0" encoding="utf-8"?>
<formControlPr xmlns="http://schemas.microsoft.com/office/spreadsheetml/2009/9/main" objectType="Radio" checked="Checked" lockText="1" noThreeD="1"/>
</file>

<file path=xl/ctrlProps/ctrlProp579.xml><?xml version="1.0" encoding="utf-8"?>
<formControlPr xmlns="http://schemas.microsoft.com/office/spreadsheetml/2009/9/main" objectType="Radio" checked="Checked" lockText="1" noThreeD="1"/>
</file>

<file path=xl/ctrlProps/ctrlProp58.xml><?xml version="1.0" encoding="utf-8"?>
<formControlPr xmlns="http://schemas.microsoft.com/office/spreadsheetml/2009/9/main" objectType="CheckBox" checked="Checked" lockText="1" noThreeD="1"/>
</file>

<file path=xl/ctrlProps/ctrlProp580.xml><?xml version="1.0" encoding="utf-8"?>
<formControlPr xmlns="http://schemas.microsoft.com/office/spreadsheetml/2009/9/main" objectType="Radio" checked="Checked" lockText="1" noThreeD="1"/>
</file>

<file path=xl/ctrlProps/ctrlProp581.xml><?xml version="1.0" encoding="utf-8"?>
<formControlPr xmlns="http://schemas.microsoft.com/office/spreadsheetml/2009/9/main" objectType="Radio" checked="Checked" lockText="1" noThreeD="1"/>
</file>

<file path=xl/ctrlProps/ctrlProp582.xml><?xml version="1.0" encoding="utf-8"?>
<formControlPr xmlns="http://schemas.microsoft.com/office/spreadsheetml/2009/9/main" objectType="Radio" lockText="1" noThreeD="1"/>
</file>

<file path=xl/ctrlProps/ctrlProp583.xml><?xml version="1.0" encoding="utf-8"?>
<formControlPr xmlns="http://schemas.microsoft.com/office/spreadsheetml/2009/9/main" objectType="Radio" checked="Checked" lockText="1" noThreeD="1"/>
</file>

<file path=xl/ctrlProps/ctrlProp584.xml><?xml version="1.0" encoding="utf-8"?>
<formControlPr xmlns="http://schemas.microsoft.com/office/spreadsheetml/2009/9/main" objectType="Radio" lockText="1" noThreeD="1"/>
</file>

<file path=xl/ctrlProps/ctrlProp585.xml><?xml version="1.0" encoding="utf-8"?>
<formControlPr xmlns="http://schemas.microsoft.com/office/spreadsheetml/2009/9/main" objectType="Radio" lockText="1" noThreeD="1"/>
</file>

<file path=xl/ctrlProps/ctrlProp586.xml><?xml version="1.0" encoding="utf-8"?>
<formControlPr xmlns="http://schemas.microsoft.com/office/spreadsheetml/2009/9/main" objectType="Radio" lockText="1" noThreeD="1"/>
</file>

<file path=xl/ctrlProps/ctrlProp587.xml><?xml version="1.0" encoding="utf-8"?>
<formControlPr xmlns="http://schemas.microsoft.com/office/spreadsheetml/2009/9/main" objectType="Radio" lockText="1" noThreeD="1"/>
</file>

<file path=xl/ctrlProps/ctrlProp588.xml><?xml version="1.0" encoding="utf-8"?>
<formControlPr xmlns="http://schemas.microsoft.com/office/spreadsheetml/2009/9/main" objectType="Radio" checked="Checked" lockText="1" noThreeD="1"/>
</file>

<file path=xl/ctrlProps/ctrlProp589.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CheckBox" checked="Checked" lockText="1" noThreeD="1"/>
</file>

<file path=xl/ctrlProps/ctrlProp590.xml><?xml version="1.0" encoding="utf-8"?>
<formControlPr xmlns="http://schemas.microsoft.com/office/spreadsheetml/2009/9/main" objectType="Radio" lockText="1" noThreeD="1"/>
</file>

<file path=xl/ctrlProps/ctrlProp591.xml><?xml version="1.0" encoding="utf-8"?>
<formControlPr xmlns="http://schemas.microsoft.com/office/spreadsheetml/2009/9/main" objectType="Radio" lockText="1" noThreeD="1"/>
</file>

<file path=xl/ctrlProps/ctrlProp592.xml><?xml version="1.0" encoding="utf-8"?>
<formControlPr xmlns="http://schemas.microsoft.com/office/spreadsheetml/2009/9/main" objectType="Radio" lockText="1" noThreeD="1"/>
</file>

<file path=xl/ctrlProps/ctrlProp593.xml><?xml version="1.0" encoding="utf-8"?>
<formControlPr xmlns="http://schemas.microsoft.com/office/spreadsheetml/2009/9/main" objectType="Radio" lockText="1" noThreeD="1"/>
</file>

<file path=xl/ctrlProps/ctrlProp594.xml><?xml version="1.0" encoding="utf-8"?>
<formControlPr xmlns="http://schemas.microsoft.com/office/spreadsheetml/2009/9/main" objectType="GBox" noThreeD="1"/>
</file>

<file path=xl/ctrlProps/ctrlProp595.xml><?xml version="1.0" encoding="utf-8"?>
<formControlPr xmlns="http://schemas.microsoft.com/office/spreadsheetml/2009/9/main" objectType="GBox" noThreeD="1"/>
</file>

<file path=xl/ctrlProps/ctrlProp596.xml><?xml version="1.0" encoding="utf-8"?>
<formControlPr xmlns="http://schemas.microsoft.com/office/spreadsheetml/2009/9/main" objectType="GBox" noThreeD="1"/>
</file>

<file path=xl/ctrlProps/ctrlProp597.xml><?xml version="1.0" encoding="utf-8"?>
<formControlPr xmlns="http://schemas.microsoft.com/office/spreadsheetml/2009/9/main" objectType="Radio" firstButton="1" fmlaLink="$AB$328" lockText="1" noThreeD="1"/>
</file>

<file path=xl/ctrlProps/ctrlProp598.xml><?xml version="1.0" encoding="utf-8"?>
<formControlPr xmlns="http://schemas.microsoft.com/office/spreadsheetml/2009/9/main" objectType="GBox" noThreeD="1"/>
</file>

<file path=xl/ctrlProps/ctrlProp599.xml><?xml version="1.0" encoding="utf-8"?>
<formControlPr xmlns="http://schemas.microsoft.com/office/spreadsheetml/2009/9/main" objectType="Radio" firstButton="1" fmlaLink="$AB$340"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00.xml><?xml version="1.0" encoding="utf-8"?>
<formControlPr xmlns="http://schemas.microsoft.com/office/spreadsheetml/2009/9/main" objectType="Radio" firstButton="1" fmlaLink="$AB$346" lockText="1" noThreeD="1"/>
</file>

<file path=xl/ctrlProps/ctrlProp601.xml><?xml version="1.0" encoding="utf-8"?>
<formControlPr xmlns="http://schemas.microsoft.com/office/spreadsheetml/2009/9/main" objectType="Radio" firstButton="1" fmlaLink="$AB$352" lockText="1" noThreeD="1"/>
</file>

<file path=xl/ctrlProps/ctrlProp602.xml><?xml version="1.0" encoding="utf-8"?>
<formControlPr xmlns="http://schemas.microsoft.com/office/spreadsheetml/2009/9/main" objectType="Radio" firstButton="1" fmlaLink="$AB$358" lockText="1" noThreeD="1"/>
</file>

<file path=xl/ctrlProps/ctrlProp603.xml><?xml version="1.0" encoding="utf-8"?>
<formControlPr xmlns="http://schemas.microsoft.com/office/spreadsheetml/2009/9/main" objectType="Radio" firstButton="1" fmlaLink="$AB$372" lockText="1" noThreeD="1"/>
</file>

<file path=xl/ctrlProps/ctrlProp604.xml><?xml version="1.0" encoding="utf-8"?>
<formControlPr xmlns="http://schemas.microsoft.com/office/spreadsheetml/2009/9/main" objectType="Radio" firstButton="1" fmlaLink="$AB$375" lockText="1" noThreeD="1"/>
</file>

<file path=xl/ctrlProps/ctrlProp605.xml><?xml version="1.0" encoding="utf-8"?>
<formControlPr xmlns="http://schemas.microsoft.com/office/spreadsheetml/2009/9/main" objectType="Radio" firstButton="1" fmlaLink="$AB$378" lockText="1" noThreeD="1"/>
</file>

<file path=xl/ctrlProps/ctrlProp606.xml><?xml version="1.0" encoding="utf-8"?>
<formControlPr xmlns="http://schemas.microsoft.com/office/spreadsheetml/2009/9/main" objectType="Radio" firstButton="1" fmlaLink="$AB$379" lockText="1" noThreeD="1"/>
</file>

<file path=xl/ctrlProps/ctrlProp607.xml><?xml version="1.0" encoding="utf-8"?>
<formControlPr xmlns="http://schemas.microsoft.com/office/spreadsheetml/2009/9/main" objectType="GBox" noThreeD="1"/>
</file>

<file path=xl/ctrlProps/ctrlProp608.xml><?xml version="1.0" encoding="utf-8"?>
<formControlPr xmlns="http://schemas.microsoft.com/office/spreadsheetml/2009/9/main" objectType="Radio" firstButton="1" fmlaLink="$AB$386" lockText="1" noThreeD="1"/>
</file>

<file path=xl/ctrlProps/ctrlProp609.xml><?xml version="1.0" encoding="utf-8"?>
<formControlPr xmlns="http://schemas.microsoft.com/office/spreadsheetml/2009/9/main" objectType="Radio" firstButton="1" fmlaLink="$AB$393" lockText="1" noThreeD="1"/>
</file>

<file path=xl/ctrlProps/ctrlProp61.xml><?xml version="1.0" encoding="utf-8"?>
<formControlPr xmlns="http://schemas.microsoft.com/office/spreadsheetml/2009/9/main" objectType="CheckBox" checked="Checked" lockText="1" noThreeD="1"/>
</file>

<file path=xl/ctrlProps/ctrlProp610.xml><?xml version="1.0" encoding="utf-8"?>
<formControlPr xmlns="http://schemas.microsoft.com/office/spreadsheetml/2009/9/main" objectType="Radio" firstButton="1" fmlaLink="$AB$400" lockText="1" noThreeD="1"/>
</file>

<file path=xl/ctrlProps/ctrlProp611.xml><?xml version="1.0" encoding="utf-8"?>
<formControlPr xmlns="http://schemas.microsoft.com/office/spreadsheetml/2009/9/main" objectType="Radio" firstButton="1" fmlaLink="$AB$407" lockText="1" noThreeD="1"/>
</file>

<file path=xl/ctrlProps/ctrlProp612.xml><?xml version="1.0" encoding="utf-8"?>
<formControlPr xmlns="http://schemas.microsoft.com/office/spreadsheetml/2009/9/main" objectType="Radio" firstButton="1" fmlaLink="$AB$414" lockText="1" noThreeD="1"/>
</file>

<file path=xl/ctrlProps/ctrlProp613.xml><?xml version="1.0" encoding="utf-8"?>
<formControlPr xmlns="http://schemas.microsoft.com/office/spreadsheetml/2009/9/main" objectType="Radio" firstButton="1" fmlaLink="$AB$421" lockText="1" noThreeD="1"/>
</file>

<file path=xl/ctrlProps/ctrlProp614.xml><?xml version="1.0" encoding="utf-8"?>
<formControlPr xmlns="http://schemas.microsoft.com/office/spreadsheetml/2009/9/main" objectType="Radio" firstButton="1" fmlaLink="$AB$322" lockText="1" noThreeD="1"/>
</file>

<file path=xl/ctrlProps/ctrlProp615.xml><?xml version="1.0" encoding="utf-8"?>
<formControlPr xmlns="http://schemas.microsoft.com/office/spreadsheetml/2009/9/main" objectType="Radio" lockText="1" noThreeD="1"/>
</file>

<file path=xl/ctrlProps/ctrlProp616.xml><?xml version="1.0" encoding="utf-8"?>
<formControlPr xmlns="http://schemas.microsoft.com/office/spreadsheetml/2009/9/main" objectType="Radio" lockText="1" noThreeD="1"/>
</file>

<file path=xl/ctrlProps/ctrlProp617.xml><?xml version="1.0" encoding="utf-8"?>
<formControlPr xmlns="http://schemas.microsoft.com/office/spreadsheetml/2009/9/main" objectType="Radio" lockText="1" noThreeD="1"/>
</file>

<file path=xl/ctrlProps/ctrlProp618.xml><?xml version="1.0" encoding="utf-8"?>
<formControlPr xmlns="http://schemas.microsoft.com/office/spreadsheetml/2009/9/main" objectType="Radio" checked="Checked" lockText="1" noThreeD="1"/>
</file>

<file path=xl/ctrlProps/ctrlProp619.xml><?xml version="1.0" encoding="utf-8"?>
<formControlPr xmlns="http://schemas.microsoft.com/office/spreadsheetml/2009/9/main" objectType="Radio" checked="Checked" lockText="1" noThreeD="1"/>
</file>

<file path=xl/ctrlProps/ctrlProp62.xml><?xml version="1.0" encoding="utf-8"?>
<formControlPr xmlns="http://schemas.microsoft.com/office/spreadsheetml/2009/9/main" objectType="CheckBox" checked="Checked" lockText="1" noThreeD="1"/>
</file>

<file path=xl/ctrlProps/ctrlProp620.xml><?xml version="1.0" encoding="utf-8"?>
<formControlPr xmlns="http://schemas.microsoft.com/office/spreadsheetml/2009/9/main" objectType="Radio" lockText="1" noThreeD="1"/>
</file>

<file path=xl/ctrlProps/ctrlProp621.xml><?xml version="1.0" encoding="utf-8"?>
<formControlPr xmlns="http://schemas.microsoft.com/office/spreadsheetml/2009/9/main" objectType="Radio" lockText="1" noThreeD="1"/>
</file>

<file path=xl/ctrlProps/ctrlProp622.xml><?xml version="1.0" encoding="utf-8"?>
<formControlPr xmlns="http://schemas.microsoft.com/office/spreadsheetml/2009/9/main" objectType="Radio" lockText="1" noThreeD="1"/>
</file>

<file path=xl/ctrlProps/ctrlProp623.xml><?xml version="1.0" encoding="utf-8"?>
<formControlPr xmlns="http://schemas.microsoft.com/office/spreadsheetml/2009/9/main" objectType="Radio" lockText="1" noThreeD="1"/>
</file>

<file path=xl/ctrlProps/ctrlProp624.xml><?xml version="1.0" encoding="utf-8"?>
<formControlPr xmlns="http://schemas.microsoft.com/office/spreadsheetml/2009/9/main" objectType="Radio" lockText="1" noThreeD="1"/>
</file>

<file path=xl/ctrlProps/ctrlProp625.xml><?xml version="1.0" encoding="utf-8"?>
<formControlPr xmlns="http://schemas.microsoft.com/office/spreadsheetml/2009/9/main" objectType="Radio" lockText="1" noThreeD="1"/>
</file>

<file path=xl/ctrlProps/ctrlProp626.xml><?xml version="1.0" encoding="utf-8"?>
<formControlPr xmlns="http://schemas.microsoft.com/office/spreadsheetml/2009/9/main" objectType="Radio" checked="Checked" lockText="1" noThreeD="1"/>
</file>

<file path=xl/ctrlProps/ctrlProp627.xml><?xml version="1.0" encoding="utf-8"?>
<formControlPr xmlns="http://schemas.microsoft.com/office/spreadsheetml/2009/9/main" objectType="Radio" lockText="1" noThreeD="1"/>
</file>

<file path=xl/ctrlProps/ctrlProp628.xml><?xml version="1.0" encoding="utf-8"?>
<formControlPr xmlns="http://schemas.microsoft.com/office/spreadsheetml/2009/9/main" objectType="Radio" checked="Checked" lockText="1" noThreeD="1"/>
</file>

<file path=xl/ctrlProps/ctrlProp629.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Radio" lockText="1" noThreeD="1"/>
</file>

<file path=xl/ctrlProps/ctrlProp631.xml><?xml version="1.0" encoding="utf-8"?>
<formControlPr xmlns="http://schemas.microsoft.com/office/spreadsheetml/2009/9/main" objectType="Radio" checked="Checked" lockText="1" noThreeD="1"/>
</file>

<file path=xl/ctrlProps/ctrlProp632.xml><?xml version="1.0" encoding="utf-8"?>
<formControlPr xmlns="http://schemas.microsoft.com/office/spreadsheetml/2009/9/main" objectType="Radio" lockText="1" noThreeD="1"/>
</file>

<file path=xl/ctrlProps/ctrlProp633.xml><?xml version="1.0" encoding="utf-8"?>
<formControlPr xmlns="http://schemas.microsoft.com/office/spreadsheetml/2009/9/main" objectType="Radio" checked="Checked" lockText="1" noThreeD="1"/>
</file>

<file path=xl/ctrlProps/ctrlProp634.xml><?xml version="1.0" encoding="utf-8"?>
<formControlPr xmlns="http://schemas.microsoft.com/office/spreadsheetml/2009/9/main" objectType="Radio" lockText="1" noThreeD="1"/>
</file>

<file path=xl/ctrlProps/ctrlProp635.xml><?xml version="1.0" encoding="utf-8"?>
<formControlPr xmlns="http://schemas.microsoft.com/office/spreadsheetml/2009/9/main" objectType="Radio" lockText="1" noThreeD="1"/>
</file>

<file path=xl/ctrlProps/ctrlProp636.xml><?xml version="1.0" encoding="utf-8"?>
<formControlPr xmlns="http://schemas.microsoft.com/office/spreadsheetml/2009/9/main" objectType="Radio" lockText="1" noThreeD="1"/>
</file>

<file path=xl/ctrlProps/ctrlProp637.xml><?xml version="1.0" encoding="utf-8"?>
<formControlPr xmlns="http://schemas.microsoft.com/office/spreadsheetml/2009/9/main" objectType="Radio" lockText="1" noThreeD="1"/>
</file>

<file path=xl/ctrlProps/ctrlProp638.xml><?xml version="1.0" encoding="utf-8"?>
<formControlPr xmlns="http://schemas.microsoft.com/office/spreadsheetml/2009/9/main" objectType="Radio" lockText="1" noThreeD="1"/>
</file>

<file path=xl/ctrlProps/ctrlProp639.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CheckBox" checked="Checked" lockText="1" noThreeD="1"/>
</file>

<file path=xl/ctrlProps/ctrlProp640.xml><?xml version="1.0" encoding="utf-8"?>
<formControlPr xmlns="http://schemas.microsoft.com/office/spreadsheetml/2009/9/main" objectType="Radio" lockText="1" noThreeD="1"/>
</file>

<file path=xl/ctrlProps/ctrlProp641.xml><?xml version="1.0" encoding="utf-8"?>
<formControlPr xmlns="http://schemas.microsoft.com/office/spreadsheetml/2009/9/main" objectType="Radio" lockText="1" noThreeD="1"/>
</file>

<file path=xl/ctrlProps/ctrlProp642.xml><?xml version="1.0" encoding="utf-8"?>
<formControlPr xmlns="http://schemas.microsoft.com/office/spreadsheetml/2009/9/main" objectType="Radio" lockText="1" noThreeD="1"/>
</file>

<file path=xl/ctrlProps/ctrlProp643.xml><?xml version="1.0" encoding="utf-8"?>
<formControlPr xmlns="http://schemas.microsoft.com/office/spreadsheetml/2009/9/main" objectType="Radio" lockText="1" noThreeD="1"/>
</file>

<file path=xl/ctrlProps/ctrlProp644.xml><?xml version="1.0" encoding="utf-8"?>
<formControlPr xmlns="http://schemas.microsoft.com/office/spreadsheetml/2009/9/main" objectType="Radio" lockText="1" noThreeD="1"/>
</file>

<file path=xl/ctrlProps/ctrlProp645.xml><?xml version="1.0" encoding="utf-8"?>
<formControlPr xmlns="http://schemas.microsoft.com/office/spreadsheetml/2009/9/main" objectType="Radio" lockText="1" noThreeD="1"/>
</file>

<file path=xl/ctrlProps/ctrlProp646.xml><?xml version="1.0" encoding="utf-8"?>
<formControlPr xmlns="http://schemas.microsoft.com/office/spreadsheetml/2009/9/main" objectType="Radio" lockText="1" noThreeD="1"/>
</file>

<file path=xl/ctrlProps/ctrlProp647.xml><?xml version="1.0" encoding="utf-8"?>
<formControlPr xmlns="http://schemas.microsoft.com/office/spreadsheetml/2009/9/main" objectType="Radio" lockText="1" noThreeD="1"/>
</file>

<file path=xl/ctrlProps/ctrlProp648.xml><?xml version="1.0" encoding="utf-8"?>
<formControlPr xmlns="http://schemas.microsoft.com/office/spreadsheetml/2009/9/main" objectType="Radio" lockText="1" noThreeD="1"/>
</file>

<file path=xl/ctrlProps/ctrlProp649.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CheckBox" checked="Checked" lockText="1" noThreeD="1"/>
</file>

<file path=xl/ctrlProps/ctrlProp650.xml><?xml version="1.0" encoding="utf-8"?>
<formControlPr xmlns="http://schemas.microsoft.com/office/spreadsheetml/2009/9/main" objectType="Radio" lockText="1" noThreeD="1"/>
</file>

<file path=xl/ctrlProps/ctrlProp651.xml><?xml version="1.0" encoding="utf-8"?>
<formControlPr xmlns="http://schemas.microsoft.com/office/spreadsheetml/2009/9/main" objectType="Radio" lockText="1" noThreeD="1"/>
</file>

<file path=xl/ctrlProps/ctrlProp652.xml><?xml version="1.0" encoding="utf-8"?>
<formControlPr xmlns="http://schemas.microsoft.com/office/spreadsheetml/2009/9/main" objectType="Radio" checked="Checked" lockText="1" noThreeD="1"/>
</file>

<file path=xl/ctrlProps/ctrlProp653.xml><?xml version="1.0" encoding="utf-8"?>
<formControlPr xmlns="http://schemas.microsoft.com/office/spreadsheetml/2009/9/main" objectType="Radio" lockText="1" noThreeD="1"/>
</file>

<file path=xl/ctrlProps/ctrlProp654.xml><?xml version="1.0" encoding="utf-8"?>
<formControlPr xmlns="http://schemas.microsoft.com/office/spreadsheetml/2009/9/main" objectType="Radio" lockText="1" noThreeD="1"/>
</file>

<file path=xl/ctrlProps/ctrlProp655.xml><?xml version="1.0" encoding="utf-8"?>
<formControlPr xmlns="http://schemas.microsoft.com/office/spreadsheetml/2009/9/main" objectType="Radio" lockText="1" noThreeD="1"/>
</file>

<file path=xl/ctrlProps/ctrlProp656.xml><?xml version="1.0" encoding="utf-8"?>
<formControlPr xmlns="http://schemas.microsoft.com/office/spreadsheetml/2009/9/main" objectType="Radio" lockText="1" noThreeD="1"/>
</file>

<file path=xl/ctrlProps/ctrlProp657.xml><?xml version="1.0" encoding="utf-8"?>
<formControlPr xmlns="http://schemas.microsoft.com/office/spreadsheetml/2009/9/main" objectType="Radio" checked="Checked" lockText="1" noThreeD="1"/>
</file>

<file path=xl/ctrlProps/ctrlProp658.xml><?xml version="1.0" encoding="utf-8"?>
<formControlPr xmlns="http://schemas.microsoft.com/office/spreadsheetml/2009/9/main" objectType="Radio" checked="Checked" lockText="1" noThreeD="1"/>
</file>

<file path=xl/ctrlProps/ctrlProp659.xml><?xml version="1.0" encoding="utf-8"?>
<formControlPr xmlns="http://schemas.microsoft.com/office/spreadsheetml/2009/9/main" objectType="Radio" checked="Checked" lockText="1" noThreeD="1"/>
</file>

<file path=xl/ctrlProps/ctrlProp66.xml><?xml version="1.0" encoding="utf-8"?>
<formControlPr xmlns="http://schemas.microsoft.com/office/spreadsheetml/2009/9/main" objectType="CheckBox" checked="Checked" lockText="1" noThreeD="1"/>
</file>

<file path=xl/ctrlProps/ctrlProp660.xml><?xml version="1.0" encoding="utf-8"?>
<formControlPr xmlns="http://schemas.microsoft.com/office/spreadsheetml/2009/9/main" objectType="Radio" checked="Checked" lockText="1" noThreeD="1"/>
</file>

<file path=xl/ctrlProps/ctrlProp661.xml><?xml version="1.0" encoding="utf-8"?>
<formControlPr xmlns="http://schemas.microsoft.com/office/spreadsheetml/2009/9/main" objectType="Radio" lockText="1" noThreeD="1"/>
</file>

<file path=xl/ctrlProps/ctrlProp662.xml><?xml version="1.0" encoding="utf-8"?>
<formControlPr xmlns="http://schemas.microsoft.com/office/spreadsheetml/2009/9/main" objectType="Radio" lockText="1" noThreeD="1"/>
</file>

<file path=xl/ctrlProps/ctrlProp663.xml><?xml version="1.0" encoding="utf-8"?>
<formControlPr xmlns="http://schemas.microsoft.com/office/spreadsheetml/2009/9/main" objectType="Radio" checked="Checked" lockText="1" noThreeD="1"/>
</file>

<file path=xl/ctrlProps/ctrlProp664.xml><?xml version="1.0" encoding="utf-8"?>
<formControlPr xmlns="http://schemas.microsoft.com/office/spreadsheetml/2009/9/main" objectType="Radio" checked="Checked" lockText="1" noThreeD="1"/>
</file>

<file path=xl/ctrlProps/ctrlProp665.xml><?xml version="1.0" encoding="utf-8"?>
<formControlPr xmlns="http://schemas.microsoft.com/office/spreadsheetml/2009/9/main" objectType="Radio" lockText="1" noThreeD="1"/>
</file>

<file path=xl/ctrlProps/ctrlProp666.xml><?xml version="1.0" encoding="utf-8"?>
<formControlPr xmlns="http://schemas.microsoft.com/office/spreadsheetml/2009/9/main" objectType="Radio" checked="Checked" lockText="1" noThreeD="1"/>
</file>

<file path=xl/ctrlProps/ctrlProp667.xml><?xml version="1.0" encoding="utf-8"?>
<formControlPr xmlns="http://schemas.microsoft.com/office/spreadsheetml/2009/9/main" objectType="Radio" lockText="1" noThreeD="1"/>
</file>

<file path=xl/ctrlProps/ctrlProp668.xml><?xml version="1.0" encoding="utf-8"?>
<formControlPr xmlns="http://schemas.microsoft.com/office/spreadsheetml/2009/9/main" objectType="Radio" lockText="1" noThreeD="1"/>
</file>

<file path=xl/ctrlProps/ctrlProp669.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CheckBox" checked="Checked" lockText="1" noThreeD="1"/>
</file>

<file path=xl/ctrlProps/ctrlProp670.xml><?xml version="1.0" encoding="utf-8"?>
<formControlPr xmlns="http://schemas.microsoft.com/office/spreadsheetml/2009/9/main" objectType="Radio" checked="Checked" lockText="1" noThreeD="1"/>
</file>

<file path=xl/ctrlProps/ctrlProp671.xml><?xml version="1.0" encoding="utf-8"?>
<formControlPr xmlns="http://schemas.microsoft.com/office/spreadsheetml/2009/9/main" objectType="Radio" lockText="1" noThreeD="1"/>
</file>

<file path=xl/ctrlProps/ctrlProp672.xml><?xml version="1.0" encoding="utf-8"?>
<formControlPr xmlns="http://schemas.microsoft.com/office/spreadsheetml/2009/9/main" objectType="Radio" lockText="1" noThreeD="1"/>
</file>

<file path=xl/ctrlProps/ctrlProp673.xml><?xml version="1.0" encoding="utf-8"?>
<formControlPr xmlns="http://schemas.microsoft.com/office/spreadsheetml/2009/9/main" objectType="Radio" lockText="1" noThreeD="1"/>
</file>

<file path=xl/ctrlProps/ctrlProp674.xml><?xml version="1.0" encoding="utf-8"?>
<formControlPr xmlns="http://schemas.microsoft.com/office/spreadsheetml/2009/9/main" objectType="Radio" checked="Checked" lockText="1" noThreeD="1"/>
</file>

<file path=xl/ctrlProps/ctrlProp675.xml><?xml version="1.0" encoding="utf-8"?>
<formControlPr xmlns="http://schemas.microsoft.com/office/spreadsheetml/2009/9/main" objectType="Radio" lockText="1" noThreeD="1"/>
</file>

<file path=xl/ctrlProps/ctrlProp676.xml><?xml version="1.0" encoding="utf-8"?>
<formControlPr xmlns="http://schemas.microsoft.com/office/spreadsheetml/2009/9/main" objectType="Radio" lockText="1" noThreeD="1"/>
</file>

<file path=xl/ctrlProps/ctrlProp677.xml><?xml version="1.0" encoding="utf-8"?>
<formControlPr xmlns="http://schemas.microsoft.com/office/spreadsheetml/2009/9/main" objectType="Radio" lockText="1" noThreeD="1"/>
</file>

<file path=xl/ctrlProps/ctrlProp678.xml><?xml version="1.0" encoding="utf-8"?>
<formControlPr xmlns="http://schemas.microsoft.com/office/spreadsheetml/2009/9/main" objectType="GBox" noThreeD="1"/>
</file>

<file path=xl/ctrlProps/ctrlProp679.xml><?xml version="1.0" encoding="utf-8"?>
<formControlPr xmlns="http://schemas.microsoft.com/office/spreadsheetml/2009/9/main" objectType="GBox" noThreeD="1"/>
</file>

<file path=xl/ctrlProps/ctrlProp68.xml><?xml version="1.0" encoding="utf-8"?>
<formControlPr xmlns="http://schemas.microsoft.com/office/spreadsheetml/2009/9/main" objectType="CheckBox" checked="Checked" lockText="1" noThreeD="1"/>
</file>

<file path=xl/ctrlProps/ctrlProp680.xml><?xml version="1.0" encoding="utf-8"?>
<formControlPr xmlns="http://schemas.microsoft.com/office/spreadsheetml/2009/9/main" objectType="GBox" noThreeD="1"/>
</file>

<file path=xl/ctrlProps/ctrlProp681.xml><?xml version="1.0" encoding="utf-8"?>
<formControlPr xmlns="http://schemas.microsoft.com/office/spreadsheetml/2009/9/main" objectType="GBox" noThreeD="1"/>
</file>

<file path=xl/ctrlProps/ctrlProp682.xml><?xml version="1.0" encoding="utf-8"?>
<formControlPr xmlns="http://schemas.microsoft.com/office/spreadsheetml/2009/9/main" objectType="GBox" noThreeD="1"/>
</file>

<file path=xl/ctrlProps/ctrlProp683.xml><?xml version="1.0" encoding="utf-8"?>
<formControlPr xmlns="http://schemas.microsoft.com/office/spreadsheetml/2009/9/main" objectType="GBox" noThreeD="1"/>
</file>

<file path=xl/ctrlProps/ctrlProp684.xml><?xml version="1.0" encoding="utf-8"?>
<formControlPr xmlns="http://schemas.microsoft.com/office/spreadsheetml/2009/9/main" objectType="GBox" noThreeD="1"/>
</file>

<file path=xl/ctrlProps/ctrlProp685.xml><?xml version="1.0" encoding="utf-8"?>
<formControlPr xmlns="http://schemas.microsoft.com/office/spreadsheetml/2009/9/main" objectType="GBox" noThreeD="1"/>
</file>

<file path=xl/ctrlProps/ctrlProp686.xml><?xml version="1.0" encoding="utf-8"?>
<formControlPr xmlns="http://schemas.microsoft.com/office/spreadsheetml/2009/9/main" objectType="GBox" noThreeD="1"/>
</file>

<file path=xl/ctrlProps/ctrlProp687.xml><?xml version="1.0" encoding="utf-8"?>
<formControlPr xmlns="http://schemas.microsoft.com/office/spreadsheetml/2009/9/main" objectType="GBox" noThreeD="1"/>
</file>

<file path=xl/ctrlProps/ctrlProp688.xml><?xml version="1.0" encoding="utf-8"?>
<formControlPr xmlns="http://schemas.microsoft.com/office/spreadsheetml/2009/9/main" objectType="GBox" noThreeD="1"/>
</file>

<file path=xl/ctrlProps/ctrlProp689.xml><?xml version="1.0" encoding="utf-8"?>
<formControlPr xmlns="http://schemas.microsoft.com/office/spreadsheetml/2009/9/main" objectType="GBox" noThreeD="1"/>
</file>

<file path=xl/ctrlProps/ctrlProp69.xml><?xml version="1.0" encoding="utf-8"?>
<formControlPr xmlns="http://schemas.microsoft.com/office/spreadsheetml/2009/9/main" objectType="CheckBox" checked="Checked" lockText="1" noThreeD="1"/>
</file>

<file path=xl/ctrlProps/ctrlProp690.xml><?xml version="1.0" encoding="utf-8"?>
<formControlPr xmlns="http://schemas.microsoft.com/office/spreadsheetml/2009/9/main" objectType="GBox" noThreeD="1"/>
</file>

<file path=xl/ctrlProps/ctrlProp691.xml><?xml version="1.0" encoding="utf-8"?>
<formControlPr xmlns="http://schemas.microsoft.com/office/spreadsheetml/2009/9/main" objectType="Radio" firstButton="1" fmlaLink="$AB$437" lockText="1" noThreeD="1"/>
</file>

<file path=xl/ctrlProps/ctrlProp692.xml><?xml version="1.0" encoding="utf-8"?>
<formControlPr xmlns="http://schemas.microsoft.com/office/spreadsheetml/2009/9/main" objectType="Radio" firstButton="1" fmlaLink="$AB$444" lockText="1" noThreeD="1"/>
</file>

<file path=xl/ctrlProps/ctrlProp693.xml><?xml version="1.0" encoding="utf-8"?>
<formControlPr xmlns="http://schemas.microsoft.com/office/spreadsheetml/2009/9/main" objectType="Radio" firstButton="1" fmlaLink="$AB$451" lockText="1" noThreeD="1"/>
</file>

<file path=xl/ctrlProps/ctrlProp694.xml><?xml version="1.0" encoding="utf-8"?>
<formControlPr xmlns="http://schemas.microsoft.com/office/spreadsheetml/2009/9/main" objectType="Radio" firstButton="1" fmlaLink="$AB$452" lockText="1" noThreeD="1"/>
</file>

<file path=xl/ctrlProps/ctrlProp695.xml><?xml version="1.0" encoding="utf-8"?>
<formControlPr xmlns="http://schemas.microsoft.com/office/spreadsheetml/2009/9/main" objectType="Radio" firstButton="1" fmlaLink="$AB$453" lockText="1" noThreeD="1"/>
</file>

<file path=xl/ctrlProps/ctrlProp696.xml><?xml version="1.0" encoding="utf-8"?>
<formControlPr xmlns="http://schemas.microsoft.com/office/spreadsheetml/2009/9/main" objectType="Radio" firstButton="1" fmlaLink="$AB$461" lockText="1" noThreeD="1"/>
</file>

<file path=xl/ctrlProps/ctrlProp697.xml><?xml version="1.0" encoding="utf-8"?>
<formControlPr xmlns="http://schemas.microsoft.com/office/spreadsheetml/2009/9/main" objectType="Radio" firstButton="1" fmlaLink="$AB$467" lockText="1" noThreeD="1"/>
</file>

<file path=xl/ctrlProps/ctrlProp698.xml><?xml version="1.0" encoding="utf-8"?>
<formControlPr xmlns="http://schemas.microsoft.com/office/spreadsheetml/2009/9/main" objectType="Radio" firstButton="1" fmlaLink="$AB$473" lockText="1" noThreeD="1"/>
</file>

<file path=xl/ctrlProps/ctrlProp699.xml><?xml version="1.0" encoding="utf-8"?>
<formControlPr xmlns="http://schemas.microsoft.com/office/spreadsheetml/2009/9/main" objectType="Radio" firstButton="1" fmlaLink="$AB$485"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00.xml><?xml version="1.0" encoding="utf-8"?>
<formControlPr xmlns="http://schemas.microsoft.com/office/spreadsheetml/2009/9/main" objectType="Radio" firstButton="1" fmlaLink="$AB$494" lockText="1" noThreeD="1"/>
</file>

<file path=xl/ctrlProps/ctrlProp701.xml><?xml version="1.0" encoding="utf-8"?>
<formControlPr xmlns="http://schemas.microsoft.com/office/spreadsheetml/2009/9/main" objectType="Radio" firstButton="1" fmlaLink="$AB$502" lockText="1" noThreeD="1"/>
</file>

<file path=xl/ctrlProps/ctrlProp702.xml><?xml version="1.0" encoding="utf-8"?>
<formControlPr xmlns="http://schemas.microsoft.com/office/spreadsheetml/2009/9/main" objectType="Radio" firstButton="1" fmlaLink="$AB$511" lockText="1" noThreeD="1"/>
</file>

<file path=xl/ctrlProps/ctrlProp703.xml><?xml version="1.0" encoding="utf-8"?>
<formControlPr xmlns="http://schemas.microsoft.com/office/spreadsheetml/2009/9/main" objectType="Radio" firstButton="1" fmlaLink="$AB$517" lockText="1" noThreeD="1"/>
</file>

<file path=xl/ctrlProps/ctrlProp704.xml><?xml version="1.0" encoding="utf-8"?>
<formControlPr xmlns="http://schemas.microsoft.com/office/spreadsheetml/2009/9/main" objectType="Radio" firstButton="1" fmlaLink="$AB$523" lockText="1" noThreeD="1"/>
</file>

<file path=xl/ctrlProps/ctrlProp705.xml><?xml version="1.0" encoding="utf-8"?>
<formControlPr xmlns="http://schemas.microsoft.com/office/spreadsheetml/2009/9/main" objectType="Radio" firstButton="1" fmlaLink="$AB$535" lockText="1" noThreeD="1"/>
</file>

<file path=xl/ctrlProps/ctrlProp706.xml><?xml version="1.0" encoding="utf-8"?>
<formControlPr xmlns="http://schemas.microsoft.com/office/spreadsheetml/2009/9/main" objectType="Radio" firstButton="1" fmlaLink="$AB$541" lockText="1" noThreeD="1"/>
</file>

<file path=xl/ctrlProps/ctrlProp707.xml><?xml version="1.0" encoding="utf-8"?>
<formControlPr xmlns="http://schemas.microsoft.com/office/spreadsheetml/2009/9/main" objectType="Radio" firstButton="1" fmlaLink="$AB$547" lockText="1" noThreeD="1"/>
</file>

<file path=xl/ctrlProps/ctrlProp708.xml><?xml version="1.0" encoding="utf-8"?>
<formControlPr xmlns="http://schemas.microsoft.com/office/spreadsheetml/2009/9/main" objectType="Radio" firstButton="1" fmlaLink="$AB$553" lockText="1" noThreeD="1"/>
</file>

<file path=xl/ctrlProps/ctrlProp709.xml><?xml version="1.0" encoding="utf-8"?>
<formControlPr xmlns="http://schemas.microsoft.com/office/spreadsheetml/2009/9/main" objectType="Radio" firstButton="1" fmlaLink="$AB$559" lockText="1" noThreeD="1"/>
</file>

<file path=xl/ctrlProps/ctrlProp71.xml><?xml version="1.0" encoding="utf-8"?>
<formControlPr xmlns="http://schemas.microsoft.com/office/spreadsheetml/2009/9/main" objectType="CheckBox" checked="Checked" lockText="1" noThreeD="1"/>
</file>

<file path=xl/ctrlProps/ctrlProp710.xml><?xml version="1.0" encoding="utf-8"?>
<formControlPr xmlns="http://schemas.microsoft.com/office/spreadsheetml/2009/9/main" objectType="Radio" firstButton="1" fmlaLink="$AB$565" lockText="1" noThreeD="1"/>
</file>

<file path=xl/ctrlProps/ctrlProp711.xml><?xml version="1.0" encoding="utf-8"?>
<formControlPr xmlns="http://schemas.microsoft.com/office/spreadsheetml/2009/9/main" objectType="Radio" lockText="1" noThreeD="1"/>
</file>

<file path=xl/ctrlProps/ctrlProp712.xml><?xml version="1.0" encoding="utf-8"?>
<formControlPr xmlns="http://schemas.microsoft.com/office/spreadsheetml/2009/9/main" objectType="Radio" lockText="1" noThreeD="1"/>
</file>

<file path=xl/ctrlProps/ctrlProp713.xml><?xml version="1.0" encoding="utf-8"?>
<formControlPr xmlns="http://schemas.microsoft.com/office/spreadsheetml/2009/9/main" objectType="Radio" lockText="1" noThreeD="1"/>
</file>

<file path=xl/ctrlProps/ctrlProp714.xml><?xml version="1.0" encoding="utf-8"?>
<formControlPr xmlns="http://schemas.microsoft.com/office/spreadsheetml/2009/9/main" objectType="Radio" lockText="1" noThreeD="1"/>
</file>

<file path=xl/ctrlProps/ctrlProp715.xml><?xml version="1.0" encoding="utf-8"?>
<formControlPr xmlns="http://schemas.microsoft.com/office/spreadsheetml/2009/9/main" objectType="Radio" lockText="1" noThreeD="1"/>
</file>

<file path=xl/ctrlProps/ctrlProp716.xml><?xml version="1.0" encoding="utf-8"?>
<formControlPr xmlns="http://schemas.microsoft.com/office/spreadsheetml/2009/9/main" objectType="Radio" lockText="1" noThreeD="1"/>
</file>

<file path=xl/ctrlProps/ctrlProp717.xml><?xml version="1.0" encoding="utf-8"?>
<formControlPr xmlns="http://schemas.microsoft.com/office/spreadsheetml/2009/9/main" objectType="Radio" lockText="1" noThreeD="1"/>
</file>

<file path=xl/ctrlProps/ctrlProp718.xml><?xml version="1.0" encoding="utf-8"?>
<formControlPr xmlns="http://schemas.microsoft.com/office/spreadsheetml/2009/9/main" objectType="Radio" lockText="1" noThreeD="1"/>
</file>

<file path=xl/ctrlProps/ctrlProp719.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CheckBox" checked="Checked" lockText="1" noThreeD="1"/>
</file>

<file path=xl/ctrlProps/ctrlProp720.xml><?xml version="1.0" encoding="utf-8"?>
<formControlPr xmlns="http://schemas.microsoft.com/office/spreadsheetml/2009/9/main" objectType="Radio" lockText="1" noThreeD="1"/>
</file>

<file path=xl/ctrlProps/ctrlProp721.xml><?xml version="1.0" encoding="utf-8"?>
<formControlPr xmlns="http://schemas.microsoft.com/office/spreadsheetml/2009/9/main" objectType="Radio" lockText="1" noThreeD="1"/>
</file>

<file path=xl/ctrlProps/ctrlProp722.xml><?xml version="1.0" encoding="utf-8"?>
<formControlPr xmlns="http://schemas.microsoft.com/office/spreadsheetml/2009/9/main" objectType="Radio" lockText="1" noThreeD="1"/>
</file>

<file path=xl/ctrlProps/ctrlProp723.xml><?xml version="1.0" encoding="utf-8"?>
<formControlPr xmlns="http://schemas.microsoft.com/office/spreadsheetml/2009/9/main" objectType="Radio" lockText="1" noThreeD="1"/>
</file>

<file path=xl/ctrlProps/ctrlProp724.xml><?xml version="1.0" encoding="utf-8"?>
<formControlPr xmlns="http://schemas.microsoft.com/office/spreadsheetml/2009/9/main" objectType="Radio" lockText="1" noThreeD="1"/>
</file>

<file path=xl/ctrlProps/ctrlProp725.xml><?xml version="1.0" encoding="utf-8"?>
<formControlPr xmlns="http://schemas.microsoft.com/office/spreadsheetml/2009/9/main" objectType="Radio" lockText="1" noThreeD="1"/>
</file>

<file path=xl/ctrlProps/ctrlProp726.xml><?xml version="1.0" encoding="utf-8"?>
<formControlPr xmlns="http://schemas.microsoft.com/office/spreadsheetml/2009/9/main" objectType="Radio" lockText="1" noThreeD="1"/>
</file>

<file path=xl/ctrlProps/ctrlProp727.xml><?xml version="1.0" encoding="utf-8"?>
<formControlPr xmlns="http://schemas.microsoft.com/office/spreadsheetml/2009/9/main" objectType="Radio" checked="Checked" lockText="1" noThreeD="1"/>
</file>

<file path=xl/ctrlProps/ctrlProp728.xml><?xml version="1.0" encoding="utf-8"?>
<formControlPr xmlns="http://schemas.microsoft.com/office/spreadsheetml/2009/9/main" objectType="Radio" lockText="1" noThreeD="1"/>
</file>

<file path=xl/ctrlProps/ctrlProp729.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Radio" lockText="1" noThreeD="1"/>
</file>

<file path=xl/ctrlProps/ctrlProp731.xml><?xml version="1.0" encoding="utf-8"?>
<formControlPr xmlns="http://schemas.microsoft.com/office/spreadsheetml/2009/9/main" objectType="Radio" lockText="1" noThreeD="1"/>
</file>

<file path=xl/ctrlProps/ctrlProp732.xml><?xml version="1.0" encoding="utf-8"?>
<formControlPr xmlns="http://schemas.microsoft.com/office/spreadsheetml/2009/9/main" objectType="Radio" lockText="1" noThreeD="1"/>
</file>

<file path=xl/ctrlProps/ctrlProp733.xml><?xml version="1.0" encoding="utf-8"?>
<formControlPr xmlns="http://schemas.microsoft.com/office/spreadsheetml/2009/9/main" objectType="Radio" lockText="1" noThreeD="1"/>
</file>

<file path=xl/ctrlProps/ctrlProp734.xml><?xml version="1.0" encoding="utf-8"?>
<formControlPr xmlns="http://schemas.microsoft.com/office/spreadsheetml/2009/9/main" objectType="Radio" checked="Checked" lockText="1" noThreeD="1"/>
</file>

<file path=xl/ctrlProps/ctrlProp735.xml><?xml version="1.0" encoding="utf-8"?>
<formControlPr xmlns="http://schemas.microsoft.com/office/spreadsheetml/2009/9/main" objectType="Radio" lockText="1" noThreeD="1"/>
</file>

<file path=xl/ctrlProps/ctrlProp736.xml><?xml version="1.0" encoding="utf-8"?>
<formControlPr xmlns="http://schemas.microsoft.com/office/spreadsheetml/2009/9/main" objectType="Radio" lockText="1" noThreeD="1"/>
</file>

<file path=xl/ctrlProps/ctrlProp737.xml><?xml version="1.0" encoding="utf-8"?>
<formControlPr xmlns="http://schemas.microsoft.com/office/spreadsheetml/2009/9/main" objectType="Radio" lockText="1" noThreeD="1"/>
</file>

<file path=xl/ctrlProps/ctrlProp738.xml><?xml version="1.0" encoding="utf-8"?>
<formControlPr xmlns="http://schemas.microsoft.com/office/spreadsheetml/2009/9/main" objectType="Radio" checked="Checked" lockText="1" noThreeD="1"/>
</file>

<file path=xl/ctrlProps/ctrlProp739.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CheckBox" checked="Checked" lockText="1" noThreeD="1"/>
</file>

<file path=xl/ctrlProps/ctrlProp740.xml><?xml version="1.0" encoding="utf-8"?>
<formControlPr xmlns="http://schemas.microsoft.com/office/spreadsheetml/2009/9/main" objectType="Radio" lockText="1" noThreeD="1"/>
</file>

<file path=xl/ctrlProps/ctrlProp741.xml><?xml version="1.0" encoding="utf-8"?>
<formControlPr xmlns="http://schemas.microsoft.com/office/spreadsheetml/2009/9/main" objectType="Radio" lockText="1" noThreeD="1"/>
</file>

<file path=xl/ctrlProps/ctrlProp742.xml><?xml version="1.0" encoding="utf-8"?>
<formControlPr xmlns="http://schemas.microsoft.com/office/spreadsheetml/2009/9/main" objectType="Radio" lockText="1" noThreeD="1"/>
</file>

<file path=xl/ctrlProps/ctrlProp743.xml><?xml version="1.0" encoding="utf-8"?>
<formControlPr xmlns="http://schemas.microsoft.com/office/spreadsheetml/2009/9/main" objectType="Radio" lockText="1" noThreeD="1"/>
</file>

<file path=xl/ctrlProps/ctrlProp744.xml><?xml version="1.0" encoding="utf-8"?>
<formControlPr xmlns="http://schemas.microsoft.com/office/spreadsheetml/2009/9/main" objectType="Radio" lockText="1" noThreeD="1"/>
</file>

<file path=xl/ctrlProps/ctrlProp745.xml><?xml version="1.0" encoding="utf-8"?>
<formControlPr xmlns="http://schemas.microsoft.com/office/spreadsheetml/2009/9/main" objectType="Radio" checked="Checked" lockText="1" noThreeD="1"/>
</file>

<file path=xl/ctrlProps/ctrlProp746.xml><?xml version="1.0" encoding="utf-8"?>
<formControlPr xmlns="http://schemas.microsoft.com/office/spreadsheetml/2009/9/main" objectType="Radio" lockText="1" noThreeD="1"/>
</file>

<file path=xl/ctrlProps/ctrlProp747.xml><?xml version="1.0" encoding="utf-8"?>
<formControlPr xmlns="http://schemas.microsoft.com/office/spreadsheetml/2009/9/main" objectType="Radio" lockText="1" noThreeD="1"/>
</file>

<file path=xl/ctrlProps/ctrlProp748.xml><?xml version="1.0" encoding="utf-8"?>
<formControlPr xmlns="http://schemas.microsoft.com/office/spreadsheetml/2009/9/main" objectType="Radio" lockText="1" noThreeD="1"/>
</file>

<file path=xl/ctrlProps/ctrlProp749.xml><?xml version="1.0" encoding="utf-8"?>
<formControlPr xmlns="http://schemas.microsoft.com/office/spreadsheetml/2009/9/main" objectType="Radio" checked="Checked" lockText="1" noThreeD="1"/>
</file>

<file path=xl/ctrlProps/ctrlProp75.xml><?xml version="1.0" encoding="utf-8"?>
<formControlPr xmlns="http://schemas.microsoft.com/office/spreadsheetml/2009/9/main" objectType="CheckBox" checked="Checked" lockText="1" noThreeD="1"/>
</file>

<file path=xl/ctrlProps/ctrlProp750.xml><?xml version="1.0" encoding="utf-8"?>
<formControlPr xmlns="http://schemas.microsoft.com/office/spreadsheetml/2009/9/main" objectType="Radio" lockText="1" noThreeD="1"/>
</file>

<file path=xl/ctrlProps/ctrlProp751.xml><?xml version="1.0" encoding="utf-8"?>
<formControlPr xmlns="http://schemas.microsoft.com/office/spreadsheetml/2009/9/main" objectType="Radio" checked="Checked" lockText="1" noThreeD="1"/>
</file>

<file path=xl/ctrlProps/ctrlProp752.xml><?xml version="1.0" encoding="utf-8"?>
<formControlPr xmlns="http://schemas.microsoft.com/office/spreadsheetml/2009/9/main" objectType="Radio" checked="Checked" lockText="1" noThreeD="1"/>
</file>

<file path=xl/ctrlProps/ctrlProp753.xml><?xml version="1.0" encoding="utf-8"?>
<formControlPr xmlns="http://schemas.microsoft.com/office/spreadsheetml/2009/9/main" objectType="Radio" checked="Checked" lockText="1" noThreeD="1"/>
</file>

<file path=xl/ctrlProps/ctrlProp754.xml><?xml version="1.0" encoding="utf-8"?>
<formControlPr xmlns="http://schemas.microsoft.com/office/spreadsheetml/2009/9/main" objectType="Radio" lockText="1" noThreeD="1"/>
</file>

<file path=xl/ctrlProps/ctrlProp755.xml><?xml version="1.0" encoding="utf-8"?>
<formControlPr xmlns="http://schemas.microsoft.com/office/spreadsheetml/2009/9/main" objectType="Radio" checked="Checked" lockText="1" noThreeD="1"/>
</file>

<file path=xl/ctrlProps/ctrlProp756.xml><?xml version="1.0" encoding="utf-8"?>
<formControlPr xmlns="http://schemas.microsoft.com/office/spreadsheetml/2009/9/main" objectType="Radio" lockText="1" noThreeD="1"/>
</file>

<file path=xl/ctrlProps/ctrlProp757.xml><?xml version="1.0" encoding="utf-8"?>
<formControlPr xmlns="http://schemas.microsoft.com/office/spreadsheetml/2009/9/main" objectType="Radio" checked="Checked" lockText="1" noThreeD="1"/>
</file>

<file path=xl/ctrlProps/ctrlProp758.xml><?xml version="1.0" encoding="utf-8"?>
<formControlPr xmlns="http://schemas.microsoft.com/office/spreadsheetml/2009/9/main" objectType="Radio" lockText="1" noThreeD="1"/>
</file>

<file path=xl/ctrlProps/ctrlProp759.xml><?xml version="1.0" encoding="utf-8"?>
<formControlPr xmlns="http://schemas.microsoft.com/office/spreadsheetml/2009/9/main" objectType="Radio" checked="Checked" lockText="1" noThreeD="1"/>
</file>

<file path=xl/ctrlProps/ctrlProp76.xml><?xml version="1.0" encoding="utf-8"?>
<formControlPr xmlns="http://schemas.microsoft.com/office/spreadsheetml/2009/9/main" objectType="CheckBox" checked="Checked" lockText="1" noThreeD="1"/>
</file>

<file path=xl/ctrlProps/ctrlProp760.xml><?xml version="1.0" encoding="utf-8"?>
<formControlPr xmlns="http://schemas.microsoft.com/office/spreadsheetml/2009/9/main" objectType="Radio" lockText="1" noThreeD="1"/>
</file>

<file path=xl/ctrlProps/ctrlProp761.xml><?xml version="1.0" encoding="utf-8"?>
<formControlPr xmlns="http://schemas.microsoft.com/office/spreadsheetml/2009/9/main" objectType="Radio" checked="Checked" lockText="1" noThreeD="1"/>
</file>

<file path=xl/ctrlProps/ctrlProp762.xml><?xml version="1.0" encoding="utf-8"?>
<formControlPr xmlns="http://schemas.microsoft.com/office/spreadsheetml/2009/9/main" objectType="Radio" lockText="1" noThreeD="1"/>
</file>

<file path=xl/ctrlProps/ctrlProp763.xml><?xml version="1.0" encoding="utf-8"?>
<formControlPr xmlns="http://schemas.microsoft.com/office/spreadsheetml/2009/9/main" objectType="Radio" lockText="1" noThreeD="1"/>
</file>

<file path=xl/ctrlProps/ctrlProp764.xml><?xml version="1.0" encoding="utf-8"?>
<formControlPr xmlns="http://schemas.microsoft.com/office/spreadsheetml/2009/9/main" objectType="Radio" checked="Checked" lockText="1" noThreeD="1"/>
</file>

<file path=xl/ctrlProps/ctrlProp765.xml><?xml version="1.0" encoding="utf-8"?>
<formControlPr xmlns="http://schemas.microsoft.com/office/spreadsheetml/2009/9/main" objectType="Radio" lockText="1" noThreeD="1"/>
</file>

<file path=xl/ctrlProps/ctrlProp766.xml><?xml version="1.0" encoding="utf-8"?>
<formControlPr xmlns="http://schemas.microsoft.com/office/spreadsheetml/2009/9/main" objectType="Radio" checked="Checked" lockText="1" noThreeD="1"/>
</file>

<file path=xl/ctrlProps/ctrlProp767.xml><?xml version="1.0" encoding="utf-8"?>
<formControlPr xmlns="http://schemas.microsoft.com/office/spreadsheetml/2009/9/main" objectType="Radio" lockText="1" noThreeD="1"/>
</file>

<file path=xl/ctrlProps/ctrlProp768.xml><?xml version="1.0" encoding="utf-8"?>
<formControlPr xmlns="http://schemas.microsoft.com/office/spreadsheetml/2009/9/main" objectType="Radio" checked="Checked" lockText="1" noThreeD="1"/>
</file>

<file path=xl/ctrlProps/ctrlProp769.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CheckBox" checked="Checked" lockText="1" noThreeD="1"/>
</file>

<file path=xl/ctrlProps/ctrlProp770.xml><?xml version="1.0" encoding="utf-8"?>
<formControlPr xmlns="http://schemas.microsoft.com/office/spreadsheetml/2009/9/main" objectType="Radio" checked="Checked" lockText="1" noThreeD="1"/>
</file>

<file path=xl/ctrlProps/ctrlProp771.xml><?xml version="1.0" encoding="utf-8"?>
<formControlPr xmlns="http://schemas.microsoft.com/office/spreadsheetml/2009/9/main" objectType="Radio" lockText="1" noThreeD="1"/>
</file>

<file path=xl/ctrlProps/ctrlProp772.xml><?xml version="1.0" encoding="utf-8"?>
<formControlPr xmlns="http://schemas.microsoft.com/office/spreadsheetml/2009/9/main" objectType="Radio" lockText="1" noThreeD="1"/>
</file>

<file path=xl/ctrlProps/ctrlProp773.xml><?xml version="1.0" encoding="utf-8"?>
<formControlPr xmlns="http://schemas.microsoft.com/office/spreadsheetml/2009/9/main" objectType="Radio" lockText="1" noThreeD="1"/>
</file>

<file path=xl/ctrlProps/ctrlProp774.xml><?xml version="1.0" encoding="utf-8"?>
<formControlPr xmlns="http://schemas.microsoft.com/office/spreadsheetml/2009/9/main" objectType="Radio" lockText="1" noThreeD="1"/>
</file>

<file path=xl/ctrlProps/ctrlProp775.xml><?xml version="1.0" encoding="utf-8"?>
<formControlPr xmlns="http://schemas.microsoft.com/office/spreadsheetml/2009/9/main" objectType="Radio" checked="Checked" lockText="1" noThreeD="1"/>
</file>

<file path=xl/ctrlProps/ctrlProp776.xml><?xml version="1.0" encoding="utf-8"?>
<formControlPr xmlns="http://schemas.microsoft.com/office/spreadsheetml/2009/9/main" objectType="Radio" lockText="1" noThreeD="1"/>
</file>

<file path=xl/ctrlProps/ctrlProp777.xml><?xml version="1.0" encoding="utf-8"?>
<formControlPr xmlns="http://schemas.microsoft.com/office/spreadsheetml/2009/9/main" objectType="Radio" lockText="1" noThreeD="1"/>
</file>

<file path=xl/ctrlProps/ctrlProp778.xml><?xml version="1.0" encoding="utf-8"?>
<formControlPr xmlns="http://schemas.microsoft.com/office/spreadsheetml/2009/9/main" objectType="Radio" lockText="1" noThreeD="1"/>
</file>

<file path=xl/ctrlProps/ctrlProp779.xml><?xml version="1.0" encoding="utf-8"?>
<formControlPr xmlns="http://schemas.microsoft.com/office/spreadsheetml/2009/9/main" objectType="Radio" checked="Checked"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Radio" lockText="1" noThreeD="1"/>
</file>

<file path=xl/ctrlProps/ctrlProp781.xml><?xml version="1.0" encoding="utf-8"?>
<formControlPr xmlns="http://schemas.microsoft.com/office/spreadsheetml/2009/9/main" objectType="Radio" checked="Checked" lockText="1" noThreeD="1"/>
</file>

<file path=xl/ctrlProps/ctrlProp782.xml><?xml version="1.0" encoding="utf-8"?>
<formControlPr xmlns="http://schemas.microsoft.com/office/spreadsheetml/2009/9/main" objectType="Radio" checked="Checked" lockText="1" noThreeD="1"/>
</file>

<file path=xl/ctrlProps/ctrlProp783.xml><?xml version="1.0" encoding="utf-8"?>
<formControlPr xmlns="http://schemas.microsoft.com/office/spreadsheetml/2009/9/main" objectType="Radio" lockText="1" noThreeD="1"/>
</file>

<file path=xl/ctrlProps/ctrlProp784.xml><?xml version="1.0" encoding="utf-8"?>
<formControlPr xmlns="http://schemas.microsoft.com/office/spreadsheetml/2009/9/main" objectType="Radio" lockText="1" noThreeD="1"/>
</file>

<file path=xl/ctrlProps/ctrlProp785.xml><?xml version="1.0" encoding="utf-8"?>
<formControlPr xmlns="http://schemas.microsoft.com/office/spreadsheetml/2009/9/main" objectType="Radio" lockText="1" noThreeD="1"/>
</file>

<file path=xl/ctrlProps/ctrlProp786.xml><?xml version="1.0" encoding="utf-8"?>
<formControlPr xmlns="http://schemas.microsoft.com/office/spreadsheetml/2009/9/main" objectType="Radio" lockText="1" noThreeD="1"/>
</file>

<file path=xl/ctrlProps/ctrlProp787.xml><?xml version="1.0" encoding="utf-8"?>
<formControlPr xmlns="http://schemas.microsoft.com/office/spreadsheetml/2009/9/main" objectType="Radio" lockText="1" noThreeD="1"/>
</file>

<file path=xl/ctrlProps/ctrlProp788.xml><?xml version="1.0" encoding="utf-8"?>
<formControlPr xmlns="http://schemas.microsoft.com/office/spreadsheetml/2009/9/main" objectType="Radio" lockText="1" noThreeD="1"/>
</file>

<file path=xl/ctrlProps/ctrlProp789.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CheckBox" checked="Checked" lockText="1" noThreeD="1"/>
</file>

<file path=xl/ctrlProps/ctrlProp790.xml><?xml version="1.0" encoding="utf-8"?>
<formControlPr xmlns="http://schemas.microsoft.com/office/spreadsheetml/2009/9/main" objectType="Radio" lockText="1" noThreeD="1"/>
</file>

<file path=xl/ctrlProps/ctrlProp791.xml><?xml version="1.0" encoding="utf-8"?>
<formControlPr xmlns="http://schemas.microsoft.com/office/spreadsheetml/2009/9/main" objectType="GBox" noThreeD="1"/>
</file>

<file path=xl/ctrlProps/ctrlProp792.xml><?xml version="1.0" encoding="utf-8"?>
<formControlPr xmlns="http://schemas.microsoft.com/office/spreadsheetml/2009/9/main" objectType="GBox" noThreeD="1"/>
</file>

<file path=xl/ctrlProps/ctrlProp793.xml><?xml version="1.0" encoding="utf-8"?>
<formControlPr xmlns="http://schemas.microsoft.com/office/spreadsheetml/2009/9/main" objectType="GBox" noThreeD="1"/>
</file>

<file path=xl/ctrlProps/ctrlProp794.xml><?xml version="1.0" encoding="utf-8"?>
<formControlPr xmlns="http://schemas.microsoft.com/office/spreadsheetml/2009/9/main" objectType="GBox" noThreeD="1"/>
</file>

<file path=xl/ctrlProps/ctrlProp795.xml><?xml version="1.0" encoding="utf-8"?>
<formControlPr xmlns="http://schemas.microsoft.com/office/spreadsheetml/2009/9/main" objectType="GBox" noThreeD="1"/>
</file>

<file path=xl/ctrlProps/ctrlProp796.xml><?xml version="1.0" encoding="utf-8"?>
<formControlPr xmlns="http://schemas.microsoft.com/office/spreadsheetml/2009/9/main" objectType="GBox" noThreeD="1"/>
</file>

<file path=xl/ctrlProps/ctrlProp797.xml><?xml version="1.0" encoding="utf-8"?>
<formControlPr xmlns="http://schemas.microsoft.com/office/spreadsheetml/2009/9/main" objectType="GBox" noThreeD="1"/>
</file>

<file path=xl/ctrlProps/ctrlProp798.xml><?xml version="1.0" encoding="utf-8"?>
<formControlPr xmlns="http://schemas.microsoft.com/office/spreadsheetml/2009/9/main" objectType="GBox" noThreeD="1"/>
</file>

<file path=xl/ctrlProps/ctrlProp799.xml><?xml version="1.0" encoding="utf-8"?>
<formControlPr xmlns="http://schemas.microsoft.com/office/spreadsheetml/2009/9/main" objectType="GBox"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00.xml><?xml version="1.0" encoding="utf-8"?>
<formControlPr xmlns="http://schemas.microsoft.com/office/spreadsheetml/2009/9/main" objectType="GBox" noThreeD="1"/>
</file>

<file path=xl/ctrlProps/ctrlProp801.xml><?xml version="1.0" encoding="utf-8"?>
<formControlPr xmlns="http://schemas.microsoft.com/office/spreadsheetml/2009/9/main" objectType="GBox" noThreeD="1"/>
</file>

<file path=xl/ctrlProps/ctrlProp802.xml><?xml version="1.0" encoding="utf-8"?>
<formControlPr xmlns="http://schemas.microsoft.com/office/spreadsheetml/2009/9/main" objectType="GBox" noThreeD="1"/>
</file>

<file path=xl/ctrlProps/ctrlProp803.xml><?xml version="1.0" encoding="utf-8"?>
<formControlPr xmlns="http://schemas.microsoft.com/office/spreadsheetml/2009/9/main" objectType="GBox" noThreeD="1"/>
</file>

<file path=xl/ctrlProps/ctrlProp804.xml><?xml version="1.0" encoding="utf-8"?>
<formControlPr xmlns="http://schemas.microsoft.com/office/spreadsheetml/2009/9/main" objectType="GBox" noThreeD="1"/>
</file>

<file path=xl/ctrlProps/ctrlProp805.xml><?xml version="1.0" encoding="utf-8"?>
<formControlPr xmlns="http://schemas.microsoft.com/office/spreadsheetml/2009/9/main" objectType="GBox" noThreeD="1"/>
</file>

<file path=xl/ctrlProps/ctrlProp806.xml><?xml version="1.0" encoding="utf-8"?>
<formControlPr xmlns="http://schemas.microsoft.com/office/spreadsheetml/2009/9/main" objectType="Radio" lockText="1" noThreeD="1"/>
</file>

<file path=xl/ctrlProps/ctrlProp807.xml><?xml version="1.0" encoding="utf-8"?>
<formControlPr xmlns="http://schemas.microsoft.com/office/spreadsheetml/2009/9/main" objectType="Radio" lockText="1" noThreeD="1"/>
</file>

<file path=xl/ctrlProps/ctrlProp808.xml><?xml version="1.0" encoding="utf-8"?>
<formControlPr xmlns="http://schemas.microsoft.com/office/spreadsheetml/2009/9/main" objectType="GBox" noThreeD="1"/>
</file>

<file path=xl/ctrlProps/ctrlProp809.xml><?xml version="1.0" encoding="utf-8"?>
<formControlPr xmlns="http://schemas.microsoft.com/office/spreadsheetml/2009/9/main" objectType="GBox" noThreeD="1"/>
</file>

<file path=xl/ctrlProps/ctrlProp81.xml><?xml version="1.0" encoding="utf-8"?>
<formControlPr xmlns="http://schemas.microsoft.com/office/spreadsheetml/2009/9/main" objectType="CheckBox" checked="Checked" lockText="1" noThreeD="1"/>
</file>

<file path=xl/ctrlProps/ctrlProp810.xml><?xml version="1.0" encoding="utf-8"?>
<formControlPr xmlns="http://schemas.microsoft.com/office/spreadsheetml/2009/9/main" objectType="GBox" noThreeD="1"/>
</file>

<file path=xl/ctrlProps/ctrlProp811.xml><?xml version="1.0" encoding="utf-8"?>
<formControlPr xmlns="http://schemas.microsoft.com/office/spreadsheetml/2009/9/main" objectType="GBox" noThreeD="1"/>
</file>

<file path=xl/ctrlProps/ctrlProp812.xml><?xml version="1.0" encoding="utf-8"?>
<formControlPr xmlns="http://schemas.microsoft.com/office/spreadsheetml/2009/9/main" objectType="GBox" noThreeD="1"/>
</file>

<file path=xl/ctrlProps/ctrlProp813.xml><?xml version="1.0" encoding="utf-8"?>
<formControlPr xmlns="http://schemas.microsoft.com/office/spreadsheetml/2009/9/main" objectType="GBox" noThreeD="1"/>
</file>

<file path=xl/ctrlProps/ctrlProp814.xml><?xml version="1.0" encoding="utf-8"?>
<formControlPr xmlns="http://schemas.microsoft.com/office/spreadsheetml/2009/9/main" objectType="GBox" noThreeD="1"/>
</file>

<file path=xl/ctrlProps/ctrlProp815.xml><?xml version="1.0" encoding="utf-8"?>
<formControlPr xmlns="http://schemas.microsoft.com/office/spreadsheetml/2009/9/main" objectType="GBox" noThreeD="1"/>
</file>

<file path=xl/ctrlProps/ctrlProp816.xml><?xml version="1.0" encoding="utf-8"?>
<formControlPr xmlns="http://schemas.microsoft.com/office/spreadsheetml/2009/9/main" objectType="GBox" noThreeD="1"/>
</file>

<file path=xl/ctrlProps/ctrlProp817.xml><?xml version="1.0" encoding="utf-8"?>
<formControlPr xmlns="http://schemas.microsoft.com/office/spreadsheetml/2009/9/main" objectType="GBox" noThreeD="1"/>
</file>

<file path=xl/ctrlProps/ctrlProp818.xml><?xml version="1.0" encoding="utf-8"?>
<formControlPr xmlns="http://schemas.microsoft.com/office/spreadsheetml/2009/9/main" objectType="GBox" noThreeD="1"/>
</file>

<file path=xl/ctrlProps/ctrlProp819.xml><?xml version="1.0" encoding="utf-8"?>
<formControlPr xmlns="http://schemas.microsoft.com/office/spreadsheetml/2009/9/main" objectType="GBox" noThreeD="1"/>
</file>

<file path=xl/ctrlProps/ctrlProp82.xml><?xml version="1.0" encoding="utf-8"?>
<formControlPr xmlns="http://schemas.microsoft.com/office/spreadsheetml/2009/9/main" objectType="CheckBox" checked="Checked" lockText="1" noThreeD="1"/>
</file>

<file path=xl/ctrlProps/ctrlProp820.xml><?xml version="1.0" encoding="utf-8"?>
<formControlPr xmlns="http://schemas.microsoft.com/office/spreadsheetml/2009/9/main" objectType="GBox" noThreeD="1"/>
</file>

<file path=xl/ctrlProps/ctrlProp821.xml><?xml version="1.0" encoding="utf-8"?>
<formControlPr xmlns="http://schemas.microsoft.com/office/spreadsheetml/2009/9/main" objectType="GBox" noThreeD="1"/>
</file>

<file path=xl/ctrlProps/ctrlProp822.xml><?xml version="1.0" encoding="utf-8"?>
<formControlPr xmlns="http://schemas.microsoft.com/office/spreadsheetml/2009/9/main" objectType="GBox" noThreeD="1"/>
</file>

<file path=xl/ctrlProps/ctrlProp823.xml><?xml version="1.0" encoding="utf-8"?>
<formControlPr xmlns="http://schemas.microsoft.com/office/spreadsheetml/2009/9/main" objectType="GBox" noThreeD="1"/>
</file>

<file path=xl/ctrlProps/ctrlProp824.xml><?xml version="1.0" encoding="utf-8"?>
<formControlPr xmlns="http://schemas.microsoft.com/office/spreadsheetml/2009/9/main" objectType="GBox" noThreeD="1"/>
</file>

<file path=xl/ctrlProps/ctrlProp825.xml><?xml version="1.0" encoding="utf-8"?>
<formControlPr xmlns="http://schemas.microsoft.com/office/spreadsheetml/2009/9/main" objectType="GBox" noThreeD="1"/>
</file>

<file path=xl/ctrlProps/ctrlProp826.xml><?xml version="1.0" encoding="utf-8"?>
<formControlPr xmlns="http://schemas.microsoft.com/office/spreadsheetml/2009/9/main" objectType="GBox" noThreeD="1"/>
</file>

<file path=xl/ctrlProps/ctrlProp827.xml><?xml version="1.0" encoding="utf-8"?>
<formControlPr xmlns="http://schemas.microsoft.com/office/spreadsheetml/2009/9/main" objectType="GBox" noThreeD="1"/>
</file>

<file path=xl/ctrlProps/ctrlProp828.xml><?xml version="1.0" encoding="utf-8"?>
<formControlPr xmlns="http://schemas.microsoft.com/office/spreadsheetml/2009/9/main" objectType="Radio" lockText="1" noThreeD="1"/>
</file>

<file path=xl/ctrlProps/ctrlProp829.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CheckBox" checked="Checked" lockText="1" noThreeD="1"/>
</file>

<file path=xl/ctrlProps/ctrlProp830.xml><?xml version="1.0" encoding="utf-8"?>
<formControlPr xmlns="http://schemas.microsoft.com/office/spreadsheetml/2009/9/main" objectType="Radio" lockText="1" noThreeD="1"/>
</file>

<file path=xl/ctrlProps/ctrlProp831.xml><?xml version="1.0" encoding="utf-8"?>
<formControlPr xmlns="http://schemas.microsoft.com/office/spreadsheetml/2009/9/main" objectType="Radio" lockText="1" noThreeD="1"/>
</file>

<file path=xl/ctrlProps/ctrlProp832.xml><?xml version="1.0" encoding="utf-8"?>
<formControlPr xmlns="http://schemas.microsoft.com/office/spreadsheetml/2009/9/main" objectType="Radio" lockText="1" noThreeD="1"/>
</file>

<file path=xl/ctrlProps/ctrlProp833.xml><?xml version="1.0" encoding="utf-8"?>
<formControlPr xmlns="http://schemas.microsoft.com/office/spreadsheetml/2009/9/main" objectType="Radio" lockText="1" noThreeD="1"/>
</file>

<file path=xl/ctrlProps/ctrlProp834.xml><?xml version="1.0" encoding="utf-8"?>
<formControlPr xmlns="http://schemas.microsoft.com/office/spreadsheetml/2009/9/main" objectType="Radio" lockText="1" noThreeD="1"/>
</file>

<file path=xl/ctrlProps/ctrlProp835.xml><?xml version="1.0" encoding="utf-8"?>
<formControlPr xmlns="http://schemas.microsoft.com/office/spreadsheetml/2009/9/main" objectType="Radio" checked="Checked" lockText="1" noThreeD="1"/>
</file>

<file path=xl/ctrlProps/ctrlProp836.xml><?xml version="1.0" encoding="utf-8"?>
<formControlPr xmlns="http://schemas.microsoft.com/office/spreadsheetml/2009/9/main" objectType="Radio" lockText="1" noThreeD="1"/>
</file>

<file path=xl/ctrlProps/ctrlProp837.xml><?xml version="1.0" encoding="utf-8"?>
<formControlPr xmlns="http://schemas.microsoft.com/office/spreadsheetml/2009/9/main" objectType="Radio" lockText="1" noThreeD="1"/>
</file>

<file path=xl/ctrlProps/ctrlProp838.xml><?xml version="1.0" encoding="utf-8"?>
<formControlPr xmlns="http://schemas.microsoft.com/office/spreadsheetml/2009/9/main" objectType="Radio" lockText="1" noThreeD="1"/>
</file>

<file path=xl/ctrlProps/ctrlProp839.xml><?xml version="1.0" encoding="utf-8"?>
<formControlPr xmlns="http://schemas.microsoft.com/office/spreadsheetml/2009/9/main" objectType="Radio" checked="Checked" lockText="1" noThreeD="1"/>
</file>

<file path=xl/ctrlProps/ctrlProp84.xml><?xml version="1.0" encoding="utf-8"?>
<formControlPr xmlns="http://schemas.microsoft.com/office/spreadsheetml/2009/9/main" objectType="CheckBox" checked="Checked" lockText="1" noThreeD="1"/>
</file>

<file path=xl/ctrlProps/ctrlProp840.xml><?xml version="1.0" encoding="utf-8"?>
<formControlPr xmlns="http://schemas.microsoft.com/office/spreadsheetml/2009/9/main" objectType="Radio" lockText="1" noThreeD="1"/>
</file>

<file path=xl/ctrlProps/ctrlProp841.xml><?xml version="1.0" encoding="utf-8"?>
<formControlPr xmlns="http://schemas.microsoft.com/office/spreadsheetml/2009/9/main" objectType="Radio" checked="Checked" lockText="1" noThreeD="1"/>
</file>

<file path=xl/ctrlProps/ctrlProp842.xml><?xml version="1.0" encoding="utf-8"?>
<formControlPr xmlns="http://schemas.microsoft.com/office/spreadsheetml/2009/9/main" objectType="Radio" lockText="1" noThreeD="1"/>
</file>

<file path=xl/ctrlProps/ctrlProp843.xml><?xml version="1.0" encoding="utf-8"?>
<formControlPr xmlns="http://schemas.microsoft.com/office/spreadsheetml/2009/9/main" objectType="Radio" checked="Checked" lockText="1" noThreeD="1"/>
</file>

<file path=xl/ctrlProps/ctrlProp844.xml><?xml version="1.0" encoding="utf-8"?>
<formControlPr xmlns="http://schemas.microsoft.com/office/spreadsheetml/2009/9/main" objectType="Radio" lockText="1" noThreeD="1"/>
</file>

<file path=xl/ctrlProps/ctrlProp845.xml><?xml version="1.0" encoding="utf-8"?>
<formControlPr xmlns="http://schemas.microsoft.com/office/spreadsheetml/2009/9/main" objectType="Radio" lockText="1" noThreeD="1"/>
</file>

<file path=xl/ctrlProps/ctrlProp846.xml><?xml version="1.0" encoding="utf-8"?>
<formControlPr xmlns="http://schemas.microsoft.com/office/spreadsheetml/2009/9/main" objectType="Radio" lockText="1" noThreeD="1"/>
</file>

<file path=xl/ctrlProps/ctrlProp847.xml><?xml version="1.0" encoding="utf-8"?>
<formControlPr xmlns="http://schemas.microsoft.com/office/spreadsheetml/2009/9/main" objectType="Radio" lockText="1" noThreeD="1"/>
</file>

<file path=xl/ctrlProps/ctrlProp848.xml><?xml version="1.0" encoding="utf-8"?>
<formControlPr xmlns="http://schemas.microsoft.com/office/spreadsheetml/2009/9/main" objectType="GBox" noThreeD="1"/>
</file>

<file path=xl/ctrlProps/ctrlProp849.xml><?xml version="1.0" encoding="utf-8"?>
<formControlPr xmlns="http://schemas.microsoft.com/office/spreadsheetml/2009/9/main" objectType="Radio" firstButton="1" fmlaLink="$AB$170"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Radio" lockText="1" noThreeD="1"/>
</file>

<file path=xl/ctrlProps/ctrlProp851.xml><?xml version="1.0" encoding="utf-8"?>
<formControlPr xmlns="http://schemas.microsoft.com/office/spreadsheetml/2009/9/main" objectType="Radio" lockText="1" noThreeD="1"/>
</file>

<file path=xl/ctrlProps/ctrlProp852.xml><?xml version="1.0" encoding="utf-8"?>
<formControlPr xmlns="http://schemas.microsoft.com/office/spreadsheetml/2009/9/main" objectType="Radio" lockText="1" noThreeD="1"/>
</file>

<file path=xl/ctrlProps/ctrlProp853.xml><?xml version="1.0" encoding="utf-8"?>
<formControlPr xmlns="http://schemas.microsoft.com/office/spreadsheetml/2009/9/main" objectType="Radio" checked="Checked" lockText="1" noThreeD="1"/>
</file>

<file path=xl/ctrlProps/ctrlProp854.xml><?xml version="1.0" encoding="utf-8"?>
<formControlPr xmlns="http://schemas.microsoft.com/office/spreadsheetml/2009/9/main" objectType="GBox" noThreeD="1"/>
</file>

<file path=xl/ctrlProps/ctrlProp855.xml><?xml version="1.0" encoding="utf-8"?>
<formControlPr xmlns="http://schemas.microsoft.com/office/spreadsheetml/2009/9/main" objectType="Radio" firstButton="1" fmlaLink="$AB$171" lockText="1" noThreeD="1"/>
</file>

<file path=xl/ctrlProps/ctrlProp856.xml><?xml version="1.0" encoding="utf-8"?>
<formControlPr xmlns="http://schemas.microsoft.com/office/spreadsheetml/2009/9/main" objectType="Radio" lockText="1" noThreeD="1"/>
</file>

<file path=xl/ctrlProps/ctrlProp857.xml><?xml version="1.0" encoding="utf-8"?>
<formControlPr xmlns="http://schemas.microsoft.com/office/spreadsheetml/2009/9/main" objectType="Radio" lockText="1" noThreeD="1"/>
</file>

<file path=xl/ctrlProps/ctrlProp858.xml><?xml version="1.0" encoding="utf-8"?>
<formControlPr xmlns="http://schemas.microsoft.com/office/spreadsheetml/2009/9/main" objectType="Radio" checked="Checked" lockText="1" noThreeD="1"/>
</file>

<file path=xl/ctrlProps/ctrlProp859.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CheckBox" checked="Checked" lockText="1" noThreeD="1"/>
</file>

<file path=xl/ctrlProps/ctrlProp860.xml><?xml version="1.0" encoding="utf-8"?>
<formControlPr xmlns="http://schemas.microsoft.com/office/spreadsheetml/2009/9/main" objectType="GBox" noThreeD="1"/>
</file>

<file path=xl/ctrlProps/ctrlProp861.xml><?xml version="1.0" encoding="utf-8"?>
<formControlPr xmlns="http://schemas.microsoft.com/office/spreadsheetml/2009/9/main" objectType="Radio" firstButton="1" fmlaLink="$AB$172" lockText="1" noThreeD="1"/>
</file>

<file path=xl/ctrlProps/ctrlProp862.xml><?xml version="1.0" encoding="utf-8"?>
<formControlPr xmlns="http://schemas.microsoft.com/office/spreadsheetml/2009/9/main" objectType="Radio" lockText="1" noThreeD="1"/>
</file>

<file path=xl/ctrlProps/ctrlProp863.xml><?xml version="1.0" encoding="utf-8"?>
<formControlPr xmlns="http://schemas.microsoft.com/office/spreadsheetml/2009/9/main" objectType="Radio" lockText="1" noThreeD="1"/>
</file>

<file path=xl/ctrlProps/ctrlProp864.xml><?xml version="1.0" encoding="utf-8"?>
<formControlPr xmlns="http://schemas.microsoft.com/office/spreadsheetml/2009/9/main" objectType="Radio" lockText="1" noThreeD="1"/>
</file>

<file path=xl/ctrlProps/ctrlProp865.xml><?xml version="1.0" encoding="utf-8"?>
<formControlPr xmlns="http://schemas.microsoft.com/office/spreadsheetml/2009/9/main" objectType="Radio" checked="Checked" lockText="1" noThreeD="1"/>
</file>

<file path=xl/ctrlProps/ctrlProp866.xml><?xml version="1.0" encoding="utf-8"?>
<formControlPr xmlns="http://schemas.microsoft.com/office/spreadsheetml/2009/9/main" objectType="GBox" noThreeD="1"/>
</file>

<file path=xl/ctrlProps/ctrlProp867.xml><?xml version="1.0" encoding="utf-8"?>
<formControlPr xmlns="http://schemas.microsoft.com/office/spreadsheetml/2009/9/main" objectType="Radio" firstButton="1" fmlaLink="$AB$173" lockText="1" noThreeD="1"/>
</file>

<file path=xl/ctrlProps/ctrlProp868.xml><?xml version="1.0" encoding="utf-8"?>
<formControlPr xmlns="http://schemas.microsoft.com/office/spreadsheetml/2009/9/main" objectType="Radio" checked="Checked" lockText="1" noThreeD="1"/>
</file>

<file path=xl/ctrlProps/ctrlProp869.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Radio" lockText="1" noThreeD="1"/>
</file>

<file path=xl/ctrlProps/ctrlProp871.xml><?xml version="1.0" encoding="utf-8"?>
<formControlPr xmlns="http://schemas.microsoft.com/office/spreadsheetml/2009/9/main" objectType="Radio" lockText="1" noThreeD="1"/>
</file>

<file path=xl/ctrlProps/ctrlProp872.xml><?xml version="1.0" encoding="utf-8"?>
<formControlPr xmlns="http://schemas.microsoft.com/office/spreadsheetml/2009/9/main" objectType="GBox" noThreeD="1"/>
</file>

<file path=xl/ctrlProps/ctrlProp873.xml><?xml version="1.0" encoding="utf-8"?>
<formControlPr xmlns="http://schemas.microsoft.com/office/spreadsheetml/2009/9/main" objectType="Radio" firstButton="1" fmlaLink="$AB$174" lockText="1" noThreeD="1"/>
</file>

<file path=xl/ctrlProps/ctrlProp874.xml><?xml version="1.0" encoding="utf-8"?>
<formControlPr xmlns="http://schemas.microsoft.com/office/spreadsheetml/2009/9/main" objectType="Radio" checked="Checked" lockText="1" noThreeD="1"/>
</file>

<file path=xl/ctrlProps/ctrlProp875.xml><?xml version="1.0" encoding="utf-8"?>
<formControlPr xmlns="http://schemas.microsoft.com/office/spreadsheetml/2009/9/main" objectType="Radio" lockText="1" noThreeD="1"/>
</file>

<file path=xl/ctrlProps/ctrlProp876.xml><?xml version="1.0" encoding="utf-8"?>
<formControlPr xmlns="http://schemas.microsoft.com/office/spreadsheetml/2009/9/main" objectType="Radio" lockText="1" noThreeD="1"/>
</file>

<file path=xl/ctrlProps/ctrlProp877.xml><?xml version="1.0" encoding="utf-8"?>
<formControlPr xmlns="http://schemas.microsoft.com/office/spreadsheetml/2009/9/main" objectType="Radio" lockText="1" noThreeD="1"/>
</file>

<file path=xl/ctrlProps/ctrlProp878.xml><?xml version="1.0" encoding="utf-8"?>
<formControlPr xmlns="http://schemas.microsoft.com/office/spreadsheetml/2009/9/main" objectType="GBox" noThreeD="1"/>
</file>

<file path=xl/ctrlProps/ctrlProp879.xml><?xml version="1.0" encoding="utf-8"?>
<formControlPr xmlns="http://schemas.microsoft.com/office/spreadsheetml/2009/9/main" objectType="Radio" firstButton="1" fmlaLink="$AB$175"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Radio" lockText="1" noThreeD="1"/>
</file>

<file path=xl/ctrlProps/ctrlProp881.xml><?xml version="1.0" encoding="utf-8"?>
<formControlPr xmlns="http://schemas.microsoft.com/office/spreadsheetml/2009/9/main" objectType="Radio" lockText="1" noThreeD="1"/>
</file>

<file path=xl/ctrlProps/ctrlProp882.xml><?xml version="1.0" encoding="utf-8"?>
<formControlPr xmlns="http://schemas.microsoft.com/office/spreadsheetml/2009/9/main" objectType="Radio" lockText="1" noThreeD="1"/>
</file>

<file path=xl/ctrlProps/ctrlProp883.xml><?xml version="1.0" encoding="utf-8"?>
<formControlPr xmlns="http://schemas.microsoft.com/office/spreadsheetml/2009/9/main" objectType="Radio" checked="Checked" lockText="1" noThreeD="1"/>
</file>

<file path=xl/ctrlProps/ctrlProp884.xml><?xml version="1.0" encoding="utf-8"?>
<formControlPr xmlns="http://schemas.microsoft.com/office/spreadsheetml/2009/9/main" objectType="GBox" noThreeD="1"/>
</file>

<file path=xl/ctrlProps/ctrlProp885.xml><?xml version="1.0" encoding="utf-8"?>
<formControlPr xmlns="http://schemas.microsoft.com/office/spreadsheetml/2009/9/main" objectType="Radio" firstButton="1" fmlaLink="$AB$176" lockText="1" noThreeD="1"/>
</file>

<file path=xl/ctrlProps/ctrlProp886.xml><?xml version="1.0" encoding="utf-8"?>
<formControlPr xmlns="http://schemas.microsoft.com/office/spreadsheetml/2009/9/main" objectType="Radio" lockText="1" noThreeD="1"/>
</file>

<file path=xl/ctrlProps/ctrlProp887.xml><?xml version="1.0" encoding="utf-8"?>
<formControlPr xmlns="http://schemas.microsoft.com/office/spreadsheetml/2009/9/main" objectType="Radio" lockText="1" noThreeD="1"/>
</file>

<file path=xl/ctrlProps/ctrlProp888.xml><?xml version="1.0" encoding="utf-8"?>
<formControlPr xmlns="http://schemas.microsoft.com/office/spreadsheetml/2009/9/main" objectType="Radio" lockText="1" noThreeD="1"/>
</file>

<file path=xl/ctrlProps/ctrlProp889.xml><?xml version="1.0" encoding="utf-8"?>
<formControlPr xmlns="http://schemas.microsoft.com/office/spreadsheetml/2009/9/main" objectType="Radio" checked="Checked" lockText="1" noThreeD="1"/>
</file>

<file path=xl/ctrlProps/ctrlProp89.xml><?xml version="1.0" encoding="utf-8"?>
<formControlPr xmlns="http://schemas.microsoft.com/office/spreadsheetml/2009/9/main" objectType="CheckBox" checked="Checked" lockText="1" noThreeD="1"/>
</file>

<file path=xl/ctrlProps/ctrlProp890.xml><?xml version="1.0" encoding="utf-8"?>
<formControlPr xmlns="http://schemas.microsoft.com/office/spreadsheetml/2009/9/main" objectType="GBox" noThreeD="1"/>
</file>

<file path=xl/ctrlProps/ctrlProp891.xml><?xml version="1.0" encoding="utf-8"?>
<formControlPr xmlns="http://schemas.microsoft.com/office/spreadsheetml/2009/9/main" objectType="Radio" firstButton="1" fmlaLink="$AB$177" lockText="1" noThreeD="1"/>
</file>

<file path=xl/ctrlProps/ctrlProp892.xml><?xml version="1.0" encoding="utf-8"?>
<formControlPr xmlns="http://schemas.microsoft.com/office/spreadsheetml/2009/9/main" objectType="Radio" lockText="1" noThreeD="1"/>
</file>

<file path=xl/ctrlProps/ctrlProp893.xml><?xml version="1.0" encoding="utf-8"?>
<formControlPr xmlns="http://schemas.microsoft.com/office/spreadsheetml/2009/9/main" objectType="Radio" lockText="1" noThreeD="1"/>
</file>

<file path=xl/ctrlProps/ctrlProp894.xml><?xml version="1.0" encoding="utf-8"?>
<formControlPr xmlns="http://schemas.microsoft.com/office/spreadsheetml/2009/9/main" objectType="Radio" lockText="1" noThreeD="1"/>
</file>

<file path=xl/ctrlProps/ctrlProp895.xml><?xml version="1.0" encoding="utf-8"?>
<formControlPr xmlns="http://schemas.microsoft.com/office/spreadsheetml/2009/9/main" objectType="Radio" checked="Checked" lockText="1" noThreeD="1"/>
</file>

<file path=xl/ctrlProps/ctrlProp896.xml><?xml version="1.0" encoding="utf-8"?>
<formControlPr xmlns="http://schemas.microsoft.com/office/spreadsheetml/2009/9/main" objectType="Radio" firstButton="1" fmlaLink="$AB$178" lockText="1" noThreeD="1"/>
</file>

<file path=xl/ctrlProps/ctrlProp897.xml><?xml version="1.0" encoding="utf-8"?>
<formControlPr xmlns="http://schemas.microsoft.com/office/spreadsheetml/2009/9/main" objectType="Radio" lockText="1" noThreeD="1"/>
</file>

<file path=xl/ctrlProps/ctrlProp898.xml><?xml version="1.0" encoding="utf-8"?>
<formControlPr xmlns="http://schemas.microsoft.com/office/spreadsheetml/2009/9/main" objectType="Radio" lockText="1" noThreeD="1"/>
</file>

<file path=xl/ctrlProps/ctrlProp899.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Radio" lockText="1" noThreeD="1"/>
</file>

<file path=xl/ctrlProps/ctrlProp901.xml><?xml version="1.0" encoding="utf-8"?>
<formControlPr xmlns="http://schemas.microsoft.com/office/spreadsheetml/2009/9/main" objectType="GBox" noThreeD="1"/>
</file>

<file path=xl/ctrlProps/ctrlProp902.xml><?xml version="1.0" encoding="utf-8"?>
<formControlPr xmlns="http://schemas.microsoft.com/office/spreadsheetml/2009/9/main" objectType="Radio" firstButton="1" fmlaLink="$AB$76" lockText="1" noThreeD="1"/>
</file>

<file path=xl/ctrlProps/ctrlProp903.xml><?xml version="1.0" encoding="utf-8"?>
<formControlPr xmlns="http://schemas.microsoft.com/office/spreadsheetml/2009/9/main" objectType="Radio" lockText="1" noThreeD="1"/>
</file>

<file path=xl/ctrlProps/ctrlProp904.xml><?xml version="1.0" encoding="utf-8"?>
<formControlPr xmlns="http://schemas.microsoft.com/office/spreadsheetml/2009/9/main" objectType="Radio" lockText="1" noThreeD="1"/>
</file>

<file path=xl/ctrlProps/ctrlProp905.xml><?xml version="1.0" encoding="utf-8"?>
<formControlPr xmlns="http://schemas.microsoft.com/office/spreadsheetml/2009/9/main" objectType="Radio" checked="Checked" lockText="1" noThreeD="1"/>
</file>

<file path=xl/ctrlProps/ctrlProp906.xml><?xml version="1.0" encoding="utf-8"?>
<formControlPr xmlns="http://schemas.microsoft.com/office/spreadsheetml/2009/9/main" objectType="Radio" lockText="1" noThreeD="1"/>
</file>

<file path=xl/ctrlProps/ctrlProp907.xml><?xml version="1.0" encoding="utf-8"?>
<formControlPr xmlns="http://schemas.microsoft.com/office/spreadsheetml/2009/9/main" objectType="GBox" noThreeD="1"/>
</file>

<file path=xl/ctrlProps/ctrlProp908.xml><?xml version="1.0" encoding="utf-8"?>
<formControlPr xmlns="http://schemas.microsoft.com/office/spreadsheetml/2009/9/main" objectType="Radio" firstButton="1" fmlaLink="$AB$136" lockText="1" noThreeD="1"/>
</file>

<file path=xl/ctrlProps/ctrlProp909.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Radio" lockText="1" noThreeD="1"/>
</file>

<file path=xl/ctrlProps/ctrlProp911.xml><?xml version="1.0" encoding="utf-8"?>
<formControlPr xmlns="http://schemas.microsoft.com/office/spreadsheetml/2009/9/main" objectType="Radio" checked="Checked" lockText="1" noThreeD="1"/>
</file>

<file path=xl/ctrlProps/ctrlProp912.xml><?xml version="1.0" encoding="utf-8"?>
<formControlPr xmlns="http://schemas.microsoft.com/office/spreadsheetml/2009/9/main" objectType="Radio" lockText="1" noThreeD="1"/>
</file>

<file path=xl/ctrlProps/ctrlProp913.xml><?xml version="1.0" encoding="utf-8"?>
<formControlPr xmlns="http://schemas.microsoft.com/office/spreadsheetml/2009/9/main" objectType="GBox" noThreeD="1"/>
</file>

<file path=xl/ctrlProps/ctrlProp914.xml><?xml version="1.0" encoding="utf-8"?>
<formControlPr xmlns="http://schemas.microsoft.com/office/spreadsheetml/2009/9/main" objectType="Radio" firstButton="1" fmlaLink="$AB$179" lockText="1" noThreeD="1"/>
</file>

<file path=xl/ctrlProps/ctrlProp915.xml><?xml version="1.0" encoding="utf-8"?>
<formControlPr xmlns="http://schemas.microsoft.com/office/spreadsheetml/2009/9/main" objectType="Radio" lockText="1" noThreeD="1"/>
</file>

<file path=xl/ctrlProps/ctrlProp916.xml><?xml version="1.0" encoding="utf-8"?>
<formControlPr xmlns="http://schemas.microsoft.com/office/spreadsheetml/2009/9/main" objectType="Radio" lockText="1" noThreeD="1"/>
</file>

<file path=xl/ctrlProps/ctrlProp917.xml><?xml version="1.0" encoding="utf-8"?>
<formControlPr xmlns="http://schemas.microsoft.com/office/spreadsheetml/2009/9/main" objectType="Radio" lockText="1" noThreeD="1"/>
</file>

<file path=xl/ctrlProps/ctrlProp918.xml><?xml version="1.0" encoding="utf-8"?>
<formControlPr xmlns="http://schemas.microsoft.com/office/spreadsheetml/2009/9/main" objectType="Radio" checked="Checked" lockText="1" noThreeD="1"/>
</file>

<file path=xl/ctrlProps/ctrlProp919.xml><?xml version="1.0" encoding="utf-8"?>
<formControlPr xmlns="http://schemas.microsoft.com/office/spreadsheetml/2009/9/main" objectType="GBox" noThreeD="1"/>
</file>

<file path=xl/ctrlProps/ctrlProp92.xml><?xml version="1.0" encoding="utf-8"?>
<formControlPr xmlns="http://schemas.microsoft.com/office/spreadsheetml/2009/9/main" objectType="CheckBox" checked="Checked" lockText="1" noThreeD="1"/>
</file>

<file path=xl/ctrlProps/ctrlProp920.xml><?xml version="1.0" encoding="utf-8"?>
<formControlPr xmlns="http://schemas.microsoft.com/office/spreadsheetml/2009/9/main" objectType="Radio" checked="Checked" firstButton="1" fmlaLink="$AB$188" lockText="1" noThreeD="1"/>
</file>

<file path=xl/ctrlProps/ctrlProp921.xml><?xml version="1.0" encoding="utf-8"?>
<formControlPr xmlns="http://schemas.microsoft.com/office/spreadsheetml/2009/9/main" objectType="Radio" lockText="1" noThreeD="1"/>
</file>

<file path=xl/ctrlProps/ctrlProp922.xml><?xml version="1.0" encoding="utf-8"?>
<formControlPr xmlns="http://schemas.microsoft.com/office/spreadsheetml/2009/9/main" objectType="Radio" lockText="1" noThreeD="1"/>
</file>

<file path=xl/ctrlProps/ctrlProp923.xml><?xml version="1.0" encoding="utf-8"?>
<formControlPr xmlns="http://schemas.microsoft.com/office/spreadsheetml/2009/9/main" objectType="Radio" lockText="1" noThreeD="1"/>
</file>

<file path=xl/ctrlProps/ctrlProp924.xml><?xml version="1.0" encoding="utf-8"?>
<formControlPr xmlns="http://schemas.microsoft.com/office/spreadsheetml/2009/9/main" objectType="Radio" lockText="1" noThreeD="1"/>
</file>

<file path=xl/ctrlProps/ctrlProp925.xml><?xml version="1.0" encoding="utf-8"?>
<formControlPr xmlns="http://schemas.microsoft.com/office/spreadsheetml/2009/9/main" objectType="GBox" noThreeD="1"/>
</file>

<file path=xl/ctrlProps/ctrlProp926.xml><?xml version="1.0" encoding="utf-8"?>
<formControlPr xmlns="http://schemas.microsoft.com/office/spreadsheetml/2009/9/main" objectType="Radio" firstButton="1" fmlaLink="$AB$190" lockText="1" noThreeD="1"/>
</file>

<file path=xl/ctrlProps/ctrlProp927.xml><?xml version="1.0" encoding="utf-8"?>
<formControlPr xmlns="http://schemas.microsoft.com/office/spreadsheetml/2009/9/main" objectType="Radio" lockText="1" noThreeD="1"/>
</file>

<file path=xl/ctrlProps/ctrlProp928.xml><?xml version="1.0" encoding="utf-8"?>
<formControlPr xmlns="http://schemas.microsoft.com/office/spreadsheetml/2009/9/main" objectType="Radio" lockText="1" noThreeD="1"/>
</file>

<file path=xl/ctrlProps/ctrlProp929.xml><?xml version="1.0" encoding="utf-8"?>
<formControlPr xmlns="http://schemas.microsoft.com/office/spreadsheetml/2009/9/main" objectType="Radio" checked="Checked" lockText="1" noThreeD="1"/>
</file>

<file path=xl/ctrlProps/ctrlProp93.xml><?xml version="1.0" encoding="utf-8"?>
<formControlPr xmlns="http://schemas.microsoft.com/office/spreadsheetml/2009/9/main" objectType="CheckBox" checked="Checked" lockText="1" noThreeD="1"/>
</file>

<file path=xl/ctrlProps/ctrlProp930.xml><?xml version="1.0" encoding="utf-8"?>
<formControlPr xmlns="http://schemas.microsoft.com/office/spreadsheetml/2009/9/main" objectType="Radio" lockText="1" noThreeD="1"/>
</file>

<file path=xl/ctrlProps/ctrlProp931.xml><?xml version="1.0" encoding="utf-8"?>
<formControlPr xmlns="http://schemas.microsoft.com/office/spreadsheetml/2009/9/main" objectType="GBox" noThreeD="1"/>
</file>

<file path=xl/ctrlProps/ctrlProp932.xml><?xml version="1.0" encoding="utf-8"?>
<formControlPr xmlns="http://schemas.microsoft.com/office/spreadsheetml/2009/9/main" objectType="Radio" firstButton="1" fmlaLink="$AB$192" lockText="1" noThreeD="1"/>
</file>

<file path=xl/ctrlProps/ctrlProp933.xml><?xml version="1.0" encoding="utf-8"?>
<formControlPr xmlns="http://schemas.microsoft.com/office/spreadsheetml/2009/9/main" objectType="Radio" lockText="1" noThreeD="1"/>
</file>

<file path=xl/ctrlProps/ctrlProp934.xml><?xml version="1.0" encoding="utf-8"?>
<formControlPr xmlns="http://schemas.microsoft.com/office/spreadsheetml/2009/9/main" objectType="Radio" lockText="1" noThreeD="1"/>
</file>

<file path=xl/ctrlProps/ctrlProp935.xml><?xml version="1.0" encoding="utf-8"?>
<formControlPr xmlns="http://schemas.microsoft.com/office/spreadsheetml/2009/9/main" objectType="Radio" checked="Checked" lockText="1" noThreeD="1"/>
</file>

<file path=xl/ctrlProps/ctrlProp936.xml><?xml version="1.0" encoding="utf-8"?>
<formControlPr xmlns="http://schemas.microsoft.com/office/spreadsheetml/2009/9/main" objectType="Radio" lockText="1" noThreeD="1"/>
</file>

<file path=xl/ctrlProps/ctrlProp937.xml><?xml version="1.0" encoding="utf-8"?>
<formControlPr xmlns="http://schemas.microsoft.com/office/spreadsheetml/2009/9/main" objectType="GBox" noThreeD="1"/>
</file>

<file path=xl/ctrlProps/ctrlProp938.xml><?xml version="1.0" encoding="utf-8"?>
<formControlPr xmlns="http://schemas.microsoft.com/office/spreadsheetml/2009/9/main" objectType="Radio" firstButton="1" fmlaLink="$AB$194" lockText="1" noThreeD="1"/>
</file>

<file path=xl/ctrlProps/ctrlProp939.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CheckBox" checked="Checked" lockText="1" noThreeD="1"/>
</file>

<file path=xl/ctrlProps/ctrlProp940.xml><?xml version="1.0" encoding="utf-8"?>
<formControlPr xmlns="http://schemas.microsoft.com/office/spreadsheetml/2009/9/main" objectType="Radio" checked="Checked" lockText="1" noThreeD="1"/>
</file>

<file path=xl/ctrlProps/ctrlProp941.xml><?xml version="1.0" encoding="utf-8"?>
<formControlPr xmlns="http://schemas.microsoft.com/office/spreadsheetml/2009/9/main" objectType="Radio" lockText="1" noThreeD="1"/>
</file>

<file path=xl/ctrlProps/ctrlProp942.xml><?xml version="1.0" encoding="utf-8"?>
<formControlPr xmlns="http://schemas.microsoft.com/office/spreadsheetml/2009/9/main" objectType="Radio" lockText="1" noThreeD="1"/>
</file>

<file path=xl/ctrlProps/ctrlProp943.xml><?xml version="1.0" encoding="utf-8"?>
<formControlPr xmlns="http://schemas.microsoft.com/office/spreadsheetml/2009/9/main" objectType="GBox" noThreeD="1"/>
</file>

<file path=xl/ctrlProps/ctrlProp944.xml><?xml version="1.0" encoding="utf-8"?>
<formControlPr xmlns="http://schemas.microsoft.com/office/spreadsheetml/2009/9/main" objectType="GBox" noThreeD="1"/>
</file>

<file path=xl/ctrlProps/ctrlProp945.xml><?xml version="1.0" encoding="utf-8"?>
<formControlPr xmlns="http://schemas.microsoft.com/office/spreadsheetml/2009/9/main" objectType="Radio" firstButton="1" fmlaLink="$AA$227" lockText="1" noThreeD="1"/>
</file>

<file path=xl/ctrlProps/ctrlProp946.xml><?xml version="1.0" encoding="utf-8"?>
<formControlPr xmlns="http://schemas.microsoft.com/office/spreadsheetml/2009/9/main" objectType="Radio" lockText="1" noThreeD="1"/>
</file>

<file path=xl/ctrlProps/ctrlProp947.xml><?xml version="1.0" encoding="utf-8"?>
<formControlPr xmlns="http://schemas.microsoft.com/office/spreadsheetml/2009/9/main" objectType="Radio" lockText="1" noThreeD="1"/>
</file>

<file path=xl/ctrlProps/ctrlProp948.xml><?xml version="1.0" encoding="utf-8"?>
<formControlPr xmlns="http://schemas.microsoft.com/office/spreadsheetml/2009/9/main" objectType="Radio" lockText="1" noThreeD="1"/>
</file>

<file path=xl/ctrlProps/ctrlProp949.xml><?xml version="1.0" encoding="utf-8"?>
<formControlPr xmlns="http://schemas.microsoft.com/office/spreadsheetml/2009/9/main" objectType="GBox" noThreeD="1"/>
</file>

<file path=xl/ctrlProps/ctrlProp95.xml><?xml version="1.0" encoding="utf-8"?>
<formControlPr xmlns="http://schemas.microsoft.com/office/spreadsheetml/2009/9/main" objectType="CheckBox" checked="Checked" lockText="1" noThreeD="1"/>
</file>

<file path=xl/ctrlProps/ctrlProp950.xml><?xml version="1.0" encoding="utf-8"?>
<formControlPr xmlns="http://schemas.microsoft.com/office/spreadsheetml/2009/9/main" objectType="Radio" firstButton="1" fmlaLink="$AA$211" lockText="1" noThreeD="1"/>
</file>

<file path=xl/ctrlProps/ctrlProp951.xml><?xml version="1.0" encoding="utf-8"?>
<formControlPr xmlns="http://schemas.microsoft.com/office/spreadsheetml/2009/9/main" objectType="Radio" lockText="1" noThreeD="1"/>
</file>

<file path=xl/ctrlProps/ctrlProp952.xml><?xml version="1.0" encoding="utf-8"?>
<formControlPr xmlns="http://schemas.microsoft.com/office/spreadsheetml/2009/9/main" objectType="Radio" lockText="1" noThreeD="1"/>
</file>

<file path=xl/ctrlProps/ctrlProp953.xml><?xml version="1.0" encoding="utf-8"?>
<formControlPr xmlns="http://schemas.microsoft.com/office/spreadsheetml/2009/9/main" objectType="Radio" lockText="1" noThreeD="1"/>
</file>

<file path=xl/ctrlProps/ctrlProp954.xml><?xml version="1.0" encoding="utf-8"?>
<formControlPr xmlns="http://schemas.microsoft.com/office/spreadsheetml/2009/9/main" objectType="GBox" noThreeD="1"/>
</file>

<file path=xl/ctrlProps/ctrlProp955.xml><?xml version="1.0" encoding="utf-8"?>
<formControlPr xmlns="http://schemas.microsoft.com/office/spreadsheetml/2009/9/main" objectType="Radio" firstButton="1" fmlaLink="$AA$212" lockText="1" noThreeD="1"/>
</file>

<file path=xl/ctrlProps/ctrlProp956.xml><?xml version="1.0" encoding="utf-8"?>
<formControlPr xmlns="http://schemas.microsoft.com/office/spreadsheetml/2009/9/main" objectType="Radio" lockText="1" noThreeD="1"/>
</file>

<file path=xl/ctrlProps/ctrlProp957.xml><?xml version="1.0" encoding="utf-8"?>
<formControlPr xmlns="http://schemas.microsoft.com/office/spreadsheetml/2009/9/main" objectType="Radio" lockText="1" noThreeD="1"/>
</file>

<file path=xl/ctrlProps/ctrlProp958.xml><?xml version="1.0" encoding="utf-8"?>
<formControlPr xmlns="http://schemas.microsoft.com/office/spreadsheetml/2009/9/main" objectType="Radio" lockText="1" noThreeD="1"/>
</file>

<file path=xl/ctrlProps/ctrlProp959.xml><?xml version="1.0" encoding="utf-8"?>
<formControlPr xmlns="http://schemas.microsoft.com/office/spreadsheetml/2009/9/main" objectType="GBox"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Radio" firstButton="1" fmlaLink="$AA$213" lockText="1" noThreeD="1"/>
</file>

<file path=xl/ctrlProps/ctrlProp961.xml><?xml version="1.0" encoding="utf-8"?>
<formControlPr xmlns="http://schemas.microsoft.com/office/spreadsheetml/2009/9/main" objectType="Radio" lockText="1" noThreeD="1"/>
</file>

<file path=xl/ctrlProps/ctrlProp962.xml><?xml version="1.0" encoding="utf-8"?>
<formControlPr xmlns="http://schemas.microsoft.com/office/spreadsheetml/2009/9/main" objectType="Radio" lockText="1" noThreeD="1"/>
</file>

<file path=xl/ctrlProps/ctrlProp963.xml><?xml version="1.0" encoding="utf-8"?>
<formControlPr xmlns="http://schemas.microsoft.com/office/spreadsheetml/2009/9/main" objectType="Radio" lockText="1" noThreeD="1"/>
</file>

<file path=xl/ctrlProps/ctrlProp964.xml><?xml version="1.0" encoding="utf-8"?>
<formControlPr xmlns="http://schemas.microsoft.com/office/spreadsheetml/2009/9/main" objectType="GBox" noThreeD="1"/>
</file>

<file path=xl/ctrlProps/ctrlProp965.xml><?xml version="1.0" encoding="utf-8"?>
<formControlPr xmlns="http://schemas.microsoft.com/office/spreadsheetml/2009/9/main" objectType="Radio" firstButton="1" fmlaLink="$AA$214" lockText="1" noThreeD="1"/>
</file>

<file path=xl/ctrlProps/ctrlProp966.xml><?xml version="1.0" encoding="utf-8"?>
<formControlPr xmlns="http://schemas.microsoft.com/office/spreadsheetml/2009/9/main" objectType="Radio" lockText="1" noThreeD="1"/>
</file>

<file path=xl/ctrlProps/ctrlProp967.xml><?xml version="1.0" encoding="utf-8"?>
<formControlPr xmlns="http://schemas.microsoft.com/office/spreadsheetml/2009/9/main" objectType="Radio" lockText="1" noThreeD="1"/>
</file>

<file path=xl/ctrlProps/ctrlProp968.xml><?xml version="1.0" encoding="utf-8"?>
<formControlPr xmlns="http://schemas.microsoft.com/office/spreadsheetml/2009/9/main" objectType="Radio" lockText="1" noThreeD="1"/>
</file>

<file path=xl/ctrlProps/ctrlProp969.xml><?xml version="1.0" encoding="utf-8"?>
<formControlPr xmlns="http://schemas.microsoft.com/office/spreadsheetml/2009/9/main" objectType="GBox" noThreeD="1"/>
</file>

<file path=xl/ctrlProps/ctrlProp97.xml><?xml version="1.0" encoding="utf-8"?>
<formControlPr xmlns="http://schemas.microsoft.com/office/spreadsheetml/2009/9/main" objectType="CheckBox" checked="Checked" lockText="1" noThreeD="1"/>
</file>

<file path=xl/ctrlProps/ctrlProp970.xml><?xml version="1.0" encoding="utf-8"?>
<formControlPr xmlns="http://schemas.microsoft.com/office/spreadsheetml/2009/9/main" objectType="Radio" firstButton="1" fmlaLink="$AA$216" lockText="1" noThreeD="1"/>
</file>

<file path=xl/ctrlProps/ctrlProp971.xml><?xml version="1.0" encoding="utf-8"?>
<formControlPr xmlns="http://schemas.microsoft.com/office/spreadsheetml/2009/9/main" objectType="Radio" lockText="1" noThreeD="1"/>
</file>

<file path=xl/ctrlProps/ctrlProp972.xml><?xml version="1.0" encoding="utf-8"?>
<formControlPr xmlns="http://schemas.microsoft.com/office/spreadsheetml/2009/9/main" objectType="Radio" lockText="1" noThreeD="1"/>
</file>

<file path=xl/ctrlProps/ctrlProp973.xml><?xml version="1.0" encoding="utf-8"?>
<formControlPr xmlns="http://schemas.microsoft.com/office/spreadsheetml/2009/9/main" objectType="Radio" lockText="1" noThreeD="1"/>
</file>

<file path=xl/ctrlProps/ctrlProp974.xml><?xml version="1.0" encoding="utf-8"?>
<formControlPr xmlns="http://schemas.microsoft.com/office/spreadsheetml/2009/9/main" objectType="GBox" noThreeD="1"/>
</file>

<file path=xl/ctrlProps/ctrlProp975.xml><?xml version="1.0" encoding="utf-8"?>
<formControlPr xmlns="http://schemas.microsoft.com/office/spreadsheetml/2009/9/main" objectType="Radio" firstButton="1" fmlaLink="$AA$217" lockText="1" noThreeD="1"/>
</file>

<file path=xl/ctrlProps/ctrlProp976.xml><?xml version="1.0" encoding="utf-8"?>
<formControlPr xmlns="http://schemas.microsoft.com/office/spreadsheetml/2009/9/main" objectType="Radio" lockText="1" noThreeD="1"/>
</file>

<file path=xl/ctrlProps/ctrlProp977.xml><?xml version="1.0" encoding="utf-8"?>
<formControlPr xmlns="http://schemas.microsoft.com/office/spreadsheetml/2009/9/main" objectType="Radio" lockText="1" noThreeD="1"/>
</file>

<file path=xl/ctrlProps/ctrlProp978.xml><?xml version="1.0" encoding="utf-8"?>
<formControlPr xmlns="http://schemas.microsoft.com/office/spreadsheetml/2009/9/main" objectType="Radio" lockText="1" noThreeD="1"/>
</file>

<file path=xl/ctrlProps/ctrlProp979.xml><?xml version="1.0" encoding="utf-8"?>
<formControlPr xmlns="http://schemas.microsoft.com/office/spreadsheetml/2009/9/main" objectType="GBox" noThreeD="1"/>
</file>

<file path=xl/ctrlProps/ctrlProp98.xml><?xml version="1.0" encoding="utf-8"?>
<formControlPr xmlns="http://schemas.microsoft.com/office/spreadsheetml/2009/9/main" objectType="CheckBox" checked="Checked" lockText="1" noThreeD="1"/>
</file>

<file path=xl/ctrlProps/ctrlProp980.xml><?xml version="1.0" encoding="utf-8"?>
<formControlPr xmlns="http://schemas.microsoft.com/office/spreadsheetml/2009/9/main" objectType="Radio" firstButton="1" fmlaLink="$AA$222" lockText="1" noThreeD="1"/>
</file>

<file path=xl/ctrlProps/ctrlProp981.xml><?xml version="1.0" encoding="utf-8"?>
<formControlPr xmlns="http://schemas.microsoft.com/office/spreadsheetml/2009/9/main" objectType="Radio" lockText="1" noThreeD="1"/>
</file>

<file path=xl/ctrlProps/ctrlProp982.xml><?xml version="1.0" encoding="utf-8"?>
<formControlPr xmlns="http://schemas.microsoft.com/office/spreadsheetml/2009/9/main" objectType="Radio" lockText="1" noThreeD="1"/>
</file>

<file path=xl/ctrlProps/ctrlProp983.xml><?xml version="1.0" encoding="utf-8"?>
<formControlPr xmlns="http://schemas.microsoft.com/office/spreadsheetml/2009/9/main" objectType="Radio" checked="Checked" lockText="1" noThreeD="1"/>
</file>

<file path=xl/ctrlProps/ctrlProp984.xml><?xml version="1.0" encoding="utf-8"?>
<formControlPr xmlns="http://schemas.microsoft.com/office/spreadsheetml/2009/9/main" objectType="GBox" noThreeD="1"/>
</file>

<file path=xl/ctrlProps/ctrlProp985.xml><?xml version="1.0" encoding="utf-8"?>
<formControlPr xmlns="http://schemas.microsoft.com/office/spreadsheetml/2009/9/main" objectType="Radio" firstButton="1" fmlaLink="$AA$223" lockText="1" noThreeD="1"/>
</file>

<file path=xl/ctrlProps/ctrlProp986.xml><?xml version="1.0" encoding="utf-8"?>
<formControlPr xmlns="http://schemas.microsoft.com/office/spreadsheetml/2009/9/main" objectType="Radio" lockText="1" noThreeD="1"/>
</file>

<file path=xl/ctrlProps/ctrlProp987.xml><?xml version="1.0" encoding="utf-8"?>
<formControlPr xmlns="http://schemas.microsoft.com/office/spreadsheetml/2009/9/main" objectType="Radio" lockText="1" noThreeD="1"/>
</file>

<file path=xl/ctrlProps/ctrlProp988.xml><?xml version="1.0" encoding="utf-8"?>
<formControlPr xmlns="http://schemas.microsoft.com/office/spreadsheetml/2009/9/main" objectType="Radio" lockText="1" noThreeD="1"/>
</file>

<file path=xl/ctrlProps/ctrlProp989.xml><?xml version="1.0" encoding="utf-8"?>
<formControlPr xmlns="http://schemas.microsoft.com/office/spreadsheetml/2009/9/main" objectType="GBox" noThreeD="1"/>
</file>

<file path=xl/ctrlProps/ctrlProp99.xml><?xml version="1.0" encoding="utf-8"?>
<formControlPr xmlns="http://schemas.microsoft.com/office/spreadsheetml/2009/9/main" objectType="CheckBox" checked="Checked" lockText="1" noThreeD="1"/>
</file>

<file path=xl/ctrlProps/ctrlProp990.xml><?xml version="1.0" encoding="utf-8"?>
<formControlPr xmlns="http://schemas.microsoft.com/office/spreadsheetml/2009/9/main" objectType="Radio" firstButton="1" fmlaLink="$AA$224" lockText="1" noThreeD="1"/>
</file>

<file path=xl/ctrlProps/ctrlProp991.xml><?xml version="1.0" encoding="utf-8"?>
<formControlPr xmlns="http://schemas.microsoft.com/office/spreadsheetml/2009/9/main" objectType="Radio" lockText="1" noThreeD="1"/>
</file>

<file path=xl/ctrlProps/ctrlProp992.xml><?xml version="1.0" encoding="utf-8"?>
<formControlPr xmlns="http://schemas.microsoft.com/office/spreadsheetml/2009/9/main" objectType="Radio" lockText="1" noThreeD="1"/>
</file>

<file path=xl/ctrlProps/ctrlProp993.xml><?xml version="1.0" encoding="utf-8"?>
<formControlPr xmlns="http://schemas.microsoft.com/office/spreadsheetml/2009/9/main" objectType="Radio" lockText="1" noThreeD="1"/>
</file>

<file path=xl/ctrlProps/ctrlProp994.xml><?xml version="1.0" encoding="utf-8"?>
<formControlPr xmlns="http://schemas.microsoft.com/office/spreadsheetml/2009/9/main" objectType="GBox" noThreeD="1"/>
</file>

<file path=xl/ctrlProps/ctrlProp995.xml><?xml version="1.0" encoding="utf-8"?>
<formControlPr xmlns="http://schemas.microsoft.com/office/spreadsheetml/2009/9/main" objectType="Radio" firstButton="1" fmlaLink="$AA$228" lockText="1" noThreeD="1"/>
</file>

<file path=xl/ctrlProps/ctrlProp996.xml><?xml version="1.0" encoding="utf-8"?>
<formControlPr xmlns="http://schemas.microsoft.com/office/spreadsheetml/2009/9/main" objectType="Radio" lockText="1" noThreeD="1"/>
</file>

<file path=xl/ctrlProps/ctrlProp997.xml><?xml version="1.0" encoding="utf-8"?>
<formControlPr xmlns="http://schemas.microsoft.com/office/spreadsheetml/2009/9/main" objectType="Radio" lockText="1" noThreeD="1"/>
</file>

<file path=xl/ctrlProps/ctrlProp998.xml><?xml version="1.0" encoding="utf-8"?>
<formControlPr xmlns="http://schemas.microsoft.com/office/spreadsheetml/2009/9/main" objectType="Radio" lockText="1" noThreeD="1"/>
</file>

<file path=xl/ctrlProps/ctrlProp999.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xdr:twoCellAnchor>
    <xdr:from>
      <xdr:col>6</xdr:col>
      <xdr:colOff>133350</xdr:colOff>
      <xdr:row>27</xdr:row>
      <xdr:rowOff>133350</xdr:rowOff>
    </xdr:from>
    <xdr:to>
      <xdr:col>6</xdr:col>
      <xdr:colOff>142875</xdr:colOff>
      <xdr:row>31</xdr:row>
      <xdr:rowOff>133350</xdr:rowOff>
    </xdr:to>
    <xdr:sp macro="" textlink="">
      <xdr:nvSpPr>
        <xdr:cNvPr id="914552" name="Line 1"/>
        <xdr:cNvSpPr>
          <a:spLocks noChangeShapeType="1"/>
        </xdr:cNvSpPr>
      </xdr:nvSpPr>
      <xdr:spPr bwMode="auto">
        <a:xfrm flipH="1" flipV="1">
          <a:off x="2028825" y="0"/>
          <a:ext cx="95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133350</xdr:colOff>
      <xdr:row>27</xdr:row>
      <xdr:rowOff>133350</xdr:rowOff>
    </xdr:from>
    <xdr:to>
      <xdr:col>6</xdr:col>
      <xdr:colOff>142875</xdr:colOff>
      <xdr:row>31</xdr:row>
      <xdr:rowOff>133350</xdr:rowOff>
    </xdr:to>
    <xdr:sp macro="" textlink="">
      <xdr:nvSpPr>
        <xdr:cNvPr id="914553" name="Line 1"/>
        <xdr:cNvSpPr>
          <a:spLocks noChangeShapeType="1"/>
        </xdr:cNvSpPr>
      </xdr:nvSpPr>
      <xdr:spPr bwMode="auto">
        <a:xfrm flipH="1" flipV="1">
          <a:off x="2028825" y="0"/>
          <a:ext cx="95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133350</xdr:colOff>
      <xdr:row>27</xdr:row>
      <xdr:rowOff>133350</xdr:rowOff>
    </xdr:from>
    <xdr:to>
      <xdr:col>6</xdr:col>
      <xdr:colOff>142875</xdr:colOff>
      <xdr:row>31</xdr:row>
      <xdr:rowOff>133350</xdr:rowOff>
    </xdr:to>
    <xdr:sp macro="" textlink="">
      <xdr:nvSpPr>
        <xdr:cNvPr id="914554" name="Line 1"/>
        <xdr:cNvSpPr>
          <a:spLocks noChangeShapeType="1"/>
        </xdr:cNvSpPr>
      </xdr:nvSpPr>
      <xdr:spPr bwMode="auto">
        <a:xfrm flipH="1" flipV="1">
          <a:off x="2028825" y="0"/>
          <a:ext cx="95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9525</xdr:colOff>
          <xdr:row>13</xdr:row>
          <xdr:rowOff>0</xdr:rowOff>
        </xdr:from>
        <xdr:to>
          <xdr:col>9</xdr:col>
          <xdr:colOff>333375</xdr:colOff>
          <xdr:row>14</xdr:row>
          <xdr:rowOff>28575</xdr:rowOff>
        </xdr:to>
        <xdr:sp macro="" textlink="">
          <xdr:nvSpPr>
            <xdr:cNvPr id="637953" name="Check Box 1" hidden="1">
              <a:extLst>
                <a:ext uri="{63B3BB69-23CF-44E3-9099-C40C66FF867C}">
                  <a14:compatExt spid="_x0000_s63795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14</xdr:row>
          <xdr:rowOff>0</xdr:rowOff>
        </xdr:from>
        <xdr:to>
          <xdr:col>9</xdr:col>
          <xdr:colOff>333375</xdr:colOff>
          <xdr:row>15</xdr:row>
          <xdr:rowOff>28575</xdr:rowOff>
        </xdr:to>
        <xdr:sp macro="" textlink="">
          <xdr:nvSpPr>
            <xdr:cNvPr id="637954" name="Check Box 2" hidden="1">
              <a:extLst>
                <a:ext uri="{63B3BB69-23CF-44E3-9099-C40C66FF867C}">
                  <a14:compatExt spid="_x0000_s63795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15</xdr:row>
          <xdr:rowOff>0</xdr:rowOff>
        </xdr:from>
        <xdr:to>
          <xdr:col>9</xdr:col>
          <xdr:colOff>333375</xdr:colOff>
          <xdr:row>16</xdr:row>
          <xdr:rowOff>28575</xdr:rowOff>
        </xdr:to>
        <xdr:sp macro="" textlink="">
          <xdr:nvSpPr>
            <xdr:cNvPr id="637955" name="Check Box 3" hidden="1">
              <a:extLst>
                <a:ext uri="{63B3BB69-23CF-44E3-9099-C40C66FF867C}">
                  <a14:compatExt spid="_x0000_s63795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16</xdr:row>
          <xdr:rowOff>0</xdr:rowOff>
        </xdr:from>
        <xdr:to>
          <xdr:col>9</xdr:col>
          <xdr:colOff>333375</xdr:colOff>
          <xdr:row>17</xdr:row>
          <xdr:rowOff>28575</xdr:rowOff>
        </xdr:to>
        <xdr:sp macro="" textlink="">
          <xdr:nvSpPr>
            <xdr:cNvPr id="637956" name="Check Box 4" hidden="1">
              <a:extLst>
                <a:ext uri="{63B3BB69-23CF-44E3-9099-C40C66FF867C}">
                  <a14:compatExt spid="_x0000_s63795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17</xdr:row>
          <xdr:rowOff>0</xdr:rowOff>
        </xdr:from>
        <xdr:to>
          <xdr:col>9</xdr:col>
          <xdr:colOff>333375</xdr:colOff>
          <xdr:row>18</xdr:row>
          <xdr:rowOff>28575</xdr:rowOff>
        </xdr:to>
        <xdr:sp macro="" textlink="">
          <xdr:nvSpPr>
            <xdr:cNvPr id="637957" name="Check Box 5" hidden="1">
              <a:extLst>
                <a:ext uri="{63B3BB69-23CF-44E3-9099-C40C66FF867C}">
                  <a14:compatExt spid="_x0000_s63795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14</xdr:row>
          <xdr:rowOff>180975</xdr:rowOff>
        </xdr:from>
        <xdr:to>
          <xdr:col>18</xdr:col>
          <xdr:colOff>333375</xdr:colOff>
          <xdr:row>16</xdr:row>
          <xdr:rowOff>0</xdr:rowOff>
        </xdr:to>
        <xdr:sp macro="" textlink="">
          <xdr:nvSpPr>
            <xdr:cNvPr id="637958" name="Check Box 6" hidden="1">
              <a:extLst>
                <a:ext uri="{63B3BB69-23CF-44E3-9099-C40C66FF867C}">
                  <a14:compatExt spid="_x0000_s63795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17</xdr:row>
          <xdr:rowOff>0</xdr:rowOff>
        </xdr:from>
        <xdr:to>
          <xdr:col>18</xdr:col>
          <xdr:colOff>333375</xdr:colOff>
          <xdr:row>18</xdr:row>
          <xdr:rowOff>28575</xdr:rowOff>
        </xdr:to>
        <xdr:sp macro="" textlink="">
          <xdr:nvSpPr>
            <xdr:cNvPr id="637959" name="Check Box 7" hidden="1">
              <a:extLst>
                <a:ext uri="{63B3BB69-23CF-44E3-9099-C40C66FF867C}">
                  <a14:compatExt spid="_x0000_s63795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13</xdr:row>
          <xdr:rowOff>180975</xdr:rowOff>
        </xdr:from>
        <xdr:to>
          <xdr:col>18</xdr:col>
          <xdr:colOff>333375</xdr:colOff>
          <xdr:row>15</xdr:row>
          <xdr:rowOff>0</xdr:rowOff>
        </xdr:to>
        <xdr:sp macro="" textlink="">
          <xdr:nvSpPr>
            <xdr:cNvPr id="637960" name="Check Box 8" hidden="1">
              <a:extLst>
                <a:ext uri="{63B3BB69-23CF-44E3-9099-C40C66FF867C}">
                  <a14:compatExt spid="_x0000_s63796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15</xdr:row>
          <xdr:rowOff>180975</xdr:rowOff>
        </xdr:from>
        <xdr:to>
          <xdr:col>18</xdr:col>
          <xdr:colOff>333375</xdr:colOff>
          <xdr:row>17</xdr:row>
          <xdr:rowOff>0</xdr:rowOff>
        </xdr:to>
        <xdr:sp macro="" textlink="">
          <xdr:nvSpPr>
            <xdr:cNvPr id="637961" name="Check Box 9" hidden="1">
              <a:extLst>
                <a:ext uri="{63B3BB69-23CF-44E3-9099-C40C66FF867C}">
                  <a14:compatExt spid="_x0000_s63796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19</xdr:row>
          <xdr:rowOff>180975</xdr:rowOff>
        </xdr:from>
        <xdr:to>
          <xdr:col>9</xdr:col>
          <xdr:colOff>333375</xdr:colOff>
          <xdr:row>21</xdr:row>
          <xdr:rowOff>0</xdr:rowOff>
        </xdr:to>
        <xdr:sp macro="" textlink="">
          <xdr:nvSpPr>
            <xdr:cNvPr id="637962" name="Check Box 10" hidden="1">
              <a:extLst>
                <a:ext uri="{63B3BB69-23CF-44E3-9099-C40C66FF867C}">
                  <a14:compatExt spid="_x0000_s63796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20</xdr:row>
          <xdr:rowOff>180975</xdr:rowOff>
        </xdr:from>
        <xdr:to>
          <xdr:col>9</xdr:col>
          <xdr:colOff>333375</xdr:colOff>
          <xdr:row>22</xdr:row>
          <xdr:rowOff>0</xdr:rowOff>
        </xdr:to>
        <xdr:sp macro="" textlink="">
          <xdr:nvSpPr>
            <xdr:cNvPr id="637963" name="Check Box 11" hidden="1">
              <a:extLst>
                <a:ext uri="{63B3BB69-23CF-44E3-9099-C40C66FF867C}">
                  <a14:compatExt spid="_x0000_s63796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21</xdr:row>
          <xdr:rowOff>171450</xdr:rowOff>
        </xdr:from>
        <xdr:to>
          <xdr:col>9</xdr:col>
          <xdr:colOff>333375</xdr:colOff>
          <xdr:row>23</xdr:row>
          <xdr:rowOff>0</xdr:rowOff>
        </xdr:to>
        <xdr:sp macro="" textlink="">
          <xdr:nvSpPr>
            <xdr:cNvPr id="637964" name="Check Box 12" hidden="1">
              <a:extLst>
                <a:ext uri="{63B3BB69-23CF-44E3-9099-C40C66FF867C}">
                  <a14:compatExt spid="_x0000_s63796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20</xdr:row>
          <xdr:rowOff>0</xdr:rowOff>
        </xdr:from>
        <xdr:to>
          <xdr:col>18</xdr:col>
          <xdr:colOff>333375</xdr:colOff>
          <xdr:row>21</xdr:row>
          <xdr:rowOff>28575</xdr:rowOff>
        </xdr:to>
        <xdr:sp macro="" textlink="">
          <xdr:nvSpPr>
            <xdr:cNvPr id="637965" name="Check Box 13" hidden="1">
              <a:extLst>
                <a:ext uri="{63B3BB69-23CF-44E3-9099-C40C66FF867C}">
                  <a14:compatExt spid="_x0000_s63796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21</xdr:row>
          <xdr:rowOff>0</xdr:rowOff>
        </xdr:from>
        <xdr:to>
          <xdr:col>18</xdr:col>
          <xdr:colOff>333375</xdr:colOff>
          <xdr:row>22</xdr:row>
          <xdr:rowOff>28575</xdr:rowOff>
        </xdr:to>
        <xdr:sp macro="" textlink="">
          <xdr:nvSpPr>
            <xdr:cNvPr id="637966" name="Check Box 14" hidden="1">
              <a:extLst>
                <a:ext uri="{63B3BB69-23CF-44E3-9099-C40C66FF867C}">
                  <a14:compatExt spid="_x0000_s63796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25</xdr:row>
          <xdr:rowOff>152400</xdr:rowOff>
        </xdr:from>
        <xdr:to>
          <xdr:col>2</xdr:col>
          <xdr:colOff>409575</xdr:colOff>
          <xdr:row>26</xdr:row>
          <xdr:rowOff>0</xdr:rowOff>
        </xdr:to>
        <xdr:sp macro="" textlink="">
          <xdr:nvSpPr>
            <xdr:cNvPr id="637967" name="Check Box 15" hidden="1">
              <a:extLst>
                <a:ext uri="{63B3BB69-23CF-44E3-9099-C40C66FF867C}">
                  <a14:compatExt spid="_x0000_s63796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26</xdr:row>
          <xdr:rowOff>142875</xdr:rowOff>
        </xdr:from>
        <xdr:to>
          <xdr:col>2</xdr:col>
          <xdr:colOff>409575</xdr:colOff>
          <xdr:row>26</xdr:row>
          <xdr:rowOff>361950</xdr:rowOff>
        </xdr:to>
        <xdr:sp macro="" textlink="">
          <xdr:nvSpPr>
            <xdr:cNvPr id="637968" name="Check Box 16" hidden="1">
              <a:extLst>
                <a:ext uri="{63B3BB69-23CF-44E3-9099-C40C66FF867C}">
                  <a14:compatExt spid="_x0000_s63796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27</xdr:row>
          <xdr:rowOff>200025</xdr:rowOff>
        </xdr:from>
        <xdr:to>
          <xdr:col>2</xdr:col>
          <xdr:colOff>409575</xdr:colOff>
          <xdr:row>27</xdr:row>
          <xdr:rowOff>428625</xdr:rowOff>
        </xdr:to>
        <xdr:sp macro="" textlink="">
          <xdr:nvSpPr>
            <xdr:cNvPr id="637969" name="Check Box 17" hidden="1">
              <a:extLst>
                <a:ext uri="{63B3BB69-23CF-44E3-9099-C40C66FF867C}">
                  <a14:compatExt spid="_x0000_s63796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28</xdr:row>
          <xdr:rowOff>190500</xdr:rowOff>
        </xdr:from>
        <xdr:to>
          <xdr:col>2</xdr:col>
          <xdr:colOff>409575</xdr:colOff>
          <xdr:row>28</xdr:row>
          <xdr:rowOff>409575</xdr:rowOff>
        </xdr:to>
        <xdr:sp macro="" textlink="">
          <xdr:nvSpPr>
            <xdr:cNvPr id="637970" name="Check Box 18" hidden="1">
              <a:extLst>
                <a:ext uri="{63B3BB69-23CF-44E3-9099-C40C66FF867C}">
                  <a14:compatExt spid="_x0000_s63797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29</xdr:row>
          <xdr:rowOff>0</xdr:rowOff>
        </xdr:from>
        <xdr:to>
          <xdr:col>2</xdr:col>
          <xdr:colOff>409575</xdr:colOff>
          <xdr:row>29</xdr:row>
          <xdr:rowOff>219075</xdr:rowOff>
        </xdr:to>
        <xdr:sp macro="" textlink="">
          <xdr:nvSpPr>
            <xdr:cNvPr id="637971" name="Check Box 19" hidden="1">
              <a:extLst>
                <a:ext uri="{63B3BB69-23CF-44E3-9099-C40C66FF867C}">
                  <a14:compatExt spid="_x0000_s63797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29</xdr:row>
          <xdr:rowOff>190500</xdr:rowOff>
        </xdr:from>
        <xdr:to>
          <xdr:col>2</xdr:col>
          <xdr:colOff>409575</xdr:colOff>
          <xdr:row>29</xdr:row>
          <xdr:rowOff>409575</xdr:rowOff>
        </xdr:to>
        <xdr:sp macro="" textlink="">
          <xdr:nvSpPr>
            <xdr:cNvPr id="637972" name="Check Box 20" hidden="1">
              <a:extLst>
                <a:ext uri="{63B3BB69-23CF-44E3-9099-C40C66FF867C}">
                  <a14:compatExt spid="_x0000_s63797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30</xdr:row>
          <xdr:rowOff>190500</xdr:rowOff>
        </xdr:from>
        <xdr:to>
          <xdr:col>2</xdr:col>
          <xdr:colOff>409575</xdr:colOff>
          <xdr:row>30</xdr:row>
          <xdr:rowOff>409575</xdr:rowOff>
        </xdr:to>
        <xdr:sp macro="" textlink="">
          <xdr:nvSpPr>
            <xdr:cNvPr id="637973" name="Check Box 21" hidden="1">
              <a:extLst>
                <a:ext uri="{63B3BB69-23CF-44E3-9099-C40C66FF867C}">
                  <a14:compatExt spid="_x0000_s63797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31</xdr:row>
          <xdr:rowOff>190500</xdr:rowOff>
        </xdr:from>
        <xdr:to>
          <xdr:col>2</xdr:col>
          <xdr:colOff>409575</xdr:colOff>
          <xdr:row>31</xdr:row>
          <xdr:rowOff>409575</xdr:rowOff>
        </xdr:to>
        <xdr:sp macro="" textlink="">
          <xdr:nvSpPr>
            <xdr:cNvPr id="637974" name="Check Box 22" hidden="1">
              <a:extLst>
                <a:ext uri="{63B3BB69-23CF-44E3-9099-C40C66FF867C}">
                  <a14:compatExt spid="_x0000_s63797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32</xdr:row>
          <xdr:rowOff>0</xdr:rowOff>
        </xdr:from>
        <xdr:to>
          <xdr:col>2</xdr:col>
          <xdr:colOff>409575</xdr:colOff>
          <xdr:row>32</xdr:row>
          <xdr:rowOff>219075</xdr:rowOff>
        </xdr:to>
        <xdr:sp macro="" textlink="">
          <xdr:nvSpPr>
            <xdr:cNvPr id="637975" name="Check Box 23" hidden="1">
              <a:extLst>
                <a:ext uri="{63B3BB69-23CF-44E3-9099-C40C66FF867C}">
                  <a14:compatExt spid="_x0000_s63797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32</xdr:row>
          <xdr:rowOff>361950</xdr:rowOff>
        </xdr:from>
        <xdr:to>
          <xdr:col>2</xdr:col>
          <xdr:colOff>409575</xdr:colOff>
          <xdr:row>32</xdr:row>
          <xdr:rowOff>571500</xdr:rowOff>
        </xdr:to>
        <xdr:sp macro="" textlink="">
          <xdr:nvSpPr>
            <xdr:cNvPr id="637976" name="Check Box 24" hidden="1">
              <a:extLst>
                <a:ext uri="{63B3BB69-23CF-44E3-9099-C40C66FF867C}">
                  <a14:compatExt spid="_x0000_s63797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33</xdr:row>
          <xdr:rowOff>285750</xdr:rowOff>
        </xdr:from>
        <xdr:to>
          <xdr:col>2</xdr:col>
          <xdr:colOff>409575</xdr:colOff>
          <xdr:row>33</xdr:row>
          <xdr:rowOff>504825</xdr:rowOff>
        </xdr:to>
        <xdr:sp macro="" textlink="">
          <xdr:nvSpPr>
            <xdr:cNvPr id="637977" name="Check Box 25" hidden="1">
              <a:extLst>
                <a:ext uri="{63B3BB69-23CF-44E3-9099-C40C66FF867C}">
                  <a14:compatExt spid="_x0000_s63797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34</xdr:row>
          <xdr:rowOff>228600</xdr:rowOff>
        </xdr:from>
        <xdr:to>
          <xdr:col>2</xdr:col>
          <xdr:colOff>409575</xdr:colOff>
          <xdr:row>34</xdr:row>
          <xdr:rowOff>457200</xdr:rowOff>
        </xdr:to>
        <xdr:sp macro="" textlink="">
          <xdr:nvSpPr>
            <xdr:cNvPr id="637978" name="Check Box 26" hidden="1">
              <a:extLst>
                <a:ext uri="{63B3BB69-23CF-44E3-9099-C40C66FF867C}">
                  <a14:compatExt spid="_x0000_s63797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35</xdr:row>
          <xdr:rowOff>0</xdr:rowOff>
        </xdr:from>
        <xdr:to>
          <xdr:col>2</xdr:col>
          <xdr:colOff>409575</xdr:colOff>
          <xdr:row>35</xdr:row>
          <xdr:rowOff>228600</xdr:rowOff>
        </xdr:to>
        <xdr:sp macro="" textlink="">
          <xdr:nvSpPr>
            <xdr:cNvPr id="637979" name="Check Box 27" hidden="1">
              <a:extLst>
                <a:ext uri="{63B3BB69-23CF-44E3-9099-C40C66FF867C}">
                  <a14:compatExt spid="_x0000_s63797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13</xdr:row>
          <xdr:rowOff>0</xdr:rowOff>
        </xdr:from>
        <xdr:to>
          <xdr:col>18</xdr:col>
          <xdr:colOff>314325</xdr:colOff>
          <xdr:row>14</xdr:row>
          <xdr:rowOff>28575</xdr:rowOff>
        </xdr:to>
        <xdr:sp macro="" textlink="">
          <xdr:nvSpPr>
            <xdr:cNvPr id="637980" name="Check Box 28" hidden="1">
              <a:extLst>
                <a:ext uri="{63B3BB69-23CF-44E3-9099-C40C66FF867C}">
                  <a14:compatExt spid="_x0000_s63798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18</xdr:row>
          <xdr:rowOff>0</xdr:rowOff>
        </xdr:from>
        <xdr:to>
          <xdr:col>18</xdr:col>
          <xdr:colOff>333375</xdr:colOff>
          <xdr:row>19</xdr:row>
          <xdr:rowOff>28575</xdr:rowOff>
        </xdr:to>
        <xdr:sp macro="" textlink="">
          <xdr:nvSpPr>
            <xdr:cNvPr id="637981" name="Check Box 29" hidden="1">
              <a:extLst>
                <a:ext uri="{63B3BB69-23CF-44E3-9099-C40C66FF867C}">
                  <a14:compatExt spid="_x0000_s63798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3</xdr:row>
          <xdr:rowOff>180975</xdr:rowOff>
        </xdr:from>
        <xdr:to>
          <xdr:col>6</xdr:col>
          <xdr:colOff>123825</xdr:colOff>
          <xdr:row>5</xdr:row>
          <xdr:rowOff>0</xdr:rowOff>
        </xdr:to>
        <xdr:sp macro="" textlink="">
          <xdr:nvSpPr>
            <xdr:cNvPr id="637982" name="Check Box 30" hidden="1">
              <a:extLst>
                <a:ext uri="{63B3BB69-23CF-44E3-9099-C40C66FF867C}">
                  <a14:compatExt spid="_x0000_s63798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Koperasi;</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3</xdr:row>
          <xdr:rowOff>180975</xdr:rowOff>
        </xdr:from>
        <xdr:to>
          <xdr:col>6</xdr:col>
          <xdr:colOff>600075</xdr:colOff>
          <xdr:row>5</xdr:row>
          <xdr:rowOff>0</xdr:rowOff>
        </xdr:to>
        <xdr:sp macro="" textlink="">
          <xdr:nvSpPr>
            <xdr:cNvPr id="637983" name="Check Box 31" hidden="1">
              <a:extLst>
                <a:ext uri="{63B3BB69-23CF-44E3-9099-C40C66FF867C}">
                  <a14:compatExt spid="_x0000_s63798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LKB;</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3</xdr:row>
          <xdr:rowOff>180975</xdr:rowOff>
        </xdr:from>
        <xdr:to>
          <xdr:col>7</xdr:col>
          <xdr:colOff>552450</xdr:colOff>
          <xdr:row>5</xdr:row>
          <xdr:rowOff>0</xdr:rowOff>
        </xdr:to>
        <xdr:sp macro="" textlink="">
          <xdr:nvSpPr>
            <xdr:cNvPr id="637984" name="Check Box 32" hidden="1">
              <a:extLst>
                <a:ext uri="{63B3BB69-23CF-44E3-9099-C40C66FF867C}">
                  <a14:compatExt spid="_x0000_s63798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LKBB;</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581025</xdr:colOff>
          <xdr:row>3</xdr:row>
          <xdr:rowOff>180975</xdr:rowOff>
        </xdr:from>
        <xdr:to>
          <xdr:col>8</xdr:col>
          <xdr:colOff>457200</xdr:colOff>
          <xdr:row>5</xdr:row>
          <xdr:rowOff>0</xdr:rowOff>
        </xdr:to>
        <xdr:sp macro="" textlink="">
          <xdr:nvSpPr>
            <xdr:cNvPr id="637985" name="Check Box 33" hidden="1">
              <a:extLst>
                <a:ext uri="{63B3BB69-23CF-44E3-9099-C40C66FF867C}">
                  <a14:compatExt spid="_x0000_s63798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UKM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29</xdr:row>
          <xdr:rowOff>0</xdr:rowOff>
        </xdr:from>
        <xdr:to>
          <xdr:col>2</xdr:col>
          <xdr:colOff>409575</xdr:colOff>
          <xdr:row>29</xdr:row>
          <xdr:rowOff>219075</xdr:rowOff>
        </xdr:to>
        <xdr:sp macro="" textlink="">
          <xdr:nvSpPr>
            <xdr:cNvPr id="637986" name="Check Box 34" hidden="1">
              <a:extLst>
                <a:ext uri="{63B3BB69-23CF-44E3-9099-C40C66FF867C}">
                  <a14:compatExt spid="_x0000_s63798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18</xdr:row>
          <xdr:rowOff>0</xdr:rowOff>
        </xdr:from>
        <xdr:to>
          <xdr:col>18</xdr:col>
          <xdr:colOff>333375</xdr:colOff>
          <xdr:row>19</xdr:row>
          <xdr:rowOff>28575</xdr:rowOff>
        </xdr:to>
        <xdr:sp macro="" textlink="">
          <xdr:nvSpPr>
            <xdr:cNvPr id="637987" name="Check Box 35" hidden="1">
              <a:extLst>
                <a:ext uri="{63B3BB69-23CF-44E3-9099-C40C66FF867C}">
                  <a14:compatExt spid="_x0000_s63798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35</xdr:row>
          <xdr:rowOff>200025</xdr:rowOff>
        </xdr:from>
        <xdr:to>
          <xdr:col>2</xdr:col>
          <xdr:colOff>409575</xdr:colOff>
          <xdr:row>35</xdr:row>
          <xdr:rowOff>428625</xdr:rowOff>
        </xdr:to>
        <xdr:sp macro="" textlink="">
          <xdr:nvSpPr>
            <xdr:cNvPr id="637988" name="Check Box 36" hidden="1">
              <a:extLst>
                <a:ext uri="{63B3BB69-23CF-44E3-9099-C40C66FF867C}">
                  <a14:compatExt spid="_x0000_s63798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36</xdr:row>
          <xdr:rowOff>0</xdr:rowOff>
        </xdr:from>
        <xdr:to>
          <xdr:col>2</xdr:col>
          <xdr:colOff>409575</xdr:colOff>
          <xdr:row>37</xdr:row>
          <xdr:rowOff>38100</xdr:rowOff>
        </xdr:to>
        <xdr:sp macro="" textlink="">
          <xdr:nvSpPr>
            <xdr:cNvPr id="637989" name="Check Box 37" hidden="1">
              <a:extLst>
                <a:ext uri="{63B3BB69-23CF-44E3-9099-C40C66FF867C}">
                  <a14:compatExt spid="_x0000_s637989"/>
                </a:ext>
              </a:extLst>
            </xdr:cNvPr>
            <xdr:cNvSpPr/>
          </xdr:nvSpPr>
          <xdr:spPr>
            <a:xfrm>
              <a:off x="0" y="0"/>
              <a:ext cx="0" cy="0"/>
            </a:xfrm>
            <a:prstGeom prst="rect">
              <a:avLst/>
            </a:prstGeom>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9525</xdr:colOff>
          <xdr:row>14</xdr:row>
          <xdr:rowOff>0</xdr:rowOff>
        </xdr:from>
        <xdr:to>
          <xdr:col>10</xdr:col>
          <xdr:colOff>38100</xdr:colOff>
          <xdr:row>15</xdr:row>
          <xdr:rowOff>19050</xdr:rowOff>
        </xdr:to>
        <xdr:sp macro="" textlink="">
          <xdr:nvSpPr>
            <xdr:cNvPr id="638977" name="Check Box 1" hidden="1">
              <a:extLst>
                <a:ext uri="{63B3BB69-23CF-44E3-9099-C40C66FF867C}">
                  <a14:compatExt spid="_x0000_s63897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15</xdr:row>
          <xdr:rowOff>0</xdr:rowOff>
        </xdr:from>
        <xdr:to>
          <xdr:col>10</xdr:col>
          <xdr:colOff>38100</xdr:colOff>
          <xdr:row>16</xdr:row>
          <xdr:rowOff>19050</xdr:rowOff>
        </xdr:to>
        <xdr:sp macro="" textlink="">
          <xdr:nvSpPr>
            <xdr:cNvPr id="638978" name="Check Box 2" hidden="1">
              <a:extLst>
                <a:ext uri="{63B3BB69-23CF-44E3-9099-C40C66FF867C}">
                  <a14:compatExt spid="_x0000_s63897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16</xdr:row>
          <xdr:rowOff>0</xdr:rowOff>
        </xdr:from>
        <xdr:to>
          <xdr:col>10</xdr:col>
          <xdr:colOff>38100</xdr:colOff>
          <xdr:row>17</xdr:row>
          <xdr:rowOff>19050</xdr:rowOff>
        </xdr:to>
        <xdr:sp macro="" textlink="">
          <xdr:nvSpPr>
            <xdr:cNvPr id="638979" name="Check Box 3" hidden="1">
              <a:extLst>
                <a:ext uri="{63B3BB69-23CF-44E3-9099-C40C66FF867C}">
                  <a14:compatExt spid="_x0000_s63897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17</xdr:row>
          <xdr:rowOff>0</xdr:rowOff>
        </xdr:from>
        <xdr:to>
          <xdr:col>10</xdr:col>
          <xdr:colOff>38100</xdr:colOff>
          <xdr:row>18</xdr:row>
          <xdr:rowOff>19050</xdr:rowOff>
        </xdr:to>
        <xdr:sp macro="" textlink="">
          <xdr:nvSpPr>
            <xdr:cNvPr id="638980" name="Check Box 4" hidden="1">
              <a:extLst>
                <a:ext uri="{63B3BB69-23CF-44E3-9099-C40C66FF867C}">
                  <a14:compatExt spid="_x0000_s63898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18</xdr:row>
          <xdr:rowOff>0</xdr:rowOff>
        </xdr:from>
        <xdr:to>
          <xdr:col>10</xdr:col>
          <xdr:colOff>38100</xdr:colOff>
          <xdr:row>19</xdr:row>
          <xdr:rowOff>19050</xdr:rowOff>
        </xdr:to>
        <xdr:sp macro="" textlink="">
          <xdr:nvSpPr>
            <xdr:cNvPr id="638981" name="Check Box 5" hidden="1">
              <a:extLst>
                <a:ext uri="{63B3BB69-23CF-44E3-9099-C40C66FF867C}">
                  <a14:compatExt spid="_x0000_s63898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20</xdr:row>
          <xdr:rowOff>180975</xdr:rowOff>
        </xdr:from>
        <xdr:to>
          <xdr:col>10</xdr:col>
          <xdr:colOff>38100</xdr:colOff>
          <xdr:row>22</xdr:row>
          <xdr:rowOff>0</xdr:rowOff>
        </xdr:to>
        <xdr:sp macro="" textlink="">
          <xdr:nvSpPr>
            <xdr:cNvPr id="638982" name="Check Box 6" hidden="1">
              <a:extLst>
                <a:ext uri="{63B3BB69-23CF-44E3-9099-C40C66FF867C}">
                  <a14:compatExt spid="_x0000_s63898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21</xdr:row>
          <xdr:rowOff>180975</xdr:rowOff>
        </xdr:from>
        <xdr:to>
          <xdr:col>10</xdr:col>
          <xdr:colOff>38100</xdr:colOff>
          <xdr:row>23</xdr:row>
          <xdr:rowOff>0</xdr:rowOff>
        </xdr:to>
        <xdr:sp macro="" textlink="">
          <xdr:nvSpPr>
            <xdr:cNvPr id="638983" name="Check Box 7" hidden="1">
              <a:extLst>
                <a:ext uri="{63B3BB69-23CF-44E3-9099-C40C66FF867C}">
                  <a14:compatExt spid="_x0000_s63898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22</xdr:row>
          <xdr:rowOff>171450</xdr:rowOff>
        </xdr:from>
        <xdr:to>
          <xdr:col>10</xdr:col>
          <xdr:colOff>38100</xdr:colOff>
          <xdr:row>24</xdr:row>
          <xdr:rowOff>0</xdr:rowOff>
        </xdr:to>
        <xdr:sp macro="" textlink="">
          <xdr:nvSpPr>
            <xdr:cNvPr id="638984" name="Check Box 8" hidden="1">
              <a:extLst>
                <a:ext uri="{63B3BB69-23CF-44E3-9099-C40C66FF867C}">
                  <a14:compatExt spid="_x0000_s63898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23</xdr:row>
          <xdr:rowOff>180975</xdr:rowOff>
        </xdr:from>
        <xdr:to>
          <xdr:col>10</xdr:col>
          <xdr:colOff>38100</xdr:colOff>
          <xdr:row>25</xdr:row>
          <xdr:rowOff>19050</xdr:rowOff>
        </xdr:to>
        <xdr:sp macro="" textlink="">
          <xdr:nvSpPr>
            <xdr:cNvPr id="638985" name="Check Box 9" hidden="1">
              <a:extLst>
                <a:ext uri="{63B3BB69-23CF-44E3-9099-C40C66FF867C}">
                  <a14:compatExt spid="_x0000_s63898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15</xdr:row>
          <xdr:rowOff>180975</xdr:rowOff>
        </xdr:from>
        <xdr:to>
          <xdr:col>18</xdr:col>
          <xdr:colOff>323850</xdr:colOff>
          <xdr:row>17</xdr:row>
          <xdr:rowOff>0</xdr:rowOff>
        </xdr:to>
        <xdr:sp macro="" textlink="">
          <xdr:nvSpPr>
            <xdr:cNvPr id="638986" name="Check Box 10" hidden="1">
              <a:extLst>
                <a:ext uri="{63B3BB69-23CF-44E3-9099-C40C66FF867C}">
                  <a14:compatExt spid="_x0000_s63898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18</xdr:row>
          <xdr:rowOff>0</xdr:rowOff>
        </xdr:from>
        <xdr:to>
          <xdr:col>18</xdr:col>
          <xdr:colOff>323850</xdr:colOff>
          <xdr:row>19</xdr:row>
          <xdr:rowOff>19050</xdr:rowOff>
        </xdr:to>
        <xdr:sp macro="" textlink="">
          <xdr:nvSpPr>
            <xdr:cNvPr id="638987" name="Check Box 11" hidden="1">
              <a:extLst>
                <a:ext uri="{63B3BB69-23CF-44E3-9099-C40C66FF867C}">
                  <a14:compatExt spid="_x0000_s63898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14</xdr:row>
          <xdr:rowOff>180975</xdr:rowOff>
        </xdr:from>
        <xdr:to>
          <xdr:col>18</xdr:col>
          <xdr:colOff>323850</xdr:colOff>
          <xdr:row>16</xdr:row>
          <xdr:rowOff>0</xdr:rowOff>
        </xdr:to>
        <xdr:sp macro="" textlink="">
          <xdr:nvSpPr>
            <xdr:cNvPr id="638988" name="Check Box 12" hidden="1">
              <a:extLst>
                <a:ext uri="{63B3BB69-23CF-44E3-9099-C40C66FF867C}">
                  <a14:compatExt spid="_x0000_s63898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16</xdr:row>
          <xdr:rowOff>180975</xdr:rowOff>
        </xdr:from>
        <xdr:to>
          <xdr:col>18</xdr:col>
          <xdr:colOff>323850</xdr:colOff>
          <xdr:row>18</xdr:row>
          <xdr:rowOff>0</xdr:rowOff>
        </xdr:to>
        <xdr:sp macro="" textlink="">
          <xdr:nvSpPr>
            <xdr:cNvPr id="638989" name="Check Box 13" hidden="1">
              <a:extLst>
                <a:ext uri="{63B3BB69-23CF-44E3-9099-C40C66FF867C}">
                  <a14:compatExt spid="_x0000_s63898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29</xdr:row>
          <xdr:rowOff>180975</xdr:rowOff>
        </xdr:from>
        <xdr:to>
          <xdr:col>10</xdr:col>
          <xdr:colOff>38100</xdr:colOff>
          <xdr:row>31</xdr:row>
          <xdr:rowOff>0</xdr:rowOff>
        </xdr:to>
        <xdr:sp macro="" textlink="">
          <xdr:nvSpPr>
            <xdr:cNvPr id="638990" name="Check Box 14" hidden="1">
              <a:extLst>
                <a:ext uri="{63B3BB69-23CF-44E3-9099-C40C66FF867C}">
                  <a14:compatExt spid="_x0000_s63899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26</xdr:row>
          <xdr:rowOff>180975</xdr:rowOff>
        </xdr:from>
        <xdr:to>
          <xdr:col>10</xdr:col>
          <xdr:colOff>38100</xdr:colOff>
          <xdr:row>28</xdr:row>
          <xdr:rowOff>0</xdr:rowOff>
        </xdr:to>
        <xdr:sp macro="" textlink="">
          <xdr:nvSpPr>
            <xdr:cNvPr id="638991" name="Check Box 15" hidden="1">
              <a:extLst>
                <a:ext uri="{63B3BB69-23CF-44E3-9099-C40C66FF867C}">
                  <a14:compatExt spid="_x0000_s63899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27</xdr:row>
          <xdr:rowOff>180975</xdr:rowOff>
        </xdr:from>
        <xdr:to>
          <xdr:col>10</xdr:col>
          <xdr:colOff>38100</xdr:colOff>
          <xdr:row>29</xdr:row>
          <xdr:rowOff>0</xdr:rowOff>
        </xdr:to>
        <xdr:sp macro="" textlink="">
          <xdr:nvSpPr>
            <xdr:cNvPr id="638992" name="Check Box 16" hidden="1">
              <a:extLst>
                <a:ext uri="{63B3BB69-23CF-44E3-9099-C40C66FF867C}">
                  <a14:compatExt spid="_x0000_s63899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28</xdr:row>
          <xdr:rowOff>171450</xdr:rowOff>
        </xdr:from>
        <xdr:to>
          <xdr:col>10</xdr:col>
          <xdr:colOff>38100</xdr:colOff>
          <xdr:row>29</xdr:row>
          <xdr:rowOff>190500</xdr:rowOff>
        </xdr:to>
        <xdr:sp macro="" textlink="">
          <xdr:nvSpPr>
            <xdr:cNvPr id="638993" name="Check Box 17" hidden="1">
              <a:extLst>
                <a:ext uri="{63B3BB69-23CF-44E3-9099-C40C66FF867C}">
                  <a14:compatExt spid="_x0000_s63899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27</xdr:row>
          <xdr:rowOff>0</xdr:rowOff>
        </xdr:from>
        <xdr:to>
          <xdr:col>18</xdr:col>
          <xdr:colOff>323850</xdr:colOff>
          <xdr:row>28</xdr:row>
          <xdr:rowOff>19050</xdr:rowOff>
        </xdr:to>
        <xdr:sp macro="" textlink="">
          <xdr:nvSpPr>
            <xdr:cNvPr id="638994" name="Check Box 18" hidden="1">
              <a:extLst>
                <a:ext uri="{63B3BB69-23CF-44E3-9099-C40C66FF867C}">
                  <a14:compatExt spid="_x0000_s63899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28</xdr:row>
          <xdr:rowOff>0</xdr:rowOff>
        </xdr:from>
        <xdr:to>
          <xdr:col>18</xdr:col>
          <xdr:colOff>323850</xdr:colOff>
          <xdr:row>29</xdr:row>
          <xdr:rowOff>19050</xdr:rowOff>
        </xdr:to>
        <xdr:sp macro="" textlink="">
          <xdr:nvSpPr>
            <xdr:cNvPr id="638995" name="Check Box 19" hidden="1">
              <a:extLst>
                <a:ext uri="{63B3BB69-23CF-44E3-9099-C40C66FF867C}">
                  <a14:compatExt spid="_x0000_s63899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29</xdr:row>
          <xdr:rowOff>0</xdr:rowOff>
        </xdr:from>
        <xdr:to>
          <xdr:col>18</xdr:col>
          <xdr:colOff>323850</xdr:colOff>
          <xdr:row>30</xdr:row>
          <xdr:rowOff>19050</xdr:rowOff>
        </xdr:to>
        <xdr:sp macro="" textlink="">
          <xdr:nvSpPr>
            <xdr:cNvPr id="638996" name="Check Box 20" hidden="1">
              <a:extLst>
                <a:ext uri="{63B3BB69-23CF-44E3-9099-C40C66FF867C}">
                  <a14:compatExt spid="_x0000_s63899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34</xdr:row>
          <xdr:rowOff>152400</xdr:rowOff>
        </xdr:from>
        <xdr:to>
          <xdr:col>2</xdr:col>
          <xdr:colOff>495300</xdr:colOff>
          <xdr:row>34</xdr:row>
          <xdr:rowOff>371475</xdr:rowOff>
        </xdr:to>
        <xdr:sp macro="" textlink="">
          <xdr:nvSpPr>
            <xdr:cNvPr id="638997" name="Check Box 21" hidden="1">
              <a:extLst>
                <a:ext uri="{63B3BB69-23CF-44E3-9099-C40C66FF867C}">
                  <a14:compatExt spid="_x0000_s63899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35</xdr:row>
          <xdr:rowOff>142875</xdr:rowOff>
        </xdr:from>
        <xdr:to>
          <xdr:col>2</xdr:col>
          <xdr:colOff>495300</xdr:colOff>
          <xdr:row>35</xdr:row>
          <xdr:rowOff>361950</xdr:rowOff>
        </xdr:to>
        <xdr:sp macro="" textlink="">
          <xdr:nvSpPr>
            <xdr:cNvPr id="638998" name="Check Box 22" hidden="1">
              <a:extLst>
                <a:ext uri="{63B3BB69-23CF-44E3-9099-C40C66FF867C}">
                  <a14:compatExt spid="_x0000_s63899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36</xdr:row>
          <xdr:rowOff>200025</xdr:rowOff>
        </xdr:from>
        <xdr:to>
          <xdr:col>2</xdr:col>
          <xdr:colOff>495300</xdr:colOff>
          <xdr:row>36</xdr:row>
          <xdr:rowOff>419100</xdr:rowOff>
        </xdr:to>
        <xdr:sp macro="" textlink="">
          <xdr:nvSpPr>
            <xdr:cNvPr id="638999" name="Check Box 23" hidden="1">
              <a:extLst>
                <a:ext uri="{63B3BB69-23CF-44E3-9099-C40C66FF867C}">
                  <a14:compatExt spid="_x0000_s63899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37</xdr:row>
          <xdr:rowOff>190500</xdr:rowOff>
        </xdr:from>
        <xdr:to>
          <xdr:col>2</xdr:col>
          <xdr:colOff>495300</xdr:colOff>
          <xdr:row>37</xdr:row>
          <xdr:rowOff>409575</xdr:rowOff>
        </xdr:to>
        <xdr:sp macro="" textlink="">
          <xdr:nvSpPr>
            <xdr:cNvPr id="639000" name="Check Box 24" hidden="1">
              <a:extLst>
                <a:ext uri="{63B3BB69-23CF-44E3-9099-C40C66FF867C}">
                  <a14:compatExt spid="_x0000_s63900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190500</xdr:rowOff>
        </xdr:from>
        <xdr:to>
          <xdr:col>2</xdr:col>
          <xdr:colOff>495300</xdr:colOff>
          <xdr:row>38</xdr:row>
          <xdr:rowOff>409575</xdr:rowOff>
        </xdr:to>
        <xdr:sp macro="" textlink="">
          <xdr:nvSpPr>
            <xdr:cNvPr id="639001" name="Check Box 25" hidden="1">
              <a:extLst>
                <a:ext uri="{63B3BB69-23CF-44E3-9099-C40C66FF867C}">
                  <a14:compatExt spid="_x0000_s63900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190500</xdr:rowOff>
        </xdr:from>
        <xdr:to>
          <xdr:col>2</xdr:col>
          <xdr:colOff>495300</xdr:colOff>
          <xdr:row>40</xdr:row>
          <xdr:rowOff>409575</xdr:rowOff>
        </xdr:to>
        <xdr:sp macro="" textlink="">
          <xdr:nvSpPr>
            <xdr:cNvPr id="639002" name="Check Box 26" hidden="1">
              <a:extLst>
                <a:ext uri="{63B3BB69-23CF-44E3-9099-C40C66FF867C}">
                  <a14:compatExt spid="_x0000_s63900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xdr:row>
          <xdr:rowOff>190500</xdr:rowOff>
        </xdr:from>
        <xdr:to>
          <xdr:col>2</xdr:col>
          <xdr:colOff>495300</xdr:colOff>
          <xdr:row>43</xdr:row>
          <xdr:rowOff>409575</xdr:rowOff>
        </xdr:to>
        <xdr:sp macro="" textlink="">
          <xdr:nvSpPr>
            <xdr:cNvPr id="639003" name="Check Box 27" hidden="1">
              <a:extLst>
                <a:ext uri="{63B3BB69-23CF-44E3-9099-C40C66FF867C}">
                  <a14:compatExt spid="_x0000_s63900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44</xdr:row>
          <xdr:rowOff>190500</xdr:rowOff>
        </xdr:from>
        <xdr:to>
          <xdr:col>2</xdr:col>
          <xdr:colOff>495300</xdr:colOff>
          <xdr:row>44</xdr:row>
          <xdr:rowOff>409575</xdr:rowOff>
        </xdr:to>
        <xdr:sp macro="" textlink="">
          <xdr:nvSpPr>
            <xdr:cNvPr id="639004" name="Check Box 28" hidden="1">
              <a:extLst>
                <a:ext uri="{63B3BB69-23CF-44E3-9099-C40C66FF867C}">
                  <a14:compatExt spid="_x0000_s63900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352425</xdr:rowOff>
        </xdr:from>
        <xdr:to>
          <xdr:col>2</xdr:col>
          <xdr:colOff>495300</xdr:colOff>
          <xdr:row>45</xdr:row>
          <xdr:rowOff>571500</xdr:rowOff>
        </xdr:to>
        <xdr:sp macro="" textlink="">
          <xdr:nvSpPr>
            <xdr:cNvPr id="639005" name="Check Box 29" hidden="1">
              <a:extLst>
                <a:ext uri="{63B3BB69-23CF-44E3-9099-C40C66FF867C}">
                  <a14:compatExt spid="_x0000_s63900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46</xdr:row>
          <xdr:rowOff>361950</xdr:rowOff>
        </xdr:from>
        <xdr:to>
          <xdr:col>2</xdr:col>
          <xdr:colOff>495300</xdr:colOff>
          <xdr:row>46</xdr:row>
          <xdr:rowOff>581025</xdr:rowOff>
        </xdr:to>
        <xdr:sp macro="" textlink="">
          <xdr:nvSpPr>
            <xdr:cNvPr id="639006" name="Check Box 30" hidden="1">
              <a:extLst>
                <a:ext uri="{63B3BB69-23CF-44E3-9099-C40C66FF867C}">
                  <a14:compatExt spid="_x0000_s63900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47</xdr:row>
          <xdr:rowOff>180975</xdr:rowOff>
        </xdr:from>
        <xdr:to>
          <xdr:col>2</xdr:col>
          <xdr:colOff>495300</xdr:colOff>
          <xdr:row>47</xdr:row>
          <xdr:rowOff>400050</xdr:rowOff>
        </xdr:to>
        <xdr:sp macro="" textlink="">
          <xdr:nvSpPr>
            <xdr:cNvPr id="639007" name="Check Box 31" hidden="1">
              <a:extLst>
                <a:ext uri="{63B3BB69-23CF-44E3-9099-C40C66FF867C}">
                  <a14:compatExt spid="_x0000_s63900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48</xdr:row>
          <xdr:rowOff>371475</xdr:rowOff>
        </xdr:from>
        <xdr:to>
          <xdr:col>2</xdr:col>
          <xdr:colOff>495300</xdr:colOff>
          <xdr:row>48</xdr:row>
          <xdr:rowOff>590550</xdr:rowOff>
        </xdr:to>
        <xdr:sp macro="" textlink="">
          <xdr:nvSpPr>
            <xdr:cNvPr id="639008" name="Check Box 32" hidden="1">
              <a:extLst>
                <a:ext uri="{63B3BB69-23CF-44E3-9099-C40C66FF867C}">
                  <a14:compatExt spid="_x0000_s63900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152400</xdr:rowOff>
        </xdr:from>
        <xdr:to>
          <xdr:col>2</xdr:col>
          <xdr:colOff>495300</xdr:colOff>
          <xdr:row>49</xdr:row>
          <xdr:rowOff>371475</xdr:rowOff>
        </xdr:to>
        <xdr:sp macro="" textlink="">
          <xdr:nvSpPr>
            <xdr:cNvPr id="639009" name="Check Box 33" hidden="1">
              <a:extLst>
                <a:ext uri="{63B3BB69-23CF-44E3-9099-C40C66FF867C}">
                  <a14:compatExt spid="_x0000_s63900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50</xdr:row>
          <xdr:rowOff>152400</xdr:rowOff>
        </xdr:from>
        <xdr:to>
          <xdr:col>2</xdr:col>
          <xdr:colOff>495300</xdr:colOff>
          <xdr:row>50</xdr:row>
          <xdr:rowOff>371475</xdr:rowOff>
        </xdr:to>
        <xdr:sp macro="" textlink="">
          <xdr:nvSpPr>
            <xdr:cNvPr id="639010" name="Check Box 34" hidden="1">
              <a:extLst>
                <a:ext uri="{63B3BB69-23CF-44E3-9099-C40C66FF867C}">
                  <a14:compatExt spid="_x0000_s63901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51</xdr:row>
          <xdr:rowOff>142875</xdr:rowOff>
        </xdr:from>
        <xdr:to>
          <xdr:col>2</xdr:col>
          <xdr:colOff>495300</xdr:colOff>
          <xdr:row>51</xdr:row>
          <xdr:rowOff>361950</xdr:rowOff>
        </xdr:to>
        <xdr:sp macro="" textlink="">
          <xdr:nvSpPr>
            <xdr:cNvPr id="639011" name="Check Box 35" hidden="1">
              <a:extLst>
                <a:ext uri="{63B3BB69-23CF-44E3-9099-C40C66FF867C}">
                  <a14:compatExt spid="_x0000_s63901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54</xdr:row>
          <xdr:rowOff>200025</xdr:rowOff>
        </xdr:from>
        <xdr:to>
          <xdr:col>2</xdr:col>
          <xdr:colOff>495300</xdr:colOff>
          <xdr:row>54</xdr:row>
          <xdr:rowOff>419100</xdr:rowOff>
        </xdr:to>
        <xdr:sp macro="" textlink="">
          <xdr:nvSpPr>
            <xdr:cNvPr id="639012" name="Check Box 36" hidden="1">
              <a:extLst>
                <a:ext uri="{63B3BB69-23CF-44E3-9099-C40C66FF867C}">
                  <a14:compatExt spid="_x0000_s63901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57</xdr:row>
          <xdr:rowOff>209550</xdr:rowOff>
        </xdr:from>
        <xdr:to>
          <xdr:col>2</xdr:col>
          <xdr:colOff>495300</xdr:colOff>
          <xdr:row>57</xdr:row>
          <xdr:rowOff>428625</xdr:rowOff>
        </xdr:to>
        <xdr:sp macro="" textlink="">
          <xdr:nvSpPr>
            <xdr:cNvPr id="639013" name="Check Box 37" hidden="1">
              <a:extLst>
                <a:ext uri="{63B3BB69-23CF-44E3-9099-C40C66FF867C}">
                  <a14:compatExt spid="_x0000_s63901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59</xdr:row>
          <xdr:rowOff>285750</xdr:rowOff>
        </xdr:from>
        <xdr:to>
          <xdr:col>2</xdr:col>
          <xdr:colOff>495300</xdr:colOff>
          <xdr:row>59</xdr:row>
          <xdr:rowOff>504825</xdr:rowOff>
        </xdr:to>
        <xdr:sp macro="" textlink="">
          <xdr:nvSpPr>
            <xdr:cNvPr id="639014" name="Check Box 38" hidden="1">
              <a:extLst>
                <a:ext uri="{63B3BB69-23CF-44E3-9099-C40C66FF867C}">
                  <a14:compatExt spid="_x0000_s63901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65</xdr:row>
          <xdr:rowOff>266700</xdr:rowOff>
        </xdr:from>
        <xdr:to>
          <xdr:col>2</xdr:col>
          <xdr:colOff>495300</xdr:colOff>
          <xdr:row>65</xdr:row>
          <xdr:rowOff>485775</xdr:rowOff>
        </xdr:to>
        <xdr:sp macro="" textlink="">
          <xdr:nvSpPr>
            <xdr:cNvPr id="639015" name="Check Box 39" hidden="1">
              <a:extLst>
                <a:ext uri="{63B3BB69-23CF-44E3-9099-C40C66FF867C}">
                  <a14:compatExt spid="_x0000_s63901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66</xdr:row>
          <xdr:rowOff>219075</xdr:rowOff>
        </xdr:from>
        <xdr:to>
          <xdr:col>2</xdr:col>
          <xdr:colOff>495300</xdr:colOff>
          <xdr:row>66</xdr:row>
          <xdr:rowOff>438150</xdr:rowOff>
        </xdr:to>
        <xdr:sp macro="" textlink="">
          <xdr:nvSpPr>
            <xdr:cNvPr id="639016" name="Check Box 40" hidden="1">
              <a:extLst>
                <a:ext uri="{63B3BB69-23CF-44E3-9099-C40C66FF867C}">
                  <a14:compatExt spid="_x0000_s63901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190500</xdr:rowOff>
        </xdr:from>
        <xdr:to>
          <xdr:col>2</xdr:col>
          <xdr:colOff>504825</xdr:colOff>
          <xdr:row>67</xdr:row>
          <xdr:rowOff>409575</xdr:rowOff>
        </xdr:to>
        <xdr:sp macro="" textlink="">
          <xdr:nvSpPr>
            <xdr:cNvPr id="639017" name="Check Box 41" hidden="1">
              <a:extLst>
                <a:ext uri="{63B3BB69-23CF-44E3-9099-C40C66FF867C}">
                  <a14:compatExt spid="_x0000_s63901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58</xdr:row>
          <xdr:rowOff>419100</xdr:rowOff>
        </xdr:from>
        <xdr:to>
          <xdr:col>2</xdr:col>
          <xdr:colOff>495300</xdr:colOff>
          <xdr:row>58</xdr:row>
          <xdr:rowOff>638175</xdr:rowOff>
        </xdr:to>
        <xdr:sp macro="" textlink="">
          <xdr:nvSpPr>
            <xdr:cNvPr id="639018" name="Check Box 42" hidden="1">
              <a:extLst>
                <a:ext uri="{63B3BB69-23CF-44E3-9099-C40C66FF867C}">
                  <a14:compatExt spid="_x0000_s63901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14</xdr:row>
          <xdr:rowOff>0</xdr:rowOff>
        </xdr:from>
        <xdr:to>
          <xdr:col>18</xdr:col>
          <xdr:colOff>314325</xdr:colOff>
          <xdr:row>15</xdr:row>
          <xdr:rowOff>19050</xdr:rowOff>
        </xdr:to>
        <xdr:sp macro="" textlink="">
          <xdr:nvSpPr>
            <xdr:cNvPr id="639019" name="Check Box 43" hidden="1">
              <a:extLst>
                <a:ext uri="{63B3BB69-23CF-44E3-9099-C40C66FF867C}">
                  <a14:compatExt spid="_x0000_s63901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20</xdr:row>
          <xdr:rowOff>190500</xdr:rowOff>
        </xdr:from>
        <xdr:to>
          <xdr:col>18</xdr:col>
          <xdr:colOff>323850</xdr:colOff>
          <xdr:row>22</xdr:row>
          <xdr:rowOff>9525</xdr:rowOff>
        </xdr:to>
        <xdr:sp macro="" textlink="">
          <xdr:nvSpPr>
            <xdr:cNvPr id="639020" name="Check Box 44" hidden="1">
              <a:extLst>
                <a:ext uri="{63B3BB69-23CF-44E3-9099-C40C66FF867C}">
                  <a14:compatExt spid="_x0000_s63902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60</xdr:row>
          <xdr:rowOff>285750</xdr:rowOff>
        </xdr:from>
        <xdr:to>
          <xdr:col>2</xdr:col>
          <xdr:colOff>495300</xdr:colOff>
          <xdr:row>60</xdr:row>
          <xdr:rowOff>504825</xdr:rowOff>
        </xdr:to>
        <xdr:sp macro="" textlink="">
          <xdr:nvSpPr>
            <xdr:cNvPr id="639021" name="Check Box 45" hidden="1">
              <a:extLst>
                <a:ext uri="{63B3BB69-23CF-44E3-9099-C40C66FF867C}">
                  <a14:compatExt spid="_x0000_s63902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63</xdr:row>
          <xdr:rowOff>352425</xdr:rowOff>
        </xdr:from>
        <xdr:to>
          <xdr:col>2</xdr:col>
          <xdr:colOff>495300</xdr:colOff>
          <xdr:row>63</xdr:row>
          <xdr:rowOff>571500</xdr:rowOff>
        </xdr:to>
        <xdr:sp macro="" textlink="">
          <xdr:nvSpPr>
            <xdr:cNvPr id="639022" name="Check Box 46" hidden="1">
              <a:extLst>
                <a:ext uri="{63B3BB69-23CF-44E3-9099-C40C66FF867C}">
                  <a14:compatExt spid="_x0000_s63902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64</xdr:row>
          <xdr:rowOff>285750</xdr:rowOff>
        </xdr:from>
        <xdr:to>
          <xdr:col>2</xdr:col>
          <xdr:colOff>495300</xdr:colOff>
          <xdr:row>64</xdr:row>
          <xdr:rowOff>504825</xdr:rowOff>
        </xdr:to>
        <xdr:sp macro="" textlink="">
          <xdr:nvSpPr>
            <xdr:cNvPr id="639023" name="Check Box 47" hidden="1">
              <a:extLst>
                <a:ext uri="{63B3BB69-23CF-44E3-9099-C40C66FF867C}">
                  <a14:compatExt spid="_x0000_s63902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3</xdr:row>
          <xdr:rowOff>180975</xdr:rowOff>
        </xdr:from>
        <xdr:to>
          <xdr:col>6</xdr:col>
          <xdr:colOff>114300</xdr:colOff>
          <xdr:row>5</xdr:row>
          <xdr:rowOff>9525</xdr:rowOff>
        </xdr:to>
        <xdr:sp macro="" textlink="">
          <xdr:nvSpPr>
            <xdr:cNvPr id="639024" name="Check Box 48" hidden="1">
              <a:extLst>
                <a:ext uri="{63B3BB69-23CF-44E3-9099-C40C66FF867C}">
                  <a14:compatExt spid="_x0000_s63902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Koperasi;</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3</xdr:row>
          <xdr:rowOff>180975</xdr:rowOff>
        </xdr:from>
        <xdr:to>
          <xdr:col>6</xdr:col>
          <xdr:colOff>600075</xdr:colOff>
          <xdr:row>5</xdr:row>
          <xdr:rowOff>9525</xdr:rowOff>
        </xdr:to>
        <xdr:sp macro="" textlink="">
          <xdr:nvSpPr>
            <xdr:cNvPr id="639025" name="Check Box 49" hidden="1">
              <a:extLst>
                <a:ext uri="{63B3BB69-23CF-44E3-9099-C40C66FF867C}">
                  <a14:compatExt spid="_x0000_s63902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LKB;</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3</xdr:row>
          <xdr:rowOff>180975</xdr:rowOff>
        </xdr:from>
        <xdr:to>
          <xdr:col>7</xdr:col>
          <xdr:colOff>542925</xdr:colOff>
          <xdr:row>5</xdr:row>
          <xdr:rowOff>9525</xdr:rowOff>
        </xdr:to>
        <xdr:sp macro="" textlink="">
          <xdr:nvSpPr>
            <xdr:cNvPr id="639026" name="Check Box 50" hidden="1">
              <a:extLst>
                <a:ext uri="{63B3BB69-23CF-44E3-9099-C40C66FF867C}">
                  <a14:compatExt spid="_x0000_s63902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LKBB;</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581025</xdr:colOff>
          <xdr:row>3</xdr:row>
          <xdr:rowOff>180975</xdr:rowOff>
        </xdr:from>
        <xdr:to>
          <xdr:col>8</xdr:col>
          <xdr:colOff>447675</xdr:colOff>
          <xdr:row>5</xdr:row>
          <xdr:rowOff>9525</xdr:rowOff>
        </xdr:to>
        <xdr:sp macro="" textlink="">
          <xdr:nvSpPr>
            <xdr:cNvPr id="639027" name="Check Box 51" hidden="1">
              <a:extLst>
                <a:ext uri="{63B3BB69-23CF-44E3-9099-C40C66FF867C}">
                  <a14:compatExt spid="_x0000_s63902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UKM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39</xdr:row>
          <xdr:rowOff>190500</xdr:rowOff>
        </xdr:from>
        <xdr:to>
          <xdr:col>2</xdr:col>
          <xdr:colOff>495300</xdr:colOff>
          <xdr:row>39</xdr:row>
          <xdr:rowOff>409575</xdr:rowOff>
        </xdr:to>
        <xdr:sp macro="" textlink="">
          <xdr:nvSpPr>
            <xdr:cNvPr id="639028" name="Check Box 52" hidden="1">
              <a:extLst>
                <a:ext uri="{63B3BB69-23CF-44E3-9099-C40C66FF867C}">
                  <a14:compatExt spid="_x0000_s63902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21</xdr:row>
          <xdr:rowOff>190500</xdr:rowOff>
        </xdr:from>
        <xdr:to>
          <xdr:col>18</xdr:col>
          <xdr:colOff>323850</xdr:colOff>
          <xdr:row>23</xdr:row>
          <xdr:rowOff>9525</xdr:rowOff>
        </xdr:to>
        <xdr:sp macro="" textlink="">
          <xdr:nvSpPr>
            <xdr:cNvPr id="639029" name="Check Box 53" hidden="1">
              <a:extLst>
                <a:ext uri="{63B3BB69-23CF-44E3-9099-C40C66FF867C}">
                  <a14:compatExt spid="_x0000_s63902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52</xdr:row>
          <xdr:rowOff>142875</xdr:rowOff>
        </xdr:from>
        <xdr:to>
          <xdr:col>2</xdr:col>
          <xdr:colOff>495300</xdr:colOff>
          <xdr:row>52</xdr:row>
          <xdr:rowOff>361950</xdr:rowOff>
        </xdr:to>
        <xdr:sp macro="" textlink="">
          <xdr:nvSpPr>
            <xdr:cNvPr id="639030" name="Check Box 54" hidden="1">
              <a:extLst>
                <a:ext uri="{63B3BB69-23CF-44E3-9099-C40C66FF867C}">
                  <a14:compatExt spid="_x0000_s63903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53</xdr:row>
          <xdr:rowOff>142875</xdr:rowOff>
        </xdr:from>
        <xdr:to>
          <xdr:col>2</xdr:col>
          <xdr:colOff>495300</xdr:colOff>
          <xdr:row>53</xdr:row>
          <xdr:rowOff>361950</xdr:rowOff>
        </xdr:to>
        <xdr:sp macro="" textlink="">
          <xdr:nvSpPr>
            <xdr:cNvPr id="639031" name="Check Box 55" hidden="1">
              <a:extLst>
                <a:ext uri="{63B3BB69-23CF-44E3-9099-C40C66FF867C}">
                  <a14:compatExt spid="_x0000_s63903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62</xdr:row>
          <xdr:rowOff>285750</xdr:rowOff>
        </xdr:from>
        <xdr:to>
          <xdr:col>2</xdr:col>
          <xdr:colOff>495300</xdr:colOff>
          <xdr:row>62</xdr:row>
          <xdr:rowOff>504825</xdr:rowOff>
        </xdr:to>
        <xdr:sp macro="" textlink="">
          <xdr:nvSpPr>
            <xdr:cNvPr id="639032" name="Check Box 56" hidden="1">
              <a:extLst>
                <a:ext uri="{63B3BB69-23CF-44E3-9099-C40C66FF867C}">
                  <a14:compatExt spid="_x0000_s63903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61</xdr:row>
          <xdr:rowOff>419100</xdr:rowOff>
        </xdr:from>
        <xdr:to>
          <xdr:col>2</xdr:col>
          <xdr:colOff>495300</xdr:colOff>
          <xdr:row>61</xdr:row>
          <xdr:rowOff>638175</xdr:rowOff>
        </xdr:to>
        <xdr:sp macro="" textlink="">
          <xdr:nvSpPr>
            <xdr:cNvPr id="639033" name="Check Box 57" hidden="1">
              <a:extLst>
                <a:ext uri="{63B3BB69-23CF-44E3-9099-C40C66FF867C}">
                  <a14:compatExt spid="_x0000_s63903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70</xdr:row>
          <xdr:rowOff>209550</xdr:rowOff>
        </xdr:from>
        <xdr:to>
          <xdr:col>2</xdr:col>
          <xdr:colOff>495300</xdr:colOff>
          <xdr:row>70</xdr:row>
          <xdr:rowOff>428625</xdr:rowOff>
        </xdr:to>
        <xdr:sp macro="" textlink="">
          <xdr:nvSpPr>
            <xdr:cNvPr id="639034" name="Check Box 58" hidden="1">
              <a:extLst>
                <a:ext uri="{63B3BB69-23CF-44E3-9099-C40C66FF867C}">
                  <a14:compatExt spid="_x0000_s63903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73</xdr:row>
          <xdr:rowOff>285750</xdr:rowOff>
        </xdr:from>
        <xdr:to>
          <xdr:col>2</xdr:col>
          <xdr:colOff>495300</xdr:colOff>
          <xdr:row>73</xdr:row>
          <xdr:rowOff>504825</xdr:rowOff>
        </xdr:to>
        <xdr:sp macro="" textlink="">
          <xdr:nvSpPr>
            <xdr:cNvPr id="639035" name="Check Box 59" hidden="1">
              <a:extLst>
                <a:ext uri="{63B3BB69-23CF-44E3-9099-C40C66FF867C}">
                  <a14:compatExt spid="_x0000_s63903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71</xdr:row>
          <xdr:rowOff>200025</xdr:rowOff>
        </xdr:from>
        <xdr:to>
          <xdr:col>2</xdr:col>
          <xdr:colOff>495300</xdr:colOff>
          <xdr:row>71</xdr:row>
          <xdr:rowOff>419100</xdr:rowOff>
        </xdr:to>
        <xdr:sp macro="" textlink="">
          <xdr:nvSpPr>
            <xdr:cNvPr id="639036" name="Check Box 60" hidden="1">
              <a:extLst>
                <a:ext uri="{63B3BB69-23CF-44E3-9099-C40C66FF867C}">
                  <a14:compatExt spid="_x0000_s63903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72</xdr:row>
          <xdr:rowOff>200025</xdr:rowOff>
        </xdr:from>
        <xdr:to>
          <xdr:col>2</xdr:col>
          <xdr:colOff>495300</xdr:colOff>
          <xdr:row>72</xdr:row>
          <xdr:rowOff>419100</xdr:rowOff>
        </xdr:to>
        <xdr:sp macro="" textlink="">
          <xdr:nvSpPr>
            <xdr:cNvPr id="639037" name="Check Box 61" hidden="1">
              <a:extLst>
                <a:ext uri="{63B3BB69-23CF-44E3-9099-C40C66FF867C}">
                  <a14:compatExt spid="_x0000_s639037"/>
                </a:ext>
              </a:extLst>
            </xdr:cNvPr>
            <xdr:cNvSpPr/>
          </xdr:nvSpPr>
          <xdr:spPr>
            <a:xfrm>
              <a:off x="0" y="0"/>
              <a:ext cx="0" cy="0"/>
            </a:xfrm>
            <a:prstGeom prst="rect">
              <a:avLst/>
            </a:prstGeom>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9525</xdr:colOff>
          <xdr:row>12</xdr:row>
          <xdr:rowOff>180975</xdr:rowOff>
        </xdr:from>
        <xdr:to>
          <xdr:col>10</xdr:col>
          <xdr:colOff>142875</xdr:colOff>
          <xdr:row>14</xdr:row>
          <xdr:rowOff>0</xdr:rowOff>
        </xdr:to>
        <xdr:sp macro="" textlink="">
          <xdr:nvSpPr>
            <xdr:cNvPr id="641025" name="Check Box 1" hidden="1">
              <a:extLst>
                <a:ext uri="{63B3BB69-23CF-44E3-9099-C40C66FF867C}">
                  <a14:compatExt spid="_x0000_s64102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9</xdr:row>
          <xdr:rowOff>180975</xdr:rowOff>
        </xdr:from>
        <xdr:to>
          <xdr:col>10</xdr:col>
          <xdr:colOff>142875</xdr:colOff>
          <xdr:row>11</xdr:row>
          <xdr:rowOff>0</xdr:rowOff>
        </xdr:to>
        <xdr:sp macro="" textlink="">
          <xdr:nvSpPr>
            <xdr:cNvPr id="641026" name="Check Box 2" hidden="1">
              <a:extLst>
                <a:ext uri="{63B3BB69-23CF-44E3-9099-C40C66FF867C}">
                  <a14:compatExt spid="_x0000_s64102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10</xdr:row>
          <xdr:rowOff>180975</xdr:rowOff>
        </xdr:from>
        <xdr:to>
          <xdr:col>10</xdr:col>
          <xdr:colOff>142875</xdr:colOff>
          <xdr:row>12</xdr:row>
          <xdr:rowOff>0</xdr:rowOff>
        </xdr:to>
        <xdr:sp macro="" textlink="">
          <xdr:nvSpPr>
            <xdr:cNvPr id="641027" name="Check Box 3" hidden="1">
              <a:extLst>
                <a:ext uri="{63B3BB69-23CF-44E3-9099-C40C66FF867C}">
                  <a14:compatExt spid="_x0000_s64102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11</xdr:row>
          <xdr:rowOff>171450</xdr:rowOff>
        </xdr:from>
        <xdr:to>
          <xdr:col>10</xdr:col>
          <xdr:colOff>142875</xdr:colOff>
          <xdr:row>12</xdr:row>
          <xdr:rowOff>190500</xdr:rowOff>
        </xdr:to>
        <xdr:sp macro="" textlink="">
          <xdr:nvSpPr>
            <xdr:cNvPr id="641028" name="Check Box 4" hidden="1">
              <a:extLst>
                <a:ext uri="{63B3BB69-23CF-44E3-9099-C40C66FF867C}">
                  <a14:compatExt spid="_x0000_s64102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xdr:row>
          <xdr:rowOff>0</xdr:rowOff>
        </xdr:from>
        <xdr:to>
          <xdr:col>19</xdr:col>
          <xdr:colOff>19050</xdr:colOff>
          <xdr:row>11</xdr:row>
          <xdr:rowOff>19050</xdr:rowOff>
        </xdr:to>
        <xdr:sp macro="" textlink="">
          <xdr:nvSpPr>
            <xdr:cNvPr id="641029" name="Check Box 5" hidden="1">
              <a:extLst>
                <a:ext uri="{63B3BB69-23CF-44E3-9099-C40C66FF867C}">
                  <a14:compatExt spid="_x0000_s64102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17</xdr:row>
          <xdr:rowOff>152400</xdr:rowOff>
        </xdr:from>
        <xdr:to>
          <xdr:col>2</xdr:col>
          <xdr:colOff>495300</xdr:colOff>
          <xdr:row>17</xdr:row>
          <xdr:rowOff>371475</xdr:rowOff>
        </xdr:to>
        <xdr:sp macro="" textlink="">
          <xdr:nvSpPr>
            <xdr:cNvPr id="641030" name="Check Box 6" hidden="1">
              <a:extLst>
                <a:ext uri="{63B3BB69-23CF-44E3-9099-C40C66FF867C}">
                  <a14:compatExt spid="_x0000_s64103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18</xdr:row>
          <xdr:rowOff>142875</xdr:rowOff>
        </xdr:from>
        <xdr:to>
          <xdr:col>2</xdr:col>
          <xdr:colOff>495300</xdr:colOff>
          <xdr:row>18</xdr:row>
          <xdr:rowOff>361950</xdr:rowOff>
        </xdr:to>
        <xdr:sp macro="" textlink="">
          <xdr:nvSpPr>
            <xdr:cNvPr id="641031" name="Check Box 7" hidden="1">
              <a:extLst>
                <a:ext uri="{63B3BB69-23CF-44E3-9099-C40C66FF867C}">
                  <a14:compatExt spid="_x0000_s64103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200025</xdr:rowOff>
        </xdr:from>
        <xdr:to>
          <xdr:col>2</xdr:col>
          <xdr:colOff>495300</xdr:colOff>
          <xdr:row>19</xdr:row>
          <xdr:rowOff>419100</xdr:rowOff>
        </xdr:to>
        <xdr:sp macro="" textlink="">
          <xdr:nvSpPr>
            <xdr:cNvPr id="641032" name="Check Box 8" hidden="1">
              <a:extLst>
                <a:ext uri="{63B3BB69-23CF-44E3-9099-C40C66FF867C}">
                  <a14:compatExt spid="_x0000_s64103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20</xdr:row>
          <xdr:rowOff>190500</xdr:rowOff>
        </xdr:from>
        <xdr:to>
          <xdr:col>2</xdr:col>
          <xdr:colOff>495300</xdr:colOff>
          <xdr:row>20</xdr:row>
          <xdr:rowOff>409575</xdr:rowOff>
        </xdr:to>
        <xdr:sp macro="" textlink="">
          <xdr:nvSpPr>
            <xdr:cNvPr id="641033" name="Check Box 9" hidden="1">
              <a:extLst>
                <a:ext uri="{63B3BB69-23CF-44E3-9099-C40C66FF867C}">
                  <a14:compatExt spid="_x0000_s64103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xdr:row>
          <xdr:rowOff>190500</xdr:rowOff>
        </xdr:from>
        <xdr:to>
          <xdr:col>2</xdr:col>
          <xdr:colOff>495300</xdr:colOff>
          <xdr:row>21</xdr:row>
          <xdr:rowOff>409575</xdr:rowOff>
        </xdr:to>
        <xdr:sp macro="" textlink="">
          <xdr:nvSpPr>
            <xdr:cNvPr id="641034" name="Check Box 10" hidden="1">
              <a:extLst>
                <a:ext uri="{63B3BB69-23CF-44E3-9099-C40C66FF867C}">
                  <a14:compatExt spid="_x0000_s64103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25</xdr:row>
          <xdr:rowOff>190500</xdr:rowOff>
        </xdr:from>
        <xdr:to>
          <xdr:col>2</xdr:col>
          <xdr:colOff>495300</xdr:colOff>
          <xdr:row>25</xdr:row>
          <xdr:rowOff>409575</xdr:rowOff>
        </xdr:to>
        <xdr:sp macro="" textlink="">
          <xdr:nvSpPr>
            <xdr:cNvPr id="641035" name="Check Box 11" hidden="1">
              <a:extLst>
                <a:ext uri="{63B3BB69-23CF-44E3-9099-C40C66FF867C}">
                  <a14:compatExt spid="_x0000_s64103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26</xdr:row>
          <xdr:rowOff>190500</xdr:rowOff>
        </xdr:from>
        <xdr:to>
          <xdr:col>2</xdr:col>
          <xdr:colOff>495300</xdr:colOff>
          <xdr:row>26</xdr:row>
          <xdr:rowOff>409575</xdr:rowOff>
        </xdr:to>
        <xdr:sp macro="" textlink="">
          <xdr:nvSpPr>
            <xdr:cNvPr id="641036" name="Check Box 12" hidden="1">
              <a:extLst>
                <a:ext uri="{63B3BB69-23CF-44E3-9099-C40C66FF867C}">
                  <a14:compatExt spid="_x0000_s64103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27</xdr:row>
          <xdr:rowOff>161925</xdr:rowOff>
        </xdr:from>
        <xdr:to>
          <xdr:col>2</xdr:col>
          <xdr:colOff>495300</xdr:colOff>
          <xdr:row>27</xdr:row>
          <xdr:rowOff>381000</xdr:rowOff>
        </xdr:to>
        <xdr:sp macro="" textlink="">
          <xdr:nvSpPr>
            <xdr:cNvPr id="641037" name="Check Box 13" hidden="1">
              <a:extLst>
                <a:ext uri="{63B3BB69-23CF-44E3-9099-C40C66FF867C}">
                  <a14:compatExt spid="_x0000_s64103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28</xdr:row>
          <xdr:rowOff>152400</xdr:rowOff>
        </xdr:from>
        <xdr:to>
          <xdr:col>2</xdr:col>
          <xdr:colOff>495300</xdr:colOff>
          <xdr:row>28</xdr:row>
          <xdr:rowOff>371475</xdr:rowOff>
        </xdr:to>
        <xdr:sp macro="" textlink="">
          <xdr:nvSpPr>
            <xdr:cNvPr id="641038" name="Check Box 14" hidden="1">
              <a:extLst>
                <a:ext uri="{63B3BB69-23CF-44E3-9099-C40C66FF867C}">
                  <a14:compatExt spid="_x0000_s64103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29</xdr:row>
          <xdr:rowOff>180975</xdr:rowOff>
        </xdr:from>
        <xdr:to>
          <xdr:col>2</xdr:col>
          <xdr:colOff>495300</xdr:colOff>
          <xdr:row>29</xdr:row>
          <xdr:rowOff>400050</xdr:rowOff>
        </xdr:to>
        <xdr:sp macro="" textlink="">
          <xdr:nvSpPr>
            <xdr:cNvPr id="641039" name="Check Box 15" hidden="1">
              <a:extLst>
                <a:ext uri="{63B3BB69-23CF-44E3-9099-C40C66FF867C}">
                  <a14:compatExt spid="_x0000_s64103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xdr:row>
          <xdr:rowOff>152400</xdr:rowOff>
        </xdr:from>
        <xdr:to>
          <xdr:col>2</xdr:col>
          <xdr:colOff>495300</xdr:colOff>
          <xdr:row>30</xdr:row>
          <xdr:rowOff>371475</xdr:rowOff>
        </xdr:to>
        <xdr:sp macro="" textlink="">
          <xdr:nvSpPr>
            <xdr:cNvPr id="641040" name="Check Box 16" hidden="1">
              <a:extLst>
                <a:ext uri="{63B3BB69-23CF-44E3-9099-C40C66FF867C}">
                  <a14:compatExt spid="_x0000_s64104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31</xdr:row>
          <xdr:rowOff>152400</xdr:rowOff>
        </xdr:from>
        <xdr:to>
          <xdr:col>2</xdr:col>
          <xdr:colOff>495300</xdr:colOff>
          <xdr:row>31</xdr:row>
          <xdr:rowOff>371475</xdr:rowOff>
        </xdr:to>
        <xdr:sp macro="" textlink="">
          <xdr:nvSpPr>
            <xdr:cNvPr id="641041" name="Check Box 17" hidden="1">
              <a:extLst>
                <a:ext uri="{63B3BB69-23CF-44E3-9099-C40C66FF867C}">
                  <a14:compatExt spid="_x0000_s64104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32</xdr:row>
          <xdr:rowOff>152400</xdr:rowOff>
        </xdr:from>
        <xdr:to>
          <xdr:col>2</xdr:col>
          <xdr:colOff>495300</xdr:colOff>
          <xdr:row>32</xdr:row>
          <xdr:rowOff>371475</xdr:rowOff>
        </xdr:to>
        <xdr:sp macro="" textlink="">
          <xdr:nvSpPr>
            <xdr:cNvPr id="641042" name="Check Box 18" hidden="1">
              <a:extLst>
                <a:ext uri="{63B3BB69-23CF-44E3-9099-C40C66FF867C}">
                  <a14:compatExt spid="_x0000_s64104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33</xdr:row>
          <xdr:rowOff>142875</xdr:rowOff>
        </xdr:from>
        <xdr:to>
          <xdr:col>2</xdr:col>
          <xdr:colOff>495300</xdr:colOff>
          <xdr:row>33</xdr:row>
          <xdr:rowOff>361950</xdr:rowOff>
        </xdr:to>
        <xdr:sp macro="" textlink="">
          <xdr:nvSpPr>
            <xdr:cNvPr id="641043" name="Check Box 19" hidden="1">
              <a:extLst>
                <a:ext uri="{63B3BB69-23CF-44E3-9099-C40C66FF867C}">
                  <a14:compatExt spid="_x0000_s64104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xdr:row>
          <xdr:rowOff>161925</xdr:rowOff>
        </xdr:from>
        <xdr:to>
          <xdr:col>2</xdr:col>
          <xdr:colOff>495300</xdr:colOff>
          <xdr:row>22</xdr:row>
          <xdr:rowOff>381000</xdr:rowOff>
        </xdr:to>
        <xdr:sp macro="" textlink="">
          <xdr:nvSpPr>
            <xdr:cNvPr id="641044" name="Check Box 20" hidden="1">
              <a:extLst>
                <a:ext uri="{63B3BB69-23CF-44E3-9099-C40C66FF867C}">
                  <a14:compatExt spid="_x0000_s64104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34</xdr:row>
          <xdr:rowOff>171450</xdr:rowOff>
        </xdr:from>
        <xdr:to>
          <xdr:col>2</xdr:col>
          <xdr:colOff>495300</xdr:colOff>
          <xdr:row>34</xdr:row>
          <xdr:rowOff>390525</xdr:rowOff>
        </xdr:to>
        <xdr:sp macro="" textlink="">
          <xdr:nvSpPr>
            <xdr:cNvPr id="641045" name="Check Box 21" hidden="1">
              <a:extLst>
                <a:ext uri="{63B3BB69-23CF-44E3-9099-C40C66FF867C}">
                  <a14:compatExt spid="_x0000_s64104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35</xdr:row>
          <xdr:rowOff>152400</xdr:rowOff>
        </xdr:from>
        <xdr:to>
          <xdr:col>2</xdr:col>
          <xdr:colOff>495300</xdr:colOff>
          <xdr:row>35</xdr:row>
          <xdr:rowOff>371475</xdr:rowOff>
        </xdr:to>
        <xdr:sp macro="" textlink="">
          <xdr:nvSpPr>
            <xdr:cNvPr id="641046" name="Check Box 22" hidden="1">
              <a:extLst>
                <a:ext uri="{63B3BB69-23CF-44E3-9099-C40C66FF867C}">
                  <a14:compatExt spid="_x0000_s64104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3</xdr:row>
          <xdr:rowOff>180975</xdr:rowOff>
        </xdr:from>
        <xdr:to>
          <xdr:col>7</xdr:col>
          <xdr:colOff>409575</xdr:colOff>
          <xdr:row>5</xdr:row>
          <xdr:rowOff>9525</xdr:rowOff>
        </xdr:to>
        <xdr:sp macro="" textlink="">
          <xdr:nvSpPr>
            <xdr:cNvPr id="641047" name="Check Box 23" hidden="1">
              <a:extLst>
                <a:ext uri="{63B3BB69-23CF-44E3-9099-C40C66FF867C}">
                  <a14:compatExt spid="_x0000_s64104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 Peminjam saat ini ini;</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xdr:row>
          <xdr:rowOff>180975</xdr:rowOff>
        </xdr:from>
        <xdr:to>
          <xdr:col>13</xdr:col>
          <xdr:colOff>457200</xdr:colOff>
          <xdr:row>5</xdr:row>
          <xdr:rowOff>9525</xdr:rowOff>
        </xdr:to>
        <xdr:sp macro="" textlink="">
          <xdr:nvSpPr>
            <xdr:cNvPr id="641048" name="Check Box 24" hidden="1">
              <a:extLst>
                <a:ext uri="{63B3BB69-23CF-44E3-9099-C40C66FF867C}">
                  <a14:compatExt spid="_x0000_s64104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B. Calon Peminjam</a:t>
              </a:r>
            </a:p>
          </xdr:txBody>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19</xdr:col>
      <xdr:colOff>0</xdr:colOff>
      <xdr:row>14</xdr:row>
      <xdr:rowOff>9525</xdr:rowOff>
    </xdr:from>
    <xdr:to>
      <xdr:col>24</xdr:col>
      <xdr:colOff>0</xdr:colOff>
      <xdr:row>14</xdr:row>
      <xdr:rowOff>219075</xdr:rowOff>
    </xdr:to>
    <xdr:sp macro="" textlink="">
      <xdr:nvSpPr>
        <xdr:cNvPr id="1090197"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198"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199"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200"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201"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202"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203"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13</xdr:row>
      <xdr:rowOff>19050</xdr:rowOff>
    </xdr:from>
    <xdr:to>
      <xdr:col>20</xdr:col>
      <xdr:colOff>0</xdr:colOff>
      <xdr:row>13</xdr:row>
      <xdr:rowOff>209550</xdr:rowOff>
    </xdr:to>
    <xdr:sp macro="" textlink="">
      <xdr:nvSpPr>
        <xdr:cNvPr id="1090204" name="Option Button 41" hidden="1"/>
        <xdr:cNvSpPr>
          <a:spLocks noChangeArrowheads="1"/>
        </xdr:cNvSpPr>
      </xdr:nvSpPr>
      <xdr:spPr bwMode="auto">
        <a:xfrm>
          <a:off x="5534025" y="30289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14</xdr:row>
      <xdr:rowOff>19050</xdr:rowOff>
    </xdr:from>
    <xdr:to>
      <xdr:col>20</xdr:col>
      <xdr:colOff>0</xdr:colOff>
      <xdr:row>14</xdr:row>
      <xdr:rowOff>209550</xdr:rowOff>
    </xdr:to>
    <xdr:sp macro="" textlink="">
      <xdr:nvSpPr>
        <xdr:cNvPr id="1090205" name="Option Button 42" hidden="1"/>
        <xdr:cNvSpPr>
          <a:spLocks noChangeArrowheads="1"/>
        </xdr:cNvSpPr>
      </xdr:nvSpPr>
      <xdr:spPr bwMode="auto">
        <a:xfrm>
          <a:off x="5534025" y="3314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18</xdr:row>
      <xdr:rowOff>19050</xdr:rowOff>
    </xdr:from>
    <xdr:to>
      <xdr:col>20</xdr:col>
      <xdr:colOff>0</xdr:colOff>
      <xdr:row>18</xdr:row>
      <xdr:rowOff>209550</xdr:rowOff>
    </xdr:to>
    <xdr:sp macro="" textlink="">
      <xdr:nvSpPr>
        <xdr:cNvPr id="1090206" name="Option Button 46" hidden="1"/>
        <xdr:cNvSpPr>
          <a:spLocks noChangeArrowheads="1"/>
        </xdr:cNvSpPr>
      </xdr:nvSpPr>
      <xdr:spPr bwMode="auto">
        <a:xfrm>
          <a:off x="5534025" y="4457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20</xdr:row>
      <xdr:rowOff>19050</xdr:rowOff>
    </xdr:from>
    <xdr:to>
      <xdr:col>20</xdr:col>
      <xdr:colOff>0</xdr:colOff>
      <xdr:row>20</xdr:row>
      <xdr:rowOff>209550</xdr:rowOff>
    </xdr:to>
    <xdr:sp macro="" textlink="">
      <xdr:nvSpPr>
        <xdr:cNvPr id="1090207" name="Option Button 48" hidden="1"/>
        <xdr:cNvSpPr>
          <a:spLocks noChangeArrowheads="1"/>
        </xdr:cNvSpPr>
      </xdr:nvSpPr>
      <xdr:spPr bwMode="auto">
        <a:xfrm>
          <a:off x="5534025" y="50292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21</xdr:row>
      <xdr:rowOff>19050</xdr:rowOff>
    </xdr:from>
    <xdr:to>
      <xdr:col>20</xdr:col>
      <xdr:colOff>0</xdr:colOff>
      <xdr:row>21</xdr:row>
      <xdr:rowOff>209550</xdr:rowOff>
    </xdr:to>
    <xdr:sp macro="" textlink="">
      <xdr:nvSpPr>
        <xdr:cNvPr id="1090208" name="Option Button 49" hidden="1"/>
        <xdr:cNvSpPr>
          <a:spLocks noChangeArrowheads="1"/>
        </xdr:cNvSpPr>
      </xdr:nvSpPr>
      <xdr:spPr bwMode="auto">
        <a:xfrm>
          <a:off x="5534025" y="53149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22</xdr:row>
      <xdr:rowOff>19050</xdr:rowOff>
    </xdr:from>
    <xdr:to>
      <xdr:col>20</xdr:col>
      <xdr:colOff>0</xdr:colOff>
      <xdr:row>22</xdr:row>
      <xdr:rowOff>209550</xdr:rowOff>
    </xdr:to>
    <xdr:sp macro="" textlink="">
      <xdr:nvSpPr>
        <xdr:cNvPr id="1090209" name="Option Button 50" hidden="1"/>
        <xdr:cNvSpPr>
          <a:spLocks noChangeArrowheads="1"/>
        </xdr:cNvSpPr>
      </xdr:nvSpPr>
      <xdr:spPr bwMode="auto">
        <a:xfrm>
          <a:off x="5534025" y="5600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23</xdr:row>
      <xdr:rowOff>19050</xdr:rowOff>
    </xdr:from>
    <xdr:to>
      <xdr:col>20</xdr:col>
      <xdr:colOff>0</xdr:colOff>
      <xdr:row>23</xdr:row>
      <xdr:rowOff>209550</xdr:rowOff>
    </xdr:to>
    <xdr:sp macro="" textlink="">
      <xdr:nvSpPr>
        <xdr:cNvPr id="1090210" name="Option Button 51" hidden="1"/>
        <xdr:cNvSpPr>
          <a:spLocks noChangeArrowheads="1"/>
        </xdr:cNvSpPr>
      </xdr:nvSpPr>
      <xdr:spPr bwMode="auto">
        <a:xfrm>
          <a:off x="5534025" y="5981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24</xdr:row>
      <xdr:rowOff>19050</xdr:rowOff>
    </xdr:from>
    <xdr:to>
      <xdr:col>20</xdr:col>
      <xdr:colOff>0</xdr:colOff>
      <xdr:row>24</xdr:row>
      <xdr:rowOff>209550</xdr:rowOff>
    </xdr:to>
    <xdr:sp macro="" textlink="">
      <xdr:nvSpPr>
        <xdr:cNvPr id="1090211" name="Option Button 52" hidden="1"/>
        <xdr:cNvSpPr>
          <a:spLocks noChangeArrowheads="1"/>
        </xdr:cNvSpPr>
      </xdr:nvSpPr>
      <xdr:spPr bwMode="auto">
        <a:xfrm>
          <a:off x="5534025" y="6267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25</xdr:row>
      <xdr:rowOff>19050</xdr:rowOff>
    </xdr:from>
    <xdr:to>
      <xdr:col>20</xdr:col>
      <xdr:colOff>0</xdr:colOff>
      <xdr:row>25</xdr:row>
      <xdr:rowOff>209550</xdr:rowOff>
    </xdr:to>
    <xdr:sp macro="" textlink="">
      <xdr:nvSpPr>
        <xdr:cNvPr id="1090212" name="Option Button 53" hidden="1"/>
        <xdr:cNvSpPr>
          <a:spLocks noChangeArrowheads="1"/>
        </xdr:cNvSpPr>
      </xdr:nvSpPr>
      <xdr:spPr bwMode="auto">
        <a:xfrm>
          <a:off x="5534025" y="65532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26</xdr:row>
      <xdr:rowOff>19050</xdr:rowOff>
    </xdr:from>
    <xdr:to>
      <xdr:col>20</xdr:col>
      <xdr:colOff>0</xdr:colOff>
      <xdr:row>26</xdr:row>
      <xdr:rowOff>228600</xdr:rowOff>
    </xdr:to>
    <xdr:sp macro="" textlink="">
      <xdr:nvSpPr>
        <xdr:cNvPr id="1090213" name="Option Button 55" hidden="1"/>
        <xdr:cNvSpPr>
          <a:spLocks noChangeArrowheads="1"/>
        </xdr:cNvSpPr>
      </xdr:nvSpPr>
      <xdr:spPr bwMode="auto">
        <a:xfrm>
          <a:off x="5534025" y="6838950"/>
          <a:ext cx="2381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214"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0215"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0216"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0217"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0218"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219"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220"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221"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0222"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0223"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0224"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225"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226"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0227"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0228"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0229"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230"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231"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0232"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78</xdr:row>
      <xdr:rowOff>800100</xdr:rowOff>
    </xdr:from>
    <xdr:to>
      <xdr:col>21</xdr:col>
      <xdr:colOff>0</xdr:colOff>
      <xdr:row>78</xdr:row>
      <xdr:rowOff>990600</xdr:rowOff>
    </xdr:to>
    <xdr:sp macro="" textlink="">
      <xdr:nvSpPr>
        <xdr:cNvPr id="1090233" name="Option Button 186" hidden="1"/>
        <xdr:cNvSpPr>
          <a:spLocks noChangeArrowheads="1"/>
        </xdr:cNvSpPr>
      </xdr:nvSpPr>
      <xdr:spPr bwMode="auto">
        <a:xfrm>
          <a:off x="5791200" y="34356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0234"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235"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236"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105</xdr:row>
      <xdr:rowOff>200025</xdr:rowOff>
    </xdr:from>
    <xdr:to>
      <xdr:col>21</xdr:col>
      <xdr:colOff>0</xdr:colOff>
      <xdr:row>106</xdr:row>
      <xdr:rowOff>0</xdr:rowOff>
    </xdr:to>
    <xdr:sp macro="" textlink="">
      <xdr:nvSpPr>
        <xdr:cNvPr id="1090237" name="Option Button 222" hidden="1"/>
        <xdr:cNvSpPr>
          <a:spLocks noChangeArrowheads="1"/>
        </xdr:cNvSpPr>
      </xdr:nvSpPr>
      <xdr:spPr bwMode="auto">
        <a:xfrm>
          <a:off x="5791200" y="56969025"/>
          <a:ext cx="2381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238"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23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24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24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24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24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24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24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24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24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24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24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25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25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25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25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25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25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25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257"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258"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259"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260"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261"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262"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263"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264"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265"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266"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267"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268"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269"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270"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271"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272"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273"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274"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275"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276"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277"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278"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279"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280"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281"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282"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283"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284"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285"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286"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287"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288"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289"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290"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291"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292"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293"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294"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295"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296"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297"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298"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299"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300"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301"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302"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303"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304"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305"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306"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307"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308"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309"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310"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311"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312"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313"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314"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315"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316"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317"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318"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319"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320"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321"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322"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323"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324"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325"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326"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327"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328"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32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33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33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33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33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33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33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33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33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33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33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34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34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34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34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34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34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34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347"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348"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349"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350"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351"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352"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353"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354"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355"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356"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357"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358"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359"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360"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361"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362"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363"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364"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365"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366"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367"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368"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369"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370"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371"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372"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373"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374"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375"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376"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377"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378"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379"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380"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381"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382"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383"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384"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385"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386"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387"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388"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389"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390"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391"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392"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393"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394"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395"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396"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397"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398"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399"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400"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401"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402"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403"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404"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405"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406"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407"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408"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409"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410"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411"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412"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413"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414"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415"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416"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417"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418"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41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42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42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42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42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42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42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42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42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42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42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43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43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43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43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43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43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43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437"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438"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439"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440"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441"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442"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443"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444"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445"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446"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447"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448"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449"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450"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451"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452"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453"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454"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455"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456"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457"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458"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459"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460"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461"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462"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463"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464"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465"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466"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467"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468"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469"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470"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471"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472"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0473"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0474"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0475"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0476"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477"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478"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479"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480"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481"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482"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483"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484"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485"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486"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487"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488"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489"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490"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491"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492"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493"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494"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495"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496"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497"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498"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499"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500"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501"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502"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503"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504"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505"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506"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507"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508"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509"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510"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511"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512"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0513"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0514"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0515"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0516"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0517"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0518"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0519"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0520"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0521"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0522"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0523"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0524"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525"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526"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527"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528"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529"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0530"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0531"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0532"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0533"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0534"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0535"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0536"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0537"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0538"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0539"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0540"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0541"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0542"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0543"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0544"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0545"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0546"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0547"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0548"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0549"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0550"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0551"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0552"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0553"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0554"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0555"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0556"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0557"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0558"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0559"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70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70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70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70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70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70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71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71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71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71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71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71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71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71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71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71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72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72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72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72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72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72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72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72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72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72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73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73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73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73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73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73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73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73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73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73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74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74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74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74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74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74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74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74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74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74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75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75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75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75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75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75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75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75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75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75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76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76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76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76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76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76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76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76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76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76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77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77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77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77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77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77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77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77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77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77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78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78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78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78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78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78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78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78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78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78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79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79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79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79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79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79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79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79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79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79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80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80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80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80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80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80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80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80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80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80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81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81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81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81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81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81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81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81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81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81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82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82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82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82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82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82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82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82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82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82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83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83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83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83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83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83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83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83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83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83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84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84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84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84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84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84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84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84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84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84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85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85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85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85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85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85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85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85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85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85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86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86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86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86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86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86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86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86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86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86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87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87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87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87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87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87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87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87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87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87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88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88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88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88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88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88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88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88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88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88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89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89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89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89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89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89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89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89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89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89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90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90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90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90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90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90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90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90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90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909" name="Group Box 27" hidden="1"/>
        <xdr:cNvSpPr>
          <a:spLocks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910" name="Group Box 28" hidden="1"/>
        <xdr:cNvSpPr>
          <a:spLocks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911" name="Group Box 30" hidden="1"/>
        <xdr:cNvSpPr>
          <a:spLocks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912" name="Group Box 35" hidden="1"/>
        <xdr:cNvSpPr>
          <a:spLocks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913" name="Group Box 37" hidden="1"/>
        <xdr:cNvSpPr>
          <a:spLocks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914" name="Group Box 38" hidden="1"/>
        <xdr:cNvSpPr>
          <a:spLocks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915" name="Group Box 39" hidden="1"/>
        <xdr:cNvSpPr>
          <a:spLocks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916" name="Group Box 118" hidden="1"/>
        <xdr:cNvSpPr>
          <a:spLocks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917" name="Group Box 145" hidden="1"/>
        <xdr:cNvSpPr>
          <a:spLocks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918" name="Group Box 146" hidden="1"/>
        <xdr:cNvSpPr>
          <a:spLocks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919" name="Group Box 147" hidden="1"/>
        <xdr:cNvSpPr>
          <a:spLocks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920" name="Group Box 164" hidden="1"/>
        <xdr:cNvSpPr>
          <a:spLocks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921" name="Group Box 165" hidden="1"/>
        <xdr:cNvSpPr>
          <a:spLocks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922" name="Group Box 183" hidden="1"/>
        <xdr:cNvSpPr>
          <a:spLocks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923" name="Group Box 184" hidden="1"/>
        <xdr:cNvSpPr>
          <a:spLocks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924" name="Group Box 220" hidden="1"/>
        <xdr:cNvSpPr>
          <a:spLocks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925" name="Group Box 221" hidden="1"/>
        <xdr:cNvSpPr>
          <a:spLocks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1438275</xdr:rowOff>
    </xdr:to>
    <xdr:sp macro="" textlink="">
      <xdr:nvSpPr>
        <xdr:cNvPr id="1096926" name="Group Box 245" hidden="1"/>
        <xdr:cNvSpPr>
          <a:spLocks noChangeArrowheads="1"/>
        </xdr:cNvSpPr>
      </xdr:nvSpPr>
      <xdr:spPr bwMode="auto">
        <a:xfrm>
          <a:off x="5772150" y="69199125"/>
          <a:ext cx="12858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927" name="Option Button 121"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928" name="Option Button 122"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929" name="Option Button 123"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930" name="Option Button 124"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931" name="Option Button 148" hidden="1"/>
        <xdr:cNvSpPr>
          <a:spLocks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932" name="Option Button 149" hidden="1"/>
        <xdr:cNvSpPr>
          <a:spLocks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933" name="Option Button 150" hidden="1"/>
        <xdr:cNvSpPr>
          <a:spLocks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934" name="Option Button 167" hidden="1"/>
        <xdr:cNvSpPr>
          <a:spLocks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935" name="Option Button 168" hidden="1"/>
        <xdr:cNvSpPr>
          <a:spLocks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936" name="Option Button 169" hidden="1"/>
        <xdr:cNvSpPr>
          <a:spLocks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937" name="Option Button 185" hidden="1"/>
        <xdr:cNvSpPr>
          <a:spLocks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938" name="Option Button 187" hidden="1"/>
        <xdr:cNvSpPr>
          <a:spLocks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13</xdr:row>
      <xdr:rowOff>19050</xdr:rowOff>
    </xdr:from>
    <xdr:to>
      <xdr:col>20</xdr:col>
      <xdr:colOff>0</xdr:colOff>
      <xdr:row>13</xdr:row>
      <xdr:rowOff>209550</xdr:rowOff>
    </xdr:to>
    <xdr:sp macro="" textlink="">
      <xdr:nvSpPr>
        <xdr:cNvPr id="1096939" name="Option Button 41" hidden="1"/>
        <xdr:cNvSpPr>
          <a:spLocks noChangeArrowheads="1"/>
        </xdr:cNvSpPr>
      </xdr:nvSpPr>
      <xdr:spPr bwMode="auto">
        <a:xfrm>
          <a:off x="5534025" y="30289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14</xdr:row>
      <xdr:rowOff>19050</xdr:rowOff>
    </xdr:from>
    <xdr:to>
      <xdr:col>20</xdr:col>
      <xdr:colOff>0</xdr:colOff>
      <xdr:row>14</xdr:row>
      <xdr:rowOff>209550</xdr:rowOff>
    </xdr:to>
    <xdr:sp macro="" textlink="">
      <xdr:nvSpPr>
        <xdr:cNvPr id="1096940" name="Option Button 42" hidden="1"/>
        <xdr:cNvSpPr>
          <a:spLocks noChangeArrowheads="1"/>
        </xdr:cNvSpPr>
      </xdr:nvSpPr>
      <xdr:spPr bwMode="auto">
        <a:xfrm>
          <a:off x="5534025" y="3314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18</xdr:row>
      <xdr:rowOff>19050</xdr:rowOff>
    </xdr:from>
    <xdr:to>
      <xdr:col>20</xdr:col>
      <xdr:colOff>0</xdr:colOff>
      <xdr:row>18</xdr:row>
      <xdr:rowOff>209550</xdr:rowOff>
    </xdr:to>
    <xdr:sp macro="" textlink="">
      <xdr:nvSpPr>
        <xdr:cNvPr id="1096941" name="Option Button 46" hidden="1"/>
        <xdr:cNvSpPr>
          <a:spLocks noChangeArrowheads="1"/>
        </xdr:cNvSpPr>
      </xdr:nvSpPr>
      <xdr:spPr bwMode="auto">
        <a:xfrm>
          <a:off x="5534025" y="4457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20</xdr:row>
      <xdr:rowOff>19050</xdr:rowOff>
    </xdr:from>
    <xdr:to>
      <xdr:col>20</xdr:col>
      <xdr:colOff>0</xdr:colOff>
      <xdr:row>20</xdr:row>
      <xdr:rowOff>209550</xdr:rowOff>
    </xdr:to>
    <xdr:sp macro="" textlink="">
      <xdr:nvSpPr>
        <xdr:cNvPr id="1096942" name="Option Button 48" hidden="1"/>
        <xdr:cNvSpPr>
          <a:spLocks noChangeArrowheads="1"/>
        </xdr:cNvSpPr>
      </xdr:nvSpPr>
      <xdr:spPr bwMode="auto">
        <a:xfrm>
          <a:off x="5534025" y="50292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21</xdr:row>
      <xdr:rowOff>19050</xdr:rowOff>
    </xdr:from>
    <xdr:to>
      <xdr:col>20</xdr:col>
      <xdr:colOff>0</xdr:colOff>
      <xdr:row>21</xdr:row>
      <xdr:rowOff>209550</xdr:rowOff>
    </xdr:to>
    <xdr:sp macro="" textlink="">
      <xdr:nvSpPr>
        <xdr:cNvPr id="1096943" name="Option Button 49" hidden="1"/>
        <xdr:cNvSpPr>
          <a:spLocks noChangeArrowheads="1"/>
        </xdr:cNvSpPr>
      </xdr:nvSpPr>
      <xdr:spPr bwMode="auto">
        <a:xfrm>
          <a:off x="5534025" y="53149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22</xdr:row>
      <xdr:rowOff>19050</xdr:rowOff>
    </xdr:from>
    <xdr:to>
      <xdr:col>20</xdr:col>
      <xdr:colOff>0</xdr:colOff>
      <xdr:row>22</xdr:row>
      <xdr:rowOff>209550</xdr:rowOff>
    </xdr:to>
    <xdr:sp macro="" textlink="">
      <xdr:nvSpPr>
        <xdr:cNvPr id="1096944" name="Option Button 50" hidden="1"/>
        <xdr:cNvSpPr>
          <a:spLocks noChangeArrowheads="1"/>
        </xdr:cNvSpPr>
      </xdr:nvSpPr>
      <xdr:spPr bwMode="auto">
        <a:xfrm>
          <a:off x="5534025" y="5600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23</xdr:row>
      <xdr:rowOff>19050</xdr:rowOff>
    </xdr:from>
    <xdr:to>
      <xdr:col>20</xdr:col>
      <xdr:colOff>0</xdr:colOff>
      <xdr:row>23</xdr:row>
      <xdr:rowOff>209550</xdr:rowOff>
    </xdr:to>
    <xdr:sp macro="" textlink="">
      <xdr:nvSpPr>
        <xdr:cNvPr id="1096945" name="Option Button 51" hidden="1"/>
        <xdr:cNvSpPr>
          <a:spLocks noChangeArrowheads="1"/>
        </xdr:cNvSpPr>
      </xdr:nvSpPr>
      <xdr:spPr bwMode="auto">
        <a:xfrm>
          <a:off x="5534025" y="5981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24</xdr:row>
      <xdr:rowOff>19050</xdr:rowOff>
    </xdr:from>
    <xdr:to>
      <xdr:col>20</xdr:col>
      <xdr:colOff>0</xdr:colOff>
      <xdr:row>24</xdr:row>
      <xdr:rowOff>209550</xdr:rowOff>
    </xdr:to>
    <xdr:sp macro="" textlink="">
      <xdr:nvSpPr>
        <xdr:cNvPr id="1096946" name="Option Button 52" hidden="1"/>
        <xdr:cNvSpPr>
          <a:spLocks noChangeArrowheads="1"/>
        </xdr:cNvSpPr>
      </xdr:nvSpPr>
      <xdr:spPr bwMode="auto">
        <a:xfrm>
          <a:off x="5534025" y="6267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25</xdr:row>
      <xdr:rowOff>19050</xdr:rowOff>
    </xdr:from>
    <xdr:to>
      <xdr:col>20</xdr:col>
      <xdr:colOff>0</xdr:colOff>
      <xdr:row>25</xdr:row>
      <xdr:rowOff>209550</xdr:rowOff>
    </xdr:to>
    <xdr:sp macro="" textlink="">
      <xdr:nvSpPr>
        <xdr:cNvPr id="1096947" name="Option Button 53" hidden="1"/>
        <xdr:cNvSpPr>
          <a:spLocks noChangeArrowheads="1"/>
        </xdr:cNvSpPr>
      </xdr:nvSpPr>
      <xdr:spPr bwMode="auto">
        <a:xfrm>
          <a:off x="5534025" y="65532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26</xdr:row>
      <xdr:rowOff>19050</xdr:rowOff>
    </xdr:from>
    <xdr:to>
      <xdr:col>20</xdr:col>
      <xdr:colOff>0</xdr:colOff>
      <xdr:row>26</xdr:row>
      <xdr:rowOff>228600</xdr:rowOff>
    </xdr:to>
    <xdr:sp macro="" textlink="">
      <xdr:nvSpPr>
        <xdr:cNvPr id="1096948" name="Option Button 55" hidden="1"/>
        <xdr:cNvSpPr>
          <a:spLocks noChangeArrowheads="1"/>
        </xdr:cNvSpPr>
      </xdr:nvSpPr>
      <xdr:spPr bwMode="auto">
        <a:xfrm>
          <a:off x="5534025" y="6838950"/>
          <a:ext cx="2381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949" name="AutoShape 310" hidden="1"/>
        <xdr:cNvSpPr>
          <a:spLocks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950" name="AutoShape 311" hidden="1"/>
        <xdr:cNvSpPr>
          <a:spLocks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951" name="AutoShape 312" hidden="1"/>
        <xdr:cNvSpPr>
          <a:spLocks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952" name="AutoShape 313" hidden="1"/>
        <xdr:cNvSpPr>
          <a:spLocks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78</xdr:row>
      <xdr:rowOff>800100</xdr:rowOff>
    </xdr:from>
    <xdr:to>
      <xdr:col>21</xdr:col>
      <xdr:colOff>0</xdr:colOff>
      <xdr:row>78</xdr:row>
      <xdr:rowOff>990600</xdr:rowOff>
    </xdr:to>
    <xdr:sp macro="" textlink="">
      <xdr:nvSpPr>
        <xdr:cNvPr id="1096953" name="Option Button 186" hidden="1"/>
        <xdr:cNvSpPr>
          <a:spLocks noChangeArrowheads="1"/>
        </xdr:cNvSpPr>
      </xdr:nvSpPr>
      <xdr:spPr bwMode="auto">
        <a:xfrm>
          <a:off x="5791200" y="34356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105</xdr:row>
      <xdr:rowOff>200025</xdr:rowOff>
    </xdr:from>
    <xdr:to>
      <xdr:col>21</xdr:col>
      <xdr:colOff>0</xdr:colOff>
      <xdr:row>106</xdr:row>
      <xdr:rowOff>0</xdr:rowOff>
    </xdr:to>
    <xdr:sp macro="" textlink="">
      <xdr:nvSpPr>
        <xdr:cNvPr id="1096954" name="Option Button 222" hidden="1"/>
        <xdr:cNvSpPr>
          <a:spLocks noChangeArrowheads="1"/>
        </xdr:cNvSpPr>
      </xdr:nvSpPr>
      <xdr:spPr bwMode="auto">
        <a:xfrm>
          <a:off x="5791200" y="56969025"/>
          <a:ext cx="2381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14</xdr:row>
      <xdr:rowOff>9525</xdr:rowOff>
    </xdr:from>
    <xdr:to>
      <xdr:col>24</xdr:col>
      <xdr:colOff>0</xdr:colOff>
      <xdr:row>14</xdr:row>
      <xdr:rowOff>219075</xdr:rowOff>
    </xdr:to>
    <xdr:sp macro="" textlink="">
      <xdr:nvSpPr>
        <xdr:cNvPr id="1096955" name="Group Box 27" hidden="1"/>
        <xdr:cNvSpPr>
          <a:spLocks noChangeAspect="1" noChangeArrowheads="1"/>
        </xdr:cNvSpPr>
      </xdr:nvSpPr>
      <xdr:spPr bwMode="auto">
        <a:xfrm>
          <a:off x="5514975" y="3305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15</xdr:row>
      <xdr:rowOff>9525</xdr:rowOff>
    </xdr:from>
    <xdr:to>
      <xdr:col>24</xdr:col>
      <xdr:colOff>0</xdr:colOff>
      <xdr:row>15</xdr:row>
      <xdr:rowOff>219075</xdr:rowOff>
    </xdr:to>
    <xdr:sp macro="" textlink="">
      <xdr:nvSpPr>
        <xdr:cNvPr id="1096956" name="Group Box 28" hidden="1"/>
        <xdr:cNvSpPr>
          <a:spLocks noChangeAspect="1" noChangeArrowheads="1"/>
        </xdr:cNvSpPr>
      </xdr:nvSpPr>
      <xdr:spPr bwMode="auto">
        <a:xfrm>
          <a:off x="5514975" y="3590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17</xdr:row>
      <xdr:rowOff>9525</xdr:rowOff>
    </xdr:from>
    <xdr:to>
      <xdr:col>24</xdr:col>
      <xdr:colOff>0</xdr:colOff>
      <xdr:row>17</xdr:row>
      <xdr:rowOff>219075</xdr:rowOff>
    </xdr:to>
    <xdr:sp macro="" textlink="">
      <xdr:nvSpPr>
        <xdr:cNvPr id="1096957" name="Group Box 30" hidden="1"/>
        <xdr:cNvSpPr>
          <a:spLocks noChangeAspect="1" noChangeArrowheads="1"/>
        </xdr:cNvSpPr>
      </xdr:nvSpPr>
      <xdr:spPr bwMode="auto">
        <a:xfrm>
          <a:off x="5514975" y="41624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22</xdr:row>
      <xdr:rowOff>9525</xdr:rowOff>
    </xdr:from>
    <xdr:to>
      <xdr:col>24</xdr:col>
      <xdr:colOff>0</xdr:colOff>
      <xdr:row>22</xdr:row>
      <xdr:rowOff>219075</xdr:rowOff>
    </xdr:to>
    <xdr:sp macro="" textlink="">
      <xdr:nvSpPr>
        <xdr:cNvPr id="1096958" name="Group Box 35" hidden="1"/>
        <xdr:cNvSpPr>
          <a:spLocks noChangeAspect="1" noChangeArrowheads="1"/>
        </xdr:cNvSpPr>
      </xdr:nvSpPr>
      <xdr:spPr bwMode="auto">
        <a:xfrm>
          <a:off x="5514975" y="55911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xdr:row>
      <xdr:rowOff>9525</xdr:rowOff>
    </xdr:from>
    <xdr:to>
      <xdr:col>24</xdr:col>
      <xdr:colOff>0</xdr:colOff>
      <xdr:row>24</xdr:row>
      <xdr:rowOff>219075</xdr:rowOff>
    </xdr:to>
    <xdr:sp macro="" textlink="">
      <xdr:nvSpPr>
        <xdr:cNvPr id="1096959" name="Group Box 37" hidden="1"/>
        <xdr:cNvSpPr>
          <a:spLocks noChangeAspect="1" noChangeArrowheads="1"/>
        </xdr:cNvSpPr>
      </xdr:nvSpPr>
      <xdr:spPr bwMode="auto">
        <a:xfrm>
          <a:off x="5514975" y="62579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9525</xdr:rowOff>
    </xdr:from>
    <xdr:to>
      <xdr:col>24</xdr:col>
      <xdr:colOff>0</xdr:colOff>
      <xdr:row>25</xdr:row>
      <xdr:rowOff>219075</xdr:rowOff>
    </xdr:to>
    <xdr:sp macro="" textlink="">
      <xdr:nvSpPr>
        <xdr:cNvPr id="1096960" name="Group Box 38" hidden="1"/>
        <xdr:cNvSpPr>
          <a:spLocks noChangeAspect="1" noChangeArrowheads="1"/>
        </xdr:cNvSpPr>
      </xdr:nvSpPr>
      <xdr:spPr bwMode="auto">
        <a:xfrm>
          <a:off x="5514975" y="654367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xdr:row>
      <xdr:rowOff>9525</xdr:rowOff>
    </xdr:from>
    <xdr:to>
      <xdr:col>24</xdr:col>
      <xdr:colOff>0</xdr:colOff>
      <xdr:row>26</xdr:row>
      <xdr:rowOff>238125</xdr:rowOff>
    </xdr:to>
    <xdr:sp macro="" textlink="">
      <xdr:nvSpPr>
        <xdr:cNvPr id="1096961" name="Group Box 39" hidden="1"/>
        <xdr:cNvSpPr>
          <a:spLocks noChangeAspect="1" noChangeArrowheads="1"/>
        </xdr:cNvSpPr>
      </xdr:nvSpPr>
      <xdr:spPr bwMode="auto">
        <a:xfrm>
          <a:off x="5514975" y="6829425"/>
          <a:ext cx="12858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35</xdr:row>
      <xdr:rowOff>0</xdr:rowOff>
    </xdr:from>
    <xdr:to>
      <xdr:col>24</xdr:col>
      <xdr:colOff>0</xdr:colOff>
      <xdr:row>35</xdr:row>
      <xdr:rowOff>504825</xdr:rowOff>
    </xdr:to>
    <xdr:sp macro="" textlink="">
      <xdr:nvSpPr>
        <xdr:cNvPr id="1096962" name="Group Box 118" hidden="1"/>
        <xdr:cNvSpPr>
          <a:spLocks noChangeAspect="1" noChangeArrowheads="1"/>
        </xdr:cNvSpPr>
      </xdr:nvSpPr>
      <xdr:spPr bwMode="auto">
        <a:xfrm>
          <a:off x="5514975" y="11087100"/>
          <a:ext cx="1285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45</xdr:row>
      <xdr:rowOff>9525</xdr:rowOff>
    </xdr:from>
    <xdr:to>
      <xdr:col>25</xdr:col>
      <xdr:colOff>0</xdr:colOff>
      <xdr:row>46</xdr:row>
      <xdr:rowOff>0</xdr:rowOff>
    </xdr:to>
    <xdr:sp macro="" textlink="">
      <xdr:nvSpPr>
        <xdr:cNvPr id="1096963" name="Group Box 145" hidden="1"/>
        <xdr:cNvSpPr>
          <a:spLocks noChangeAspect="1" noChangeArrowheads="1"/>
        </xdr:cNvSpPr>
      </xdr:nvSpPr>
      <xdr:spPr bwMode="auto">
        <a:xfrm>
          <a:off x="5772150" y="15125700"/>
          <a:ext cx="12858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46</xdr:row>
      <xdr:rowOff>9525</xdr:rowOff>
    </xdr:from>
    <xdr:to>
      <xdr:col>25</xdr:col>
      <xdr:colOff>0</xdr:colOff>
      <xdr:row>46</xdr:row>
      <xdr:rowOff>1057275</xdr:rowOff>
    </xdr:to>
    <xdr:sp macro="" textlink="">
      <xdr:nvSpPr>
        <xdr:cNvPr id="1096964" name="Group Box 146" hidden="1"/>
        <xdr:cNvSpPr>
          <a:spLocks noChangeAspect="1" noChangeArrowheads="1"/>
        </xdr:cNvSpPr>
      </xdr:nvSpPr>
      <xdr:spPr bwMode="auto">
        <a:xfrm>
          <a:off x="5772150" y="161925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47</xdr:row>
      <xdr:rowOff>9525</xdr:rowOff>
    </xdr:from>
    <xdr:to>
      <xdr:col>25</xdr:col>
      <xdr:colOff>0</xdr:colOff>
      <xdr:row>47</xdr:row>
      <xdr:rowOff>1057275</xdr:rowOff>
    </xdr:to>
    <xdr:sp macro="" textlink="">
      <xdr:nvSpPr>
        <xdr:cNvPr id="1096965" name="Group Box 147" hidden="1"/>
        <xdr:cNvSpPr>
          <a:spLocks noChangeAspect="1" noChangeArrowheads="1"/>
        </xdr:cNvSpPr>
      </xdr:nvSpPr>
      <xdr:spPr bwMode="auto">
        <a:xfrm>
          <a:off x="5772150" y="17259300"/>
          <a:ext cx="12858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57</xdr:row>
      <xdr:rowOff>9525</xdr:rowOff>
    </xdr:from>
    <xdr:to>
      <xdr:col>25</xdr:col>
      <xdr:colOff>0</xdr:colOff>
      <xdr:row>58</xdr:row>
      <xdr:rowOff>0</xdr:rowOff>
    </xdr:to>
    <xdr:sp macro="" textlink="">
      <xdr:nvSpPr>
        <xdr:cNvPr id="1096966" name="Group Box 164" hidden="1"/>
        <xdr:cNvSpPr>
          <a:spLocks noChangeAspect="1" noChangeArrowheads="1"/>
        </xdr:cNvSpPr>
      </xdr:nvSpPr>
      <xdr:spPr bwMode="auto">
        <a:xfrm>
          <a:off x="5772150" y="2313622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58</xdr:row>
      <xdr:rowOff>9525</xdr:rowOff>
    </xdr:from>
    <xdr:to>
      <xdr:col>25</xdr:col>
      <xdr:colOff>0</xdr:colOff>
      <xdr:row>59</xdr:row>
      <xdr:rowOff>0</xdr:rowOff>
    </xdr:to>
    <xdr:sp macro="" textlink="">
      <xdr:nvSpPr>
        <xdr:cNvPr id="1096967" name="Group Box 165" hidden="1"/>
        <xdr:cNvSpPr>
          <a:spLocks noChangeAspect="1" noChangeArrowheads="1"/>
        </xdr:cNvSpPr>
      </xdr:nvSpPr>
      <xdr:spPr bwMode="auto">
        <a:xfrm>
          <a:off x="5772150" y="24945975"/>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78</xdr:row>
      <xdr:rowOff>9525</xdr:rowOff>
    </xdr:from>
    <xdr:to>
      <xdr:col>25</xdr:col>
      <xdr:colOff>0</xdr:colOff>
      <xdr:row>78</xdr:row>
      <xdr:rowOff>1809750</xdr:rowOff>
    </xdr:to>
    <xdr:sp macro="" textlink="">
      <xdr:nvSpPr>
        <xdr:cNvPr id="1096968" name="Group Box 183" hidden="1"/>
        <xdr:cNvSpPr>
          <a:spLocks noChangeAspect="1" noChangeArrowheads="1"/>
        </xdr:cNvSpPr>
      </xdr:nvSpPr>
      <xdr:spPr bwMode="auto">
        <a:xfrm>
          <a:off x="5772150" y="335661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79</xdr:row>
      <xdr:rowOff>9525</xdr:rowOff>
    </xdr:from>
    <xdr:to>
      <xdr:col>25</xdr:col>
      <xdr:colOff>0</xdr:colOff>
      <xdr:row>79</xdr:row>
      <xdr:rowOff>1809750</xdr:rowOff>
    </xdr:to>
    <xdr:sp macro="" textlink="">
      <xdr:nvSpPr>
        <xdr:cNvPr id="1096969" name="Group Box 184" hidden="1"/>
        <xdr:cNvSpPr>
          <a:spLocks noChangeAspect="1" noChangeArrowheads="1"/>
        </xdr:cNvSpPr>
      </xdr:nvSpPr>
      <xdr:spPr bwMode="auto">
        <a:xfrm>
          <a:off x="5772150" y="35585400"/>
          <a:ext cx="12858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108</xdr:row>
      <xdr:rowOff>9525</xdr:rowOff>
    </xdr:from>
    <xdr:to>
      <xdr:col>25</xdr:col>
      <xdr:colOff>0</xdr:colOff>
      <xdr:row>110</xdr:row>
      <xdr:rowOff>0</xdr:rowOff>
    </xdr:to>
    <xdr:sp macro="" textlink="">
      <xdr:nvSpPr>
        <xdr:cNvPr id="1096970" name="Group Box 220" hidden="1"/>
        <xdr:cNvSpPr>
          <a:spLocks noChangeAspect="1" noChangeArrowheads="1"/>
        </xdr:cNvSpPr>
      </xdr:nvSpPr>
      <xdr:spPr bwMode="auto">
        <a:xfrm>
          <a:off x="5772150" y="592264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110</xdr:row>
      <xdr:rowOff>9525</xdr:rowOff>
    </xdr:from>
    <xdr:to>
      <xdr:col>25</xdr:col>
      <xdr:colOff>0</xdr:colOff>
      <xdr:row>112</xdr:row>
      <xdr:rowOff>0</xdr:rowOff>
    </xdr:to>
    <xdr:sp macro="" textlink="">
      <xdr:nvSpPr>
        <xdr:cNvPr id="1096971" name="Group Box 221" hidden="1"/>
        <xdr:cNvSpPr>
          <a:spLocks noChangeAspect="1" noChangeArrowheads="1"/>
        </xdr:cNvSpPr>
      </xdr:nvSpPr>
      <xdr:spPr bwMode="auto">
        <a:xfrm>
          <a:off x="5772150" y="60636150"/>
          <a:ext cx="12858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122</xdr:row>
      <xdr:rowOff>9525</xdr:rowOff>
    </xdr:from>
    <xdr:to>
      <xdr:col>25</xdr:col>
      <xdr:colOff>0</xdr:colOff>
      <xdr:row>122</xdr:row>
      <xdr:rowOff>1428750</xdr:rowOff>
    </xdr:to>
    <xdr:sp macro="" textlink="">
      <xdr:nvSpPr>
        <xdr:cNvPr id="1096972" name="Group Box 245" hidden="1"/>
        <xdr:cNvSpPr>
          <a:spLocks noChangeAspect="1" noChangeArrowheads="1"/>
        </xdr:cNvSpPr>
      </xdr:nvSpPr>
      <xdr:spPr bwMode="auto">
        <a:xfrm>
          <a:off x="5772150" y="69199125"/>
          <a:ext cx="128587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973" name="Option Button 121" hidden="1"/>
        <xdr:cNvSpPr>
          <a:spLocks noChangeAspect="1"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974" name="Option Button 122" hidden="1"/>
        <xdr:cNvSpPr>
          <a:spLocks noChangeAspect="1"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975" name="Option Button 123" hidden="1"/>
        <xdr:cNvSpPr>
          <a:spLocks noChangeAspect="1"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976" name="Option Button 124" hidden="1"/>
        <xdr:cNvSpPr>
          <a:spLocks noChangeAspect="1"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45</xdr:row>
      <xdr:rowOff>438150</xdr:rowOff>
    </xdr:from>
    <xdr:to>
      <xdr:col>21</xdr:col>
      <xdr:colOff>0</xdr:colOff>
      <xdr:row>46</xdr:row>
      <xdr:rowOff>0</xdr:rowOff>
    </xdr:to>
    <xdr:sp macro="" textlink="">
      <xdr:nvSpPr>
        <xdr:cNvPr id="1096977" name="Option Button 148" hidden="1"/>
        <xdr:cNvSpPr>
          <a:spLocks noChangeAspect="1" noChangeArrowheads="1"/>
        </xdr:cNvSpPr>
      </xdr:nvSpPr>
      <xdr:spPr bwMode="auto">
        <a:xfrm>
          <a:off x="5791200" y="15554325"/>
          <a:ext cx="238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46</xdr:row>
      <xdr:rowOff>438150</xdr:rowOff>
    </xdr:from>
    <xdr:to>
      <xdr:col>21</xdr:col>
      <xdr:colOff>0</xdr:colOff>
      <xdr:row>46</xdr:row>
      <xdr:rowOff>628650</xdr:rowOff>
    </xdr:to>
    <xdr:sp macro="" textlink="">
      <xdr:nvSpPr>
        <xdr:cNvPr id="1096978" name="Option Button 149" hidden="1"/>
        <xdr:cNvSpPr>
          <a:spLocks noChangeAspect="1" noChangeArrowheads="1"/>
        </xdr:cNvSpPr>
      </xdr:nvSpPr>
      <xdr:spPr bwMode="auto">
        <a:xfrm>
          <a:off x="5791200" y="16621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47</xdr:row>
      <xdr:rowOff>438150</xdr:rowOff>
    </xdr:from>
    <xdr:to>
      <xdr:col>21</xdr:col>
      <xdr:colOff>0</xdr:colOff>
      <xdr:row>47</xdr:row>
      <xdr:rowOff>628650</xdr:rowOff>
    </xdr:to>
    <xdr:sp macro="" textlink="">
      <xdr:nvSpPr>
        <xdr:cNvPr id="1096979" name="Option Button 150" hidden="1"/>
        <xdr:cNvSpPr>
          <a:spLocks noChangeAspect="1" noChangeArrowheads="1"/>
        </xdr:cNvSpPr>
      </xdr:nvSpPr>
      <xdr:spPr bwMode="auto">
        <a:xfrm>
          <a:off x="5791200" y="17687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56</xdr:row>
      <xdr:rowOff>800100</xdr:rowOff>
    </xdr:from>
    <xdr:to>
      <xdr:col>21</xdr:col>
      <xdr:colOff>0</xdr:colOff>
      <xdr:row>57</xdr:row>
      <xdr:rowOff>0</xdr:rowOff>
    </xdr:to>
    <xdr:sp macro="" textlink="">
      <xdr:nvSpPr>
        <xdr:cNvPr id="1096980" name="Option Button 167" hidden="1"/>
        <xdr:cNvSpPr>
          <a:spLocks noChangeAspect="1" noChangeArrowheads="1"/>
        </xdr:cNvSpPr>
      </xdr:nvSpPr>
      <xdr:spPr bwMode="auto">
        <a:xfrm>
          <a:off x="5791200" y="22117050"/>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57</xdr:row>
      <xdr:rowOff>800100</xdr:rowOff>
    </xdr:from>
    <xdr:to>
      <xdr:col>21</xdr:col>
      <xdr:colOff>0</xdr:colOff>
      <xdr:row>57</xdr:row>
      <xdr:rowOff>990600</xdr:rowOff>
    </xdr:to>
    <xdr:sp macro="" textlink="">
      <xdr:nvSpPr>
        <xdr:cNvPr id="1096981" name="Option Button 168" hidden="1"/>
        <xdr:cNvSpPr>
          <a:spLocks noChangeAspect="1" noChangeArrowheads="1"/>
        </xdr:cNvSpPr>
      </xdr:nvSpPr>
      <xdr:spPr bwMode="auto">
        <a:xfrm>
          <a:off x="5791200" y="239268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58</xdr:row>
      <xdr:rowOff>800100</xdr:rowOff>
    </xdr:from>
    <xdr:to>
      <xdr:col>21</xdr:col>
      <xdr:colOff>0</xdr:colOff>
      <xdr:row>58</xdr:row>
      <xdr:rowOff>990600</xdr:rowOff>
    </xdr:to>
    <xdr:sp macro="" textlink="">
      <xdr:nvSpPr>
        <xdr:cNvPr id="1096982" name="Option Button 169" hidden="1"/>
        <xdr:cNvSpPr>
          <a:spLocks noChangeAspect="1" noChangeArrowheads="1"/>
        </xdr:cNvSpPr>
      </xdr:nvSpPr>
      <xdr:spPr bwMode="auto">
        <a:xfrm>
          <a:off x="5791200" y="25736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77</xdr:row>
      <xdr:rowOff>800100</xdr:rowOff>
    </xdr:from>
    <xdr:to>
      <xdr:col>21</xdr:col>
      <xdr:colOff>0</xdr:colOff>
      <xdr:row>77</xdr:row>
      <xdr:rowOff>1809750</xdr:rowOff>
    </xdr:to>
    <xdr:sp macro="" textlink="">
      <xdr:nvSpPr>
        <xdr:cNvPr id="1096983" name="Option Button 185" hidden="1"/>
        <xdr:cNvSpPr>
          <a:spLocks noChangeAspect="1" noChangeArrowheads="1"/>
        </xdr:cNvSpPr>
      </xdr:nvSpPr>
      <xdr:spPr bwMode="auto">
        <a:xfrm>
          <a:off x="5791200" y="32337375"/>
          <a:ext cx="238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79</xdr:row>
      <xdr:rowOff>800100</xdr:rowOff>
    </xdr:from>
    <xdr:to>
      <xdr:col>21</xdr:col>
      <xdr:colOff>0</xdr:colOff>
      <xdr:row>79</xdr:row>
      <xdr:rowOff>990600</xdr:rowOff>
    </xdr:to>
    <xdr:sp macro="" textlink="">
      <xdr:nvSpPr>
        <xdr:cNvPr id="1096984" name="Option Button 187" hidden="1"/>
        <xdr:cNvSpPr>
          <a:spLocks noChangeAspect="1" noChangeArrowheads="1"/>
        </xdr:cNvSpPr>
      </xdr:nvSpPr>
      <xdr:spPr bwMode="auto">
        <a:xfrm>
          <a:off x="5791200" y="36375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13</xdr:row>
      <xdr:rowOff>19050</xdr:rowOff>
    </xdr:from>
    <xdr:to>
      <xdr:col>20</xdr:col>
      <xdr:colOff>0</xdr:colOff>
      <xdr:row>13</xdr:row>
      <xdr:rowOff>209550</xdr:rowOff>
    </xdr:to>
    <xdr:sp macro="" textlink="">
      <xdr:nvSpPr>
        <xdr:cNvPr id="1096985" name="Option Button 41" hidden="1"/>
        <xdr:cNvSpPr>
          <a:spLocks noChangeAspect="1" noChangeArrowheads="1"/>
        </xdr:cNvSpPr>
      </xdr:nvSpPr>
      <xdr:spPr bwMode="auto">
        <a:xfrm>
          <a:off x="5534025" y="30289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14</xdr:row>
      <xdr:rowOff>19050</xdr:rowOff>
    </xdr:from>
    <xdr:to>
      <xdr:col>20</xdr:col>
      <xdr:colOff>0</xdr:colOff>
      <xdr:row>14</xdr:row>
      <xdr:rowOff>209550</xdr:rowOff>
    </xdr:to>
    <xdr:sp macro="" textlink="">
      <xdr:nvSpPr>
        <xdr:cNvPr id="1096986" name="Option Button 42" hidden="1"/>
        <xdr:cNvSpPr>
          <a:spLocks noChangeAspect="1" noChangeArrowheads="1"/>
        </xdr:cNvSpPr>
      </xdr:nvSpPr>
      <xdr:spPr bwMode="auto">
        <a:xfrm>
          <a:off x="5534025" y="3314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18</xdr:row>
      <xdr:rowOff>19050</xdr:rowOff>
    </xdr:from>
    <xdr:to>
      <xdr:col>20</xdr:col>
      <xdr:colOff>0</xdr:colOff>
      <xdr:row>18</xdr:row>
      <xdr:rowOff>209550</xdr:rowOff>
    </xdr:to>
    <xdr:sp macro="" textlink="">
      <xdr:nvSpPr>
        <xdr:cNvPr id="1096987" name="Option Button 46" hidden="1"/>
        <xdr:cNvSpPr>
          <a:spLocks noChangeAspect="1" noChangeArrowheads="1"/>
        </xdr:cNvSpPr>
      </xdr:nvSpPr>
      <xdr:spPr bwMode="auto">
        <a:xfrm>
          <a:off x="5534025" y="4457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20</xdr:row>
      <xdr:rowOff>19050</xdr:rowOff>
    </xdr:from>
    <xdr:to>
      <xdr:col>20</xdr:col>
      <xdr:colOff>0</xdr:colOff>
      <xdr:row>20</xdr:row>
      <xdr:rowOff>209550</xdr:rowOff>
    </xdr:to>
    <xdr:sp macro="" textlink="">
      <xdr:nvSpPr>
        <xdr:cNvPr id="1096988" name="Option Button 48" hidden="1"/>
        <xdr:cNvSpPr>
          <a:spLocks noChangeAspect="1" noChangeArrowheads="1"/>
        </xdr:cNvSpPr>
      </xdr:nvSpPr>
      <xdr:spPr bwMode="auto">
        <a:xfrm>
          <a:off x="5534025" y="50292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21</xdr:row>
      <xdr:rowOff>19050</xdr:rowOff>
    </xdr:from>
    <xdr:to>
      <xdr:col>20</xdr:col>
      <xdr:colOff>0</xdr:colOff>
      <xdr:row>21</xdr:row>
      <xdr:rowOff>209550</xdr:rowOff>
    </xdr:to>
    <xdr:sp macro="" textlink="">
      <xdr:nvSpPr>
        <xdr:cNvPr id="1096989" name="Option Button 49" hidden="1"/>
        <xdr:cNvSpPr>
          <a:spLocks noChangeAspect="1" noChangeArrowheads="1"/>
        </xdr:cNvSpPr>
      </xdr:nvSpPr>
      <xdr:spPr bwMode="auto">
        <a:xfrm>
          <a:off x="5534025" y="53149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22</xdr:row>
      <xdr:rowOff>19050</xdr:rowOff>
    </xdr:from>
    <xdr:to>
      <xdr:col>20</xdr:col>
      <xdr:colOff>0</xdr:colOff>
      <xdr:row>22</xdr:row>
      <xdr:rowOff>209550</xdr:rowOff>
    </xdr:to>
    <xdr:sp macro="" textlink="">
      <xdr:nvSpPr>
        <xdr:cNvPr id="1096990" name="Option Button 50" hidden="1"/>
        <xdr:cNvSpPr>
          <a:spLocks noChangeAspect="1" noChangeArrowheads="1"/>
        </xdr:cNvSpPr>
      </xdr:nvSpPr>
      <xdr:spPr bwMode="auto">
        <a:xfrm>
          <a:off x="5534025" y="5600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23</xdr:row>
      <xdr:rowOff>19050</xdr:rowOff>
    </xdr:from>
    <xdr:to>
      <xdr:col>20</xdr:col>
      <xdr:colOff>0</xdr:colOff>
      <xdr:row>23</xdr:row>
      <xdr:rowOff>209550</xdr:rowOff>
    </xdr:to>
    <xdr:sp macro="" textlink="">
      <xdr:nvSpPr>
        <xdr:cNvPr id="1096991" name="Option Button 51" hidden="1"/>
        <xdr:cNvSpPr>
          <a:spLocks noChangeAspect="1" noChangeArrowheads="1"/>
        </xdr:cNvSpPr>
      </xdr:nvSpPr>
      <xdr:spPr bwMode="auto">
        <a:xfrm>
          <a:off x="5534025" y="5981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24</xdr:row>
      <xdr:rowOff>19050</xdr:rowOff>
    </xdr:from>
    <xdr:to>
      <xdr:col>20</xdr:col>
      <xdr:colOff>0</xdr:colOff>
      <xdr:row>24</xdr:row>
      <xdr:rowOff>209550</xdr:rowOff>
    </xdr:to>
    <xdr:sp macro="" textlink="">
      <xdr:nvSpPr>
        <xdr:cNvPr id="1096992" name="Option Button 52" hidden="1"/>
        <xdr:cNvSpPr>
          <a:spLocks noChangeAspect="1" noChangeArrowheads="1"/>
        </xdr:cNvSpPr>
      </xdr:nvSpPr>
      <xdr:spPr bwMode="auto">
        <a:xfrm>
          <a:off x="5534025" y="6267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25</xdr:row>
      <xdr:rowOff>19050</xdr:rowOff>
    </xdr:from>
    <xdr:to>
      <xdr:col>20</xdr:col>
      <xdr:colOff>0</xdr:colOff>
      <xdr:row>25</xdr:row>
      <xdr:rowOff>209550</xdr:rowOff>
    </xdr:to>
    <xdr:sp macro="" textlink="">
      <xdr:nvSpPr>
        <xdr:cNvPr id="1096993" name="Option Button 53" hidden="1"/>
        <xdr:cNvSpPr>
          <a:spLocks noChangeAspect="1" noChangeArrowheads="1"/>
        </xdr:cNvSpPr>
      </xdr:nvSpPr>
      <xdr:spPr bwMode="auto">
        <a:xfrm>
          <a:off x="5534025" y="65532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26</xdr:row>
      <xdr:rowOff>19050</xdr:rowOff>
    </xdr:from>
    <xdr:to>
      <xdr:col>20</xdr:col>
      <xdr:colOff>0</xdr:colOff>
      <xdr:row>26</xdr:row>
      <xdr:rowOff>228600</xdr:rowOff>
    </xdr:to>
    <xdr:sp macro="" textlink="">
      <xdr:nvSpPr>
        <xdr:cNvPr id="1096994" name="Option Button 55" hidden="1"/>
        <xdr:cNvSpPr>
          <a:spLocks noChangeAspect="1" noChangeArrowheads="1"/>
        </xdr:cNvSpPr>
      </xdr:nvSpPr>
      <xdr:spPr bwMode="auto">
        <a:xfrm>
          <a:off x="5534025" y="6838950"/>
          <a:ext cx="2381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34</xdr:row>
      <xdr:rowOff>171450</xdr:rowOff>
    </xdr:from>
    <xdr:to>
      <xdr:col>20</xdr:col>
      <xdr:colOff>0</xdr:colOff>
      <xdr:row>35</xdr:row>
      <xdr:rowOff>0</xdr:rowOff>
    </xdr:to>
    <xdr:sp macro="" textlink="">
      <xdr:nvSpPr>
        <xdr:cNvPr id="1096995" name="AutoShape 310" hidden="1"/>
        <xdr:cNvSpPr>
          <a:spLocks noChangeAspect="1" noChangeArrowheads="1"/>
        </xdr:cNvSpPr>
      </xdr:nvSpPr>
      <xdr:spPr bwMode="auto">
        <a:xfrm>
          <a:off x="5534025" y="10744200"/>
          <a:ext cx="2381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35</xdr:row>
      <xdr:rowOff>133350</xdr:rowOff>
    </xdr:from>
    <xdr:to>
      <xdr:col>20</xdr:col>
      <xdr:colOff>0</xdr:colOff>
      <xdr:row>35</xdr:row>
      <xdr:rowOff>323850</xdr:rowOff>
    </xdr:to>
    <xdr:sp macro="" textlink="">
      <xdr:nvSpPr>
        <xdr:cNvPr id="1096996" name="AutoShape 311" hidden="1"/>
        <xdr:cNvSpPr>
          <a:spLocks noChangeAspect="1" noChangeArrowheads="1"/>
        </xdr:cNvSpPr>
      </xdr:nvSpPr>
      <xdr:spPr bwMode="auto">
        <a:xfrm>
          <a:off x="5534025" y="11220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36</xdr:row>
      <xdr:rowOff>171450</xdr:rowOff>
    </xdr:from>
    <xdr:to>
      <xdr:col>20</xdr:col>
      <xdr:colOff>0</xdr:colOff>
      <xdr:row>36</xdr:row>
      <xdr:rowOff>361950</xdr:rowOff>
    </xdr:to>
    <xdr:sp macro="" textlink="">
      <xdr:nvSpPr>
        <xdr:cNvPr id="1096997" name="AutoShape 312" hidden="1"/>
        <xdr:cNvSpPr>
          <a:spLocks noChangeAspect="1" noChangeArrowheads="1"/>
        </xdr:cNvSpPr>
      </xdr:nvSpPr>
      <xdr:spPr bwMode="auto">
        <a:xfrm>
          <a:off x="5534025" y="117729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19050</xdr:colOff>
      <xdr:row>37</xdr:row>
      <xdr:rowOff>142875</xdr:rowOff>
    </xdr:from>
    <xdr:to>
      <xdr:col>20</xdr:col>
      <xdr:colOff>0</xdr:colOff>
      <xdr:row>37</xdr:row>
      <xdr:rowOff>333375</xdr:rowOff>
    </xdr:to>
    <xdr:sp macro="" textlink="">
      <xdr:nvSpPr>
        <xdr:cNvPr id="1096998" name="AutoShape 313" hidden="1"/>
        <xdr:cNvSpPr>
          <a:spLocks noChangeAspect="1" noChangeArrowheads="1"/>
        </xdr:cNvSpPr>
      </xdr:nvSpPr>
      <xdr:spPr bwMode="auto">
        <a:xfrm>
          <a:off x="5534025" y="12258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78</xdr:row>
      <xdr:rowOff>800100</xdr:rowOff>
    </xdr:from>
    <xdr:to>
      <xdr:col>21</xdr:col>
      <xdr:colOff>0</xdr:colOff>
      <xdr:row>78</xdr:row>
      <xdr:rowOff>990600</xdr:rowOff>
    </xdr:to>
    <xdr:sp macro="" textlink="">
      <xdr:nvSpPr>
        <xdr:cNvPr id="1096999" name="Option Button 186" hidden="1"/>
        <xdr:cNvSpPr>
          <a:spLocks noChangeAspect="1" noChangeArrowheads="1"/>
        </xdr:cNvSpPr>
      </xdr:nvSpPr>
      <xdr:spPr bwMode="auto">
        <a:xfrm>
          <a:off x="5791200" y="343566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19050</xdr:colOff>
      <xdr:row>105</xdr:row>
      <xdr:rowOff>200025</xdr:rowOff>
    </xdr:from>
    <xdr:to>
      <xdr:col>21</xdr:col>
      <xdr:colOff>0</xdr:colOff>
      <xdr:row>106</xdr:row>
      <xdr:rowOff>0</xdr:rowOff>
    </xdr:to>
    <xdr:sp macro="" textlink="">
      <xdr:nvSpPr>
        <xdr:cNvPr id="1097000" name="Option Button 222" hidden="1"/>
        <xdr:cNvSpPr>
          <a:spLocks noChangeAspect="1" noChangeArrowheads="1"/>
        </xdr:cNvSpPr>
      </xdr:nvSpPr>
      <xdr:spPr bwMode="auto">
        <a:xfrm>
          <a:off x="5791200" y="56969025"/>
          <a:ext cx="2381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19</xdr:col>
          <xdr:colOff>0</xdr:colOff>
          <xdr:row>34</xdr:row>
          <xdr:rowOff>0</xdr:rowOff>
        </xdr:from>
        <xdr:to>
          <xdr:col>24</xdr:col>
          <xdr:colOff>0</xdr:colOff>
          <xdr:row>35</xdr:row>
          <xdr:rowOff>0</xdr:rowOff>
        </xdr:to>
        <xdr:sp macro="" textlink="">
          <xdr:nvSpPr>
            <xdr:cNvPr id="2161" name="Group Box 113" hidden="1">
              <a:extLst>
                <a:ext uri="{63B3BB69-23CF-44E3-9099-C40C66FF867C}">
                  <a14:compatExt spid="_x0000_s2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36</xdr:row>
          <xdr:rowOff>0</xdr:rowOff>
        </xdr:from>
        <xdr:to>
          <xdr:col>24</xdr:col>
          <xdr:colOff>0</xdr:colOff>
          <xdr:row>36</xdr:row>
          <xdr:rowOff>504825</xdr:rowOff>
        </xdr:to>
        <xdr:sp macro="" textlink="">
          <xdr:nvSpPr>
            <xdr:cNvPr id="2167" name="Group Box 119" hidden="1">
              <a:extLst>
                <a:ext uri="{63B3BB69-23CF-44E3-9099-C40C66FF867C}">
                  <a14:compatExt spid="_x0000_s2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37</xdr:row>
          <xdr:rowOff>0</xdr:rowOff>
        </xdr:from>
        <xdr:to>
          <xdr:col>24</xdr:col>
          <xdr:colOff>0</xdr:colOff>
          <xdr:row>37</xdr:row>
          <xdr:rowOff>504825</xdr:rowOff>
        </xdr:to>
        <xdr:sp macro="" textlink="">
          <xdr:nvSpPr>
            <xdr:cNvPr id="2168" name="Group Box 120" hidden="1">
              <a:extLst>
                <a:ext uri="{63B3BB69-23CF-44E3-9099-C40C66FF867C}">
                  <a14:compatExt spid="_x0000_s2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34</xdr:row>
          <xdr:rowOff>171450</xdr:rowOff>
        </xdr:from>
        <xdr:to>
          <xdr:col>20</xdr:col>
          <xdr:colOff>0</xdr:colOff>
          <xdr:row>35</xdr:row>
          <xdr:rowOff>0</xdr:rowOff>
        </xdr:to>
        <xdr:sp macro="" textlink="">
          <xdr:nvSpPr>
            <xdr:cNvPr id="2173" name="Option Button 125" hidden="1">
              <a:extLst>
                <a:ext uri="{63B3BB69-23CF-44E3-9099-C40C66FF867C}">
                  <a14:compatExt spid="_x0000_s2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35</xdr:row>
          <xdr:rowOff>133350</xdr:rowOff>
        </xdr:from>
        <xdr:to>
          <xdr:col>20</xdr:col>
          <xdr:colOff>0</xdr:colOff>
          <xdr:row>35</xdr:row>
          <xdr:rowOff>323850</xdr:rowOff>
        </xdr:to>
        <xdr:sp macro="" textlink="">
          <xdr:nvSpPr>
            <xdr:cNvPr id="2174" name="Option Button 126" hidden="1">
              <a:extLst>
                <a:ext uri="{63B3BB69-23CF-44E3-9099-C40C66FF867C}">
                  <a14:compatExt spid="_x0000_s2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36</xdr:row>
          <xdr:rowOff>171450</xdr:rowOff>
        </xdr:from>
        <xdr:to>
          <xdr:col>20</xdr:col>
          <xdr:colOff>0</xdr:colOff>
          <xdr:row>36</xdr:row>
          <xdr:rowOff>371475</xdr:rowOff>
        </xdr:to>
        <xdr:sp macro="" textlink="">
          <xdr:nvSpPr>
            <xdr:cNvPr id="2175" name="Option Button 127" hidden="1">
              <a:extLst>
                <a:ext uri="{63B3BB69-23CF-44E3-9099-C40C66FF867C}">
                  <a14:compatExt spid="_x0000_s2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37</xdr:row>
          <xdr:rowOff>142875</xdr:rowOff>
        </xdr:from>
        <xdr:to>
          <xdr:col>20</xdr:col>
          <xdr:colOff>0</xdr:colOff>
          <xdr:row>37</xdr:row>
          <xdr:rowOff>342900</xdr:rowOff>
        </xdr:to>
        <xdr:sp macro="" textlink="">
          <xdr:nvSpPr>
            <xdr:cNvPr id="2176" name="Option Button 128" hidden="1">
              <a:extLst>
                <a:ext uri="{63B3BB69-23CF-44E3-9099-C40C66FF867C}">
                  <a14:compatExt spid="_x0000_s2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34</xdr:row>
          <xdr:rowOff>171450</xdr:rowOff>
        </xdr:from>
        <xdr:to>
          <xdr:col>21</xdr:col>
          <xdr:colOff>0</xdr:colOff>
          <xdr:row>35</xdr:row>
          <xdr:rowOff>0</xdr:rowOff>
        </xdr:to>
        <xdr:sp macro="" textlink="">
          <xdr:nvSpPr>
            <xdr:cNvPr id="2177" name="Option Button 129" hidden="1">
              <a:extLst>
                <a:ext uri="{63B3BB69-23CF-44E3-9099-C40C66FF867C}">
                  <a14:compatExt spid="_x0000_s2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35</xdr:row>
          <xdr:rowOff>133350</xdr:rowOff>
        </xdr:from>
        <xdr:to>
          <xdr:col>21</xdr:col>
          <xdr:colOff>0</xdr:colOff>
          <xdr:row>35</xdr:row>
          <xdr:rowOff>323850</xdr:rowOff>
        </xdr:to>
        <xdr:sp macro="" textlink="">
          <xdr:nvSpPr>
            <xdr:cNvPr id="2178" name="Option Button 130" hidden="1">
              <a:extLst>
                <a:ext uri="{63B3BB69-23CF-44E3-9099-C40C66FF867C}">
                  <a14:compatExt spid="_x0000_s2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36</xdr:row>
          <xdr:rowOff>171450</xdr:rowOff>
        </xdr:from>
        <xdr:to>
          <xdr:col>21</xdr:col>
          <xdr:colOff>0</xdr:colOff>
          <xdr:row>36</xdr:row>
          <xdr:rowOff>371475</xdr:rowOff>
        </xdr:to>
        <xdr:sp macro="" textlink="">
          <xdr:nvSpPr>
            <xdr:cNvPr id="2179" name="Option Button 131" hidden="1">
              <a:extLst>
                <a:ext uri="{63B3BB69-23CF-44E3-9099-C40C66FF867C}">
                  <a14:compatExt spid="_x0000_s2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37</xdr:row>
          <xdr:rowOff>142875</xdr:rowOff>
        </xdr:from>
        <xdr:to>
          <xdr:col>21</xdr:col>
          <xdr:colOff>0</xdr:colOff>
          <xdr:row>37</xdr:row>
          <xdr:rowOff>342900</xdr:rowOff>
        </xdr:to>
        <xdr:sp macro="" textlink="">
          <xdr:nvSpPr>
            <xdr:cNvPr id="2180" name="Option Button 132" hidden="1">
              <a:extLst>
                <a:ext uri="{63B3BB69-23CF-44E3-9099-C40C66FF867C}">
                  <a14:compatExt spid="_x0000_s2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34</xdr:row>
          <xdr:rowOff>171450</xdr:rowOff>
        </xdr:from>
        <xdr:to>
          <xdr:col>22</xdr:col>
          <xdr:colOff>0</xdr:colOff>
          <xdr:row>35</xdr:row>
          <xdr:rowOff>0</xdr:rowOff>
        </xdr:to>
        <xdr:sp macro="" textlink="">
          <xdr:nvSpPr>
            <xdr:cNvPr id="2181" name="Option Button 133" hidden="1">
              <a:extLst>
                <a:ext uri="{63B3BB69-23CF-44E3-9099-C40C66FF867C}">
                  <a14:compatExt spid="_x0000_s2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35</xdr:row>
          <xdr:rowOff>133350</xdr:rowOff>
        </xdr:from>
        <xdr:to>
          <xdr:col>22</xdr:col>
          <xdr:colOff>0</xdr:colOff>
          <xdr:row>35</xdr:row>
          <xdr:rowOff>323850</xdr:rowOff>
        </xdr:to>
        <xdr:sp macro="" textlink="">
          <xdr:nvSpPr>
            <xdr:cNvPr id="2182" name="Option Button 134" hidden="1">
              <a:extLst>
                <a:ext uri="{63B3BB69-23CF-44E3-9099-C40C66FF867C}">
                  <a14:compatExt spid="_x0000_s2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36</xdr:row>
          <xdr:rowOff>171450</xdr:rowOff>
        </xdr:from>
        <xdr:to>
          <xdr:col>22</xdr:col>
          <xdr:colOff>0</xdr:colOff>
          <xdr:row>36</xdr:row>
          <xdr:rowOff>371475</xdr:rowOff>
        </xdr:to>
        <xdr:sp macro="" textlink="">
          <xdr:nvSpPr>
            <xdr:cNvPr id="2183" name="Option Button 135" hidden="1">
              <a:extLst>
                <a:ext uri="{63B3BB69-23CF-44E3-9099-C40C66FF867C}">
                  <a14:compatExt spid="_x0000_s2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37</xdr:row>
          <xdr:rowOff>142875</xdr:rowOff>
        </xdr:from>
        <xdr:to>
          <xdr:col>22</xdr:col>
          <xdr:colOff>0</xdr:colOff>
          <xdr:row>37</xdr:row>
          <xdr:rowOff>342900</xdr:rowOff>
        </xdr:to>
        <xdr:sp macro="" textlink="">
          <xdr:nvSpPr>
            <xdr:cNvPr id="2184" name="Option Button 136" hidden="1">
              <a:extLst>
                <a:ext uri="{63B3BB69-23CF-44E3-9099-C40C66FF867C}">
                  <a14:compatExt spid="_x0000_s2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34</xdr:row>
          <xdr:rowOff>171450</xdr:rowOff>
        </xdr:from>
        <xdr:to>
          <xdr:col>23</xdr:col>
          <xdr:colOff>0</xdr:colOff>
          <xdr:row>35</xdr:row>
          <xdr:rowOff>0</xdr:rowOff>
        </xdr:to>
        <xdr:sp macro="" textlink="">
          <xdr:nvSpPr>
            <xdr:cNvPr id="2185" name="Option Button 137" hidden="1">
              <a:extLst>
                <a:ext uri="{63B3BB69-23CF-44E3-9099-C40C66FF867C}">
                  <a14:compatExt spid="_x0000_s2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35</xdr:row>
          <xdr:rowOff>133350</xdr:rowOff>
        </xdr:from>
        <xdr:to>
          <xdr:col>23</xdr:col>
          <xdr:colOff>0</xdr:colOff>
          <xdr:row>35</xdr:row>
          <xdr:rowOff>323850</xdr:rowOff>
        </xdr:to>
        <xdr:sp macro="" textlink="">
          <xdr:nvSpPr>
            <xdr:cNvPr id="2186" name="Option Button 138" hidden="1">
              <a:extLst>
                <a:ext uri="{63B3BB69-23CF-44E3-9099-C40C66FF867C}">
                  <a14:compatExt spid="_x0000_s2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36</xdr:row>
          <xdr:rowOff>171450</xdr:rowOff>
        </xdr:from>
        <xdr:to>
          <xdr:col>23</xdr:col>
          <xdr:colOff>0</xdr:colOff>
          <xdr:row>36</xdr:row>
          <xdr:rowOff>371475</xdr:rowOff>
        </xdr:to>
        <xdr:sp macro="" textlink="">
          <xdr:nvSpPr>
            <xdr:cNvPr id="2187" name="Option Button 139" hidden="1">
              <a:extLst>
                <a:ext uri="{63B3BB69-23CF-44E3-9099-C40C66FF867C}">
                  <a14:compatExt spid="_x0000_s2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37</xdr:row>
          <xdr:rowOff>142875</xdr:rowOff>
        </xdr:from>
        <xdr:to>
          <xdr:col>23</xdr:col>
          <xdr:colOff>0</xdr:colOff>
          <xdr:row>37</xdr:row>
          <xdr:rowOff>342900</xdr:rowOff>
        </xdr:to>
        <xdr:sp macro="" textlink="">
          <xdr:nvSpPr>
            <xdr:cNvPr id="2188" name="Option Button 140" hidden="1">
              <a:extLst>
                <a:ext uri="{63B3BB69-23CF-44E3-9099-C40C66FF867C}">
                  <a14:compatExt spid="_x0000_s2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45</xdr:row>
          <xdr:rowOff>438150</xdr:rowOff>
        </xdr:from>
        <xdr:to>
          <xdr:col>20</xdr:col>
          <xdr:colOff>247650</xdr:colOff>
          <xdr:row>46</xdr:row>
          <xdr:rowOff>0</xdr:rowOff>
        </xdr:to>
        <xdr:sp macro="" textlink="">
          <xdr:nvSpPr>
            <xdr:cNvPr id="2199" name="Option Button 151" hidden="1">
              <a:extLst>
                <a:ext uri="{63B3BB69-23CF-44E3-9099-C40C66FF867C}">
                  <a14:compatExt spid="_x0000_s2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46</xdr:row>
          <xdr:rowOff>438150</xdr:rowOff>
        </xdr:from>
        <xdr:to>
          <xdr:col>20</xdr:col>
          <xdr:colOff>247650</xdr:colOff>
          <xdr:row>46</xdr:row>
          <xdr:rowOff>628650</xdr:rowOff>
        </xdr:to>
        <xdr:sp macro="" textlink="">
          <xdr:nvSpPr>
            <xdr:cNvPr id="2200" name="Option Button 152" hidden="1">
              <a:extLst>
                <a:ext uri="{63B3BB69-23CF-44E3-9099-C40C66FF867C}">
                  <a14:compatExt spid="_x0000_s2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47</xdr:row>
          <xdr:rowOff>438150</xdr:rowOff>
        </xdr:from>
        <xdr:to>
          <xdr:col>20</xdr:col>
          <xdr:colOff>247650</xdr:colOff>
          <xdr:row>47</xdr:row>
          <xdr:rowOff>628650</xdr:rowOff>
        </xdr:to>
        <xdr:sp macro="" textlink="">
          <xdr:nvSpPr>
            <xdr:cNvPr id="2201" name="Option Button 153" hidden="1">
              <a:extLst>
                <a:ext uri="{63B3BB69-23CF-44E3-9099-C40C66FF867C}">
                  <a14:compatExt spid="_x0000_s2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45</xdr:row>
          <xdr:rowOff>438150</xdr:rowOff>
        </xdr:from>
        <xdr:to>
          <xdr:col>21</xdr:col>
          <xdr:colOff>247650</xdr:colOff>
          <xdr:row>46</xdr:row>
          <xdr:rowOff>0</xdr:rowOff>
        </xdr:to>
        <xdr:sp macro="" textlink="">
          <xdr:nvSpPr>
            <xdr:cNvPr id="2202" name="Option Button 154" hidden="1">
              <a:extLst>
                <a:ext uri="{63B3BB69-23CF-44E3-9099-C40C66FF867C}">
                  <a14:compatExt spid="_x0000_s2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46</xdr:row>
          <xdr:rowOff>438150</xdr:rowOff>
        </xdr:from>
        <xdr:to>
          <xdr:col>21</xdr:col>
          <xdr:colOff>247650</xdr:colOff>
          <xdr:row>46</xdr:row>
          <xdr:rowOff>628650</xdr:rowOff>
        </xdr:to>
        <xdr:sp macro="" textlink="">
          <xdr:nvSpPr>
            <xdr:cNvPr id="2203" name="Option Button 155" hidden="1">
              <a:extLst>
                <a:ext uri="{63B3BB69-23CF-44E3-9099-C40C66FF867C}">
                  <a14:compatExt spid="_x0000_s2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47</xdr:row>
          <xdr:rowOff>438150</xdr:rowOff>
        </xdr:from>
        <xdr:to>
          <xdr:col>21</xdr:col>
          <xdr:colOff>247650</xdr:colOff>
          <xdr:row>47</xdr:row>
          <xdr:rowOff>628650</xdr:rowOff>
        </xdr:to>
        <xdr:sp macro="" textlink="">
          <xdr:nvSpPr>
            <xdr:cNvPr id="2204" name="Option Button 156" hidden="1">
              <a:extLst>
                <a:ext uri="{63B3BB69-23CF-44E3-9099-C40C66FF867C}">
                  <a14:compatExt spid="_x0000_s2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45</xdr:row>
          <xdr:rowOff>438150</xdr:rowOff>
        </xdr:from>
        <xdr:to>
          <xdr:col>22</xdr:col>
          <xdr:colOff>247650</xdr:colOff>
          <xdr:row>46</xdr:row>
          <xdr:rowOff>0</xdr:rowOff>
        </xdr:to>
        <xdr:sp macro="" textlink="">
          <xdr:nvSpPr>
            <xdr:cNvPr id="2205" name="Option Button 157" hidden="1">
              <a:extLst>
                <a:ext uri="{63B3BB69-23CF-44E3-9099-C40C66FF867C}">
                  <a14:compatExt spid="_x0000_s2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46</xdr:row>
          <xdr:rowOff>438150</xdr:rowOff>
        </xdr:from>
        <xdr:to>
          <xdr:col>22</xdr:col>
          <xdr:colOff>247650</xdr:colOff>
          <xdr:row>46</xdr:row>
          <xdr:rowOff>628650</xdr:rowOff>
        </xdr:to>
        <xdr:sp macro="" textlink="">
          <xdr:nvSpPr>
            <xdr:cNvPr id="2206" name="Option Button 158" hidden="1">
              <a:extLst>
                <a:ext uri="{63B3BB69-23CF-44E3-9099-C40C66FF867C}">
                  <a14:compatExt spid="_x0000_s2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47</xdr:row>
          <xdr:rowOff>438150</xdr:rowOff>
        </xdr:from>
        <xdr:to>
          <xdr:col>22</xdr:col>
          <xdr:colOff>247650</xdr:colOff>
          <xdr:row>47</xdr:row>
          <xdr:rowOff>628650</xdr:rowOff>
        </xdr:to>
        <xdr:sp macro="" textlink="">
          <xdr:nvSpPr>
            <xdr:cNvPr id="2207" name="Option Button 159" hidden="1">
              <a:extLst>
                <a:ext uri="{63B3BB69-23CF-44E3-9099-C40C66FF867C}">
                  <a14:compatExt spid="_x0000_s2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45</xdr:row>
          <xdr:rowOff>438150</xdr:rowOff>
        </xdr:from>
        <xdr:to>
          <xdr:col>23</xdr:col>
          <xdr:colOff>247650</xdr:colOff>
          <xdr:row>46</xdr:row>
          <xdr:rowOff>0</xdr:rowOff>
        </xdr:to>
        <xdr:sp macro="" textlink="">
          <xdr:nvSpPr>
            <xdr:cNvPr id="2208" name="Option Button 160" hidden="1">
              <a:extLst>
                <a:ext uri="{63B3BB69-23CF-44E3-9099-C40C66FF867C}">
                  <a14:compatExt spid="_x0000_s2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46</xdr:row>
          <xdr:rowOff>438150</xdr:rowOff>
        </xdr:from>
        <xdr:to>
          <xdr:col>23</xdr:col>
          <xdr:colOff>247650</xdr:colOff>
          <xdr:row>46</xdr:row>
          <xdr:rowOff>628650</xdr:rowOff>
        </xdr:to>
        <xdr:sp macro="" textlink="">
          <xdr:nvSpPr>
            <xdr:cNvPr id="2209" name="Option Button 161" hidden="1">
              <a:extLst>
                <a:ext uri="{63B3BB69-23CF-44E3-9099-C40C66FF867C}">
                  <a14:compatExt spid="_x0000_s2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47</xdr:row>
          <xdr:rowOff>438150</xdr:rowOff>
        </xdr:from>
        <xdr:to>
          <xdr:col>23</xdr:col>
          <xdr:colOff>247650</xdr:colOff>
          <xdr:row>47</xdr:row>
          <xdr:rowOff>628650</xdr:rowOff>
        </xdr:to>
        <xdr:sp macro="" textlink="">
          <xdr:nvSpPr>
            <xdr:cNvPr id="2210" name="Option Button 162" hidden="1">
              <a:extLst>
                <a:ext uri="{63B3BB69-23CF-44E3-9099-C40C66FF867C}">
                  <a14:compatExt spid="_x0000_s2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90</xdr:row>
          <xdr:rowOff>9525</xdr:rowOff>
        </xdr:from>
        <xdr:to>
          <xdr:col>25</xdr:col>
          <xdr:colOff>0</xdr:colOff>
          <xdr:row>91</xdr:row>
          <xdr:rowOff>0</xdr:rowOff>
        </xdr:to>
        <xdr:sp macro="" textlink="">
          <xdr:nvSpPr>
            <xdr:cNvPr id="2248" name="Group Box 200" hidden="1">
              <a:extLst>
                <a:ext uri="{63B3BB69-23CF-44E3-9099-C40C66FF867C}">
                  <a14:compatExt spid="_x0000_s2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91</xdr:row>
          <xdr:rowOff>9525</xdr:rowOff>
        </xdr:from>
        <xdr:to>
          <xdr:col>25</xdr:col>
          <xdr:colOff>0</xdr:colOff>
          <xdr:row>92</xdr:row>
          <xdr:rowOff>0</xdr:rowOff>
        </xdr:to>
        <xdr:sp macro="" textlink="">
          <xdr:nvSpPr>
            <xdr:cNvPr id="2249" name="Group Box 201" hidden="1">
              <a:extLst>
                <a:ext uri="{63B3BB69-23CF-44E3-9099-C40C66FF867C}">
                  <a14:compatExt spid="_x0000_s2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92</xdr:row>
          <xdr:rowOff>9525</xdr:rowOff>
        </xdr:from>
        <xdr:to>
          <xdr:col>25</xdr:col>
          <xdr:colOff>0</xdr:colOff>
          <xdr:row>93</xdr:row>
          <xdr:rowOff>0</xdr:rowOff>
        </xdr:to>
        <xdr:sp macro="" textlink="">
          <xdr:nvSpPr>
            <xdr:cNvPr id="2250" name="Group Box 202" hidden="1">
              <a:extLst>
                <a:ext uri="{63B3BB69-23CF-44E3-9099-C40C66FF867C}">
                  <a14:compatExt spid="_x0000_s2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90</xdr:row>
          <xdr:rowOff>1076325</xdr:rowOff>
        </xdr:from>
        <xdr:to>
          <xdr:col>21</xdr:col>
          <xdr:colOff>0</xdr:colOff>
          <xdr:row>90</xdr:row>
          <xdr:rowOff>2533650</xdr:rowOff>
        </xdr:to>
        <xdr:sp macro="" textlink="">
          <xdr:nvSpPr>
            <xdr:cNvPr id="2251" name="Option Button 203" hidden="1">
              <a:extLst>
                <a:ext uri="{63B3BB69-23CF-44E3-9099-C40C66FF867C}">
                  <a14:compatExt spid="_x0000_s2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91</xdr:row>
          <xdr:rowOff>1076325</xdr:rowOff>
        </xdr:from>
        <xdr:to>
          <xdr:col>21</xdr:col>
          <xdr:colOff>0</xdr:colOff>
          <xdr:row>91</xdr:row>
          <xdr:rowOff>1266825</xdr:rowOff>
        </xdr:to>
        <xdr:sp macro="" textlink="">
          <xdr:nvSpPr>
            <xdr:cNvPr id="2252" name="Option Button 204" hidden="1">
              <a:extLst>
                <a:ext uri="{63B3BB69-23CF-44E3-9099-C40C66FF867C}">
                  <a14:compatExt spid="_x0000_s2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92</xdr:row>
          <xdr:rowOff>1076325</xdr:rowOff>
        </xdr:from>
        <xdr:to>
          <xdr:col>21</xdr:col>
          <xdr:colOff>0</xdr:colOff>
          <xdr:row>92</xdr:row>
          <xdr:rowOff>1266825</xdr:rowOff>
        </xdr:to>
        <xdr:sp macro="" textlink="">
          <xdr:nvSpPr>
            <xdr:cNvPr id="2253" name="Option Button 205" hidden="1">
              <a:extLst>
                <a:ext uri="{63B3BB69-23CF-44E3-9099-C40C66FF867C}">
                  <a14:compatExt spid="_x0000_s2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90</xdr:row>
          <xdr:rowOff>1076325</xdr:rowOff>
        </xdr:from>
        <xdr:to>
          <xdr:col>22</xdr:col>
          <xdr:colOff>0</xdr:colOff>
          <xdr:row>90</xdr:row>
          <xdr:rowOff>2533650</xdr:rowOff>
        </xdr:to>
        <xdr:sp macro="" textlink="">
          <xdr:nvSpPr>
            <xdr:cNvPr id="2254" name="Option Button 206" hidden="1">
              <a:extLst>
                <a:ext uri="{63B3BB69-23CF-44E3-9099-C40C66FF867C}">
                  <a14:compatExt spid="_x0000_s2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91</xdr:row>
          <xdr:rowOff>1076325</xdr:rowOff>
        </xdr:from>
        <xdr:to>
          <xdr:col>22</xdr:col>
          <xdr:colOff>0</xdr:colOff>
          <xdr:row>91</xdr:row>
          <xdr:rowOff>1266825</xdr:rowOff>
        </xdr:to>
        <xdr:sp macro="" textlink="">
          <xdr:nvSpPr>
            <xdr:cNvPr id="2255" name="Option Button 207" hidden="1">
              <a:extLst>
                <a:ext uri="{63B3BB69-23CF-44E3-9099-C40C66FF867C}">
                  <a14:compatExt spid="_x0000_s2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92</xdr:row>
          <xdr:rowOff>1076325</xdr:rowOff>
        </xdr:from>
        <xdr:to>
          <xdr:col>22</xdr:col>
          <xdr:colOff>0</xdr:colOff>
          <xdr:row>92</xdr:row>
          <xdr:rowOff>1266825</xdr:rowOff>
        </xdr:to>
        <xdr:sp macro="" textlink="">
          <xdr:nvSpPr>
            <xdr:cNvPr id="2256" name="Option Button 208" hidden="1">
              <a:extLst>
                <a:ext uri="{63B3BB69-23CF-44E3-9099-C40C66FF867C}">
                  <a14:compatExt spid="_x0000_s2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90</xdr:row>
          <xdr:rowOff>1076325</xdr:rowOff>
        </xdr:from>
        <xdr:to>
          <xdr:col>23</xdr:col>
          <xdr:colOff>0</xdr:colOff>
          <xdr:row>90</xdr:row>
          <xdr:rowOff>2533650</xdr:rowOff>
        </xdr:to>
        <xdr:sp macro="" textlink="">
          <xdr:nvSpPr>
            <xdr:cNvPr id="2257" name="Option Button 209" hidden="1">
              <a:extLst>
                <a:ext uri="{63B3BB69-23CF-44E3-9099-C40C66FF867C}">
                  <a14:compatExt spid="_x0000_s2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91</xdr:row>
          <xdr:rowOff>1076325</xdr:rowOff>
        </xdr:from>
        <xdr:to>
          <xdr:col>23</xdr:col>
          <xdr:colOff>0</xdr:colOff>
          <xdr:row>91</xdr:row>
          <xdr:rowOff>1266825</xdr:rowOff>
        </xdr:to>
        <xdr:sp macro="" textlink="">
          <xdr:nvSpPr>
            <xdr:cNvPr id="2258" name="Option Button 210" hidden="1">
              <a:extLst>
                <a:ext uri="{63B3BB69-23CF-44E3-9099-C40C66FF867C}">
                  <a14:compatExt spid="_x0000_s2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92</xdr:row>
          <xdr:rowOff>1076325</xdr:rowOff>
        </xdr:from>
        <xdr:to>
          <xdr:col>23</xdr:col>
          <xdr:colOff>0</xdr:colOff>
          <xdr:row>92</xdr:row>
          <xdr:rowOff>1266825</xdr:rowOff>
        </xdr:to>
        <xdr:sp macro="" textlink="">
          <xdr:nvSpPr>
            <xdr:cNvPr id="2259" name="Option Button 211" hidden="1">
              <a:extLst>
                <a:ext uri="{63B3BB69-23CF-44E3-9099-C40C66FF867C}">
                  <a14:compatExt spid="_x0000_s2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90</xdr:row>
          <xdr:rowOff>1076325</xdr:rowOff>
        </xdr:from>
        <xdr:to>
          <xdr:col>24</xdr:col>
          <xdr:colOff>0</xdr:colOff>
          <xdr:row>90</xdr:row>
          <xdr:rowOff>2533650</xdr:rowOff>
        </xdr:to>
        <xdr:sp macro="" textlink="">
          <xdr:nvSpPr>
            <xdr:cNvPr id="2260" name="Option Button 212" hidden="1">
              <a:extLst>
                <a:ext uri="{63B3BB69-23CF-44E3-9099-C40C66FF867C}">
                  <a14:compatExt spid="_x0000_s2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91</xdr:row>
          <xdr:rowOff>1076325</xdr:rowOff>
        </xdr:from>
        <xdr:to>
          <xdr:col>24</xdr:col>
          <xdr:colOff>0</xdr:colOff>
          <xdr:row>91</xdr:row>
          <xdr:rowOff>1266825</xdr:rowOff>
        </xdr:to>
        <xdr:sp macro="" textlink="">
          <xdr:nvSpPr>
            <xdr:cNvPr id="2261" name="Option Button 213" hidden="1">
              <a:extLst>
                <a:ext uri="{63B3BB69-23CF-44E3-9099-C40C66FF867C}">
                  <a14:compatExt spid="_x0000_s2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92</xdr:row>
          <xdr:rowOff>1076325</xdr:rowOff>
        </xdr:from>
        <xdr:to>
          <xdr:col>24</xdr:col>
          <xdr:colOff>0</xdr:colOff>
          <xdr:row>92</xdr:row>
          <xdr:rowOff>1266825</xdr:rowOff>
        </xdr:to>
        <xdr:sp macro="" textlink="">
          <xdr:nvSpPr>
            <xdr:cNvPr id="2262" name="Option Button 214" hidden="1">
              <a:extLst>
                <a:ext uri="{63B3BB69-23CF-44E3-9099-C40C66FF867C}">
                  <a14:compatExt spid="_x0000_s2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90</xdr:row>
          <xdr:rowOff>1076325</xdr:rowOff>
        </xdr:from>
        <xdr:to>
          <xdr:col>25</xdr:col>
          <xdr:colOff>0</xdr:colOff>
          <xdr:row>90</xdr:row>
          <xdr:rowOff>2533650</xdr:rowOff>
        </xdr:to>
        <xdr:sp macro="" textlink="">
          <xdr:nvSpPr>
            <xdr:cNvPr id="2263" name="Option Button 215" hidden="1">
              <a:extLst>
                <a:ext uri="{63B3BB69-23CF-44E3-9099-C40C66FF867C}">
                  <a14:compatExt spid="_x0000_s2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91</xdr:row>
          <xdr:rowOff>1076325</xdr:rowOff>
        </xdr:from>
        <xdr:to>
          <xdr:col>25</xdr:col>
          <xdr:colOff>0</xdr:colOff>
          <xdr:row>91</xdr:row>
          <xdr:rowOff>1266825</xdr:rowOff>
        </xdr:to>
        <xdr:sp macro="" textlink="">
          <xdr:nvSpPr>
            <xdr:cNvPr id="2264" name="Option Button 216" hidden="1">
              <a:extLst>
                <a:ext uri="{63B3BB69-23CF-44E3-9099-C40C66FF867C}">
                  <a14:compatExt spid="_x0000_s2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92</xdr:row>
          <xdr:rowOff>1076325</xdr:rowOff>
        </xdr:from>
        <xdr:to>
          <xdr:col>25</xdr:col>
          <xdr:colOff>0</xdr:colOff>
          <xdr:row>92</xdr:row>
          <xdr:rowOff>1266825</xdr:rowOff>
        </xdr:to>
        <xdr:sp macro="" textlink="">
          <xdr:nvSpPr>
            <xdr:cNvPr id="2265" name="Option Button 217" hidden="1">
              <a:extLst>
                <a:ext uri="{63B3BB69-23CF-44E3-9099-C40C66FF867C}">
                  <a14:compatExt spid="_x0000_s2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104</xdr:row>
          <xdr:rowOff>9525</xdr:rowOff>
        </xdr:from>
        <xdr:to>
          <xdr:col>25</xdr:col>
          <xdr:colOff>0</xdr:colOff>
          <xdr:row>106</xdr:row>
          <xdr:rowOff>0</xdr:rowOff>
        </xdr:to>
        <xdr:sp macro="" textlink="">
          <xdr:nvSpPr>
            <xdr:cNvPr id="2266" name="Group Box 218" hidden="1">
              <a:extLst>
                <a:ext uri="{63B3BB69-23CF-44E3-9099-C40C66FF867C}">
                  <a14:compatExt spid="_x0000_s2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105</xdr:row>
          <xdr:rowOff>200025</xdr:rowOff>
        </xdr:from>
        <xdr:to>
          <xdr:col>21</xdr:col>
          <xdr:colOff>0</xdr:colOff>
          <xdr:row>106</xdr:row>
          <xdr:rowOff>0</xdr:rowOff>
        </xdr:to>
        <xdr:sp macro="" textlink="">
          <xdr:nvSpPr>
            <xdr:cNvPr id="2270" name="Option Button 223" hidden="1">
              <a:extLst>
                <a:ext uri="{63B3BB69-23CF-44E3-9099-C40C66FF867C}">
                  <a14:compatExt spid="_x0000_s2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108</xdr:row>
          <xdr:rowOff>342900</xdr:rowOff>
        </xdr:from>
        <xdr:to>
          <xdr:col>21</xdr:col>
          <xdr:colOff>0</xdr:colOff>
          <xdr:row>109</xdr:row>
          <xdr:rowOff>752475</xdr:rowOff>
        </xdr:to>
        <xdr:sp macro="" textlink="">
          <xdr:nvSpPr>
            <xdr:cNvPr id="2272" name="Option Button 224" hidden="1">
              <a:extLst>
                <a:ext uri="{63B3BB69-23CF-44E3-9099-C40C66FF867C}">
                  <a14:compatExt spid="_x0000_s2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110</xdr:row>
          <xdr:rowOff>352425</xdr:rowOff>
        </xdr:from>
        <xdr:to>
          <xdr:col>21</xdr:col>
          <xdr:colOff>0</xdr:colOff>
          <xdr:row>111</xdr:row>
          <xdr:rowOff>704850</xdr:rowOff>
        </xdr:to>
        <xdr:sp macro="" textlink="">
          <xdr:nvSpPr>
            <xdr:cNvPr id="2273" name="Option Button 225" hidden="1">
              <a:extLst>
                <a:ext uri="{63B3BB69-23CF-44E3-9099-C40C66FF867C}">
                  <a14:compatExt spid="_x0000_s2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105</xdr:row>
          <xdr:rowOff>200025</xdr:rowOff>
        </xdr:from>
        <xdr:to>
          <xdr:col>22</xdr:col>
          <xdr:colOff>0</xdr:colOff>
          <xdr:row>106</xdr:row>
          <xdr:rowOff>0</xdr:rowOff>
        </xdr:to>
        <xdr:sp macro="" textlink="">
          <xdr:nvSpPr>
            <xdr:cNvPr id="2274" name="Option Button 226" hidden="1">
              <a:extLst>
                <a:ext uri="{63B3BB69-23CF-44E3-9099-C40C66FF867C}">
                  <a14:compatExt spid="_x0000_s2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108</xdr:row>
          <xdr:rowOff>342900</xdr:rowOff>
        </xdr:from>
        <xdr:to>
          <xdr:col>22</xdr:col>
          <xdr:colOff>0</xdr:colOff>
          <xdr:row>109</xdr:row>
          <xdr:rowOff>752475</xdr:rowOff>
        </xdr:to>
        <xdr:sp macro="" textlink="">
          <xdr:nvSpPr>
            <xdr:cNvPr id="2276" name="Option Button 228" hidden="1">
              <a:extLst>
                <a:ext uri="{63B3BB69-23CF-44E3-9099-C40C66FF867C}">
                  <a14:compatExt spid="_x0000_s2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110</xdr:row>
          <xdr:rowOff>352425</xdr:rowOff>
        </xdr:from>
        <xdr:to>
          <xdr:col>22</xdr:col>
          <xdr:colOff>0</xdr:colOff>
          <xdr:row>111</xdr:row>
          <xdr:rowOff>704850</xdr:rowOff>
        </xdr:to>
        <xdr:sp macro="" textlink="">
          <xdr:nvSpPr>
            <xdr:cNvPr id="2277" name="Option Button 229" hidden="1">
              <a:extLst>
                <a:ext uri="{63B3BB69-23CF-44E3-9099-C40C66FF867C}">
                  <a14:compatExt spid="_x0000_s2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105</xdr:row>
          <xdr:rowOff>209550</xdr:rowOff>
        </xdr:from>
        <xdr:to>
          <xdr:col>23</xdr:col>
          <xdr:colOff>0</xdr:colOff>
          <xdr:row>106</xdr:row>
          <xdr:rowOff>0</xdr:rowOff>
        </xdr:to>
        <xdr:sp macro="" textlink="">
          <xdr:nvSpPr>
            <xdr:cNvPr id="2278" name="Option Button 230" hidden="1">
              <a:extLst>
                <a:ext uri="{63B3BB69-23CF-44E3-9099-C40C66FF867C}">
                  <a14:compatExt spid="_x0000_s2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108</xdr:row>
          <xdr:rowOff>352425</xdr:rowOff>
        </xdr:from>
        <xdr:to>
          <xdr:col>23</xdr:col>
          <xdr:colOff>0</xdr:colOff>
          <xdr:row>109</xdr:row>
          <xdr:rowOff>752475</xdr:rowOff>
        </xdr:to>
        <xdr:sp macro="" textlink="">
          <xdr:nvSpPr>
            <xdr:cNvPr id="2280" name="Option Button 232" hidden="1">
              <a:extLst>
                <a:ext uri="{63B3BB69-23CF-44E3-9099-C40C66FF867C}">
                  <a14:compatExt spid="_x0000_s2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110</xdr:row>
          <xdr:rowOff>361950</xdr:rowOff>
        </xdr:from>
        <xdr:to>
          <xdr:col>23</xdr:col>
          <xdr:colOff>0</xdr:colOff>
          <xdr:row>111</xdr:row>
          <xdr:rowOff>704850</xdr:rowOff>
        </xdr:to>
        <xdr:sp macro="" textlink="">
          <xdr:nvSpPr>
            <xdr:cNvPr id="2281" name="Option Button 233" hidden="1">
              <a:extLst>
                <a:ext uri="{63B3BB69-23CF-44E3-9099-C40C66FF867C}">
                  <a14:compatExt spid="_x0000_s2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105</xdr:row>
          <xdr:rowOff>209550</xdr:rowOff>
        </xdr:from>
        <xdr:to>
          <xdr:col>24</xdr:col>
          <xdr:colOff>0</xdr:colOff>
          <xdr:row>106</xdr:row>
          <xdr:rowOff>0</xdr:rowOff>
        </xdr:to>
        <xdr:sp macro="" textlink="">
          <xdr:nvSpPr>
            <xdr:cNvPr id="2282" name="Option Button 234" hidden="1">
              <a:extLst>
                <a:ext uri="{63B3BB69-23CF-44E3-9099-C40C66FF867C}">
                  <a14:compatExt spid="_x0000_s2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108</xdr:row>
          <xdr:rowOff>352425</xdr:rowOff>
        </xdr:from>
        <xdr:to>
          <xdr:col>24</xdr:col>
          <xdr:colOff>0</xdr:colOff>
          <xdr:row>109</xdr:row>
          <xdr:rowOff>752475</xdr:rowOff>
        </xdr:to>
        <xdr:sp macro="" textlink="">
          <xdr:nvSpPr>
            <xdr:cNvPr id="2284" name="Option Button 236" hidden="1">
              <a:extLst>
                <a:ext uri="{63B3BB69-23CF-44E3-9099-C40C66FF867C}">
                  <a14:compatExt spid="_x0000_s2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110</xdr:row>
          <xdr:rowOff>361950</xdr:rowOff>
        </xdr:from>
        <xdr:to>
          <xdr:col>24</xdr:col>
          <xdr:colOff>0</xdr:colOff>
          <xdr:row>111</xdr:row>
          <xdr:rowOff>704850</xdr:rowOff>
        </xdr:to>
        <xdr:sp macro="" textlink="">
          <xdr:nvSpPr>
            <xdr:cNvPr id="2285" name="Option Button 237" hidden="1">
              <a:extLst>
                <a:ext uri="{63B3BB69-23CF-44E3-9099-C40C66FF867C}">
                  <a14:compatExt spid="_x0000_s22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105</xdr:row>
          <xdr:rowOff>228600</xdr:rowOff>
        </xdr:from>
        <xdr:to>
          <xdr:col>25</xdr:col>
          <xdr:colOff>0</xdr:colOff>
          <xdr:row>106</xdr:row>
          <xdr:rowOff>0</xdr:rowOff>
        </xdr:to>
        <xdr:sp macro="" textlink="">
          <xdr:nvSpPr>
            <xdr:cNvPr id="2286" name="Option Button 238" hidden="1">
              <a:extLst>
                <a:ext uri="{63B3BB69-23CF-44E3-9099-C40C66FF867C}">
                  <a14:compatExt spid="_x0000_s2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109</xdr:row>
          <xdr:rowOff>0</xdr:rowOff>
        </xdr:from>
        <xdr:to>
          <xdr:col>25</xdr:col>
          <xdr:colOff>0</xdr:colOff>
          <xdr:row>109</xdr:row>
          <xdr:rowOff>752475</xdr:rowOff>
        </xdr:to>
        <xdr:sp macro="" textlink="">
          <xdr:nvSpPr>
            <xdr:cNvPr id="2288" name="Option Button 240" hidden="1">
              <a:extLst>
                <a:ext uri="{63B3BB69-23CF-44E3-9099-C40C66FF867C}">
                  <a14:compatExt spid="_x0000_s2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111</xdr:row>
          <xdr:rowOff>9525</xdr:rowOff>
        </xdr:from>
        <xdr:to>
          <xdr:col>25</xdr:col>
          <xdr:colOff>0</xdr:colOff>
          <xdr:row>111</xdr:row>
          <xdr:rowOff>704850</xdr:rowOff>
        </xdr:to>
        <xdr:sp macro="" textlink="">
          <xdr:nvSpPr>
            <xdr:cNvPr id="2289" name="Option Button 241" hidden="1">
              <a:extLst>
                <a:ext uri="{63B3BB69-23CF-44E3-9099-C40C66FF867C}">
                  <a14:compatExt spid="_x0000_s2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120</xdr:row>
          <xdr:rowOff>9525</xdr:rowOff>
        </xdr:from>
        <xdr:to>
          <xdr:col>25</xdr:col>
          <xdr:colOff>0</xdr:colOff>
          <xdr:row>121</xdr:row>
          <xdr:rowOff>9525</xdr:rowOff>
        </xdr:to>
        <xdr:sp macro="" textlink="">
          <xdr:nvSpPr>
            <xdr:cNvPr id="2290" name="Group Box 242" hidden="1">
              <a:extLst>
                <a:ext uri="{63B3BB69-23CF-44E3-9099-C40C66FF867C}">
                  <a14:compatExt spid="_x0000_s2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121</xdr:row>
          <xdr:rowOff>9525</xdr:rowOff>
        </xdr:from>
        <xdr:to>
          <xdr:col>25</xdr:col>
          <xdr:colOff>0</xdr:colOff>
          <xdr:row>122</xdr:row>
          <xdr:rowOff>9525</xdr:rowOff>
        </xdr:to>
        <xdr:sp macro="" textlink="">
          <xdr:nvSpPr>
            <xdr:cNvPr id="2292" name="Group Box 244" hidden="1">
              <a:extLst>
                <a:ext uri="{63B3BB69-23CF-44E3-9099-C40C66FF867C}">
                  <a14:compatExt spid="_x0000_s2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123</xdr:row>
          <xdr:rowOff>9525</xdr:rowOff>
        </xdr:from>
        <xdr:to>
          <xdr:col>25</xdr:col>
          <xdr:colOff>0</xdr:colOff>
          <xdr:row>124</xdr:row>
          <xdr:rowOff>0</xdr:rowOff>
        </xdr:to>
        <xdr:sp macro="" textlink="">
          <xdr:nvSpPr>
            <xdr:cNvPr id="2294" name="Group Box 246" hidden="1">
              <a:extLst>
                <a:ext uri="{63B3BB69-23CF-44E3-9099-C40C66FF867C}">
                  <a14:compatExt spid="_x0000_s2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120</xdr:row>
          <xdr:rowOff>638175</xdr:rowOff>
        </xdr:from>
        <xdr:to>
          <xdr:col>21</xdr:col>
          <xdr:colOff>0</xdr:colOff>
          <xdr:row>120</xdr:row>
          <xdr:rowOff>1428750</xdr:rowOff>
        </xdr:to>
        <xdr:sp macro="" textlink="">
          <xdr:nvSpPr>
            <xdr:cNvPr id="2295" name="Option Button 247" hidden="1">
              <a:extLst>
                <a:ext uri="{63B3BB69-23CF-44E3-9099-C40C66FF867C}">
                  <a14:compatExt spid="_x0000_s2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121</xdr:row>
          <xdr:rowOff>638175</xdr:rowOff>
        </xdr:from>
        <xdr:to>
          <xdr:col>21</xdr:col>
          <xdr:colOff>0</xdr:colOff>
          <xdr:row>121</xdr:row>
          <xdr:rowOff>800100</xdr:rowOff>
        </xdr:to>
        <xdr:sp macro="" textlink="">
          <xdr:nvSpPr>
            <xdr:cNvPr id="2296" name="Option Button 248" hidden="1">
              <a:extLst>
                <a:ext uri="{63B3BB69-23CF-44E3-9099-C40C66FF867C}">
                  <a14:compatExt spid="_x0000_s22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122</xdr:row>
          <xdr:rowOff>638175</xdr:rowOff>
        </xdr:from>
        <xdr:to>
          <xdr:col>21</xdr:col>
          <xdr:colOff>0</xdr:colOff>
          <xdr:row>122</xdr:row>
          <xdr:rowOff>800100</xdr:rowOff>
        </xdr:to>
        <xdr:sp macro="" textlink="">
          <xdr:nvSpPr>
            <xdr:cNvPr id="2297" name="Option Button 249" hidden="1">
              <a:extLst>
                <a:ext uri="{63B3BB69-23CF-44E3-9099-C40C66FF867C}">
                  <a14:compatExt spid="_x0000_s22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123</xdr:row>
          <xdr:rowOff>638175</xdr:rowOff>
        </xdr:from>
        <xdr:to>
          <xdr:col>21</xdr:col>
          <xdr:colOff>0</xdr:colOff>
          <xdr:row>123</xdr:row>
          <xdr:rowOff>800100</xdr:rowOff>
        </xdr:to>
        <xdr:sp macro="" textlink="">
          <xdr:nvSpPr>
            <xdr:cNvPr id="2298" name="Option Button 250" hidden="1">
              <a:extLst>
                <a:ext uri="{63B3BB69-23CF-44E3-9099-C40C66FF867C}">
                  <a14:compatExt spid="_x0000_s2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120</xdr:row>
          <xdr:rowOff>638175</xdr:rowOff>
        </xdr:from>
        <xdr:to>
          <xdr:col>22</xdr:col>
          <xdr:colOff>0</xdr:colOff>
          <xdr:row>120</xdr:row>
          <xdr:rowOff>1428750</xdr:rowOff>
        </xdr:to>
        <xdr:sp macro="" textlink="">
          <xdr:nvSpPr>
            <xdr:cNvPr id="2299" name="Option Button 251" hidden="1">
              <a:extLst>
                <a:ext uri="{63B3BB69-23CF-44E3-9099-C40C66FF867C}">
                  <a14:compatExt spid="_x0000_s22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121</xdr:row>
          <xdr:rowOff>638175</xdr:rowOff>
        </xdr:from>
        <xdr:to>
          <xdr:col>22</xdr:col>
          <xdr:colOff>0</xdr:colOff>
          <xdr:row>121</xdr:row>
          <xdr:rowOff>800100</xdr:rowOff>
        </xdr:to>
        <xdr:sp macro="" textlink="">
          <xdr:nvSpPr>
            <xdr:cNvPr id="2300" name="Option Button 252" hidden="1">
              <a:extLst>
                <a:ext uri="{63B3BB69-23CF-44E3-9099-C40C66FF867C}">
                  <a14:compatExt spid="_x0000_s2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122</xdr:row>
          <xdr:rowOff>638175</xdr:rowOff>
        </xdr:from>
        <xdr:to>
          <xdr:col>22</xdr:col>
          <xdr:colOff>0</xdr:colOff>
          <xdr:row>122</xdr:row>
          <xdr:rowOff>800100</xdr:rowOff>
        </xdr:to>
        <xdr:sp macro="" textlink="">
          <xdr:nvSpPr>
            <xdr:cNvPr id="2301" name="Option Button 253" hidden="1">
              <a:extLst>
                <a:ext uri="{63B3BB69-23CF-44E3-9099-C40C66FF867C}">
                  <a14:compatExt spid="_x0000_s23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123</xdr:row>
          <xdr:rowOff>638175</xdr:rowOff>
        </xdr:from>
        <xdr:to>
          <xdr:col>22</xdr:col>
          <xdr:colOff>0</xdr:colOff>
          <xdr:row>123</xdr:row>
          <xdr:rowOff>800100</xdr:rowOff>
        </xdr:to>
        <xdr:sp macro="" textlink="">
          <xdr:nvSpPr>
            <xdr:cNvPr id="2302" name="Option Button 254" hidden="1">
              <a:extLst>
                <a:ext uri="{63B3BB69-23CF-44E3-9099-C40C66FF867C}">
                  <a14:compatExt spid="_x0000_s23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120</xdr:row>
          <xdr:rowOff>638175</xdr:rowOff>
        </xdr:from>
        <xdr:to>
          <xdr:col>23</xdr:col>
          <xdr:colOff>0</xdr:colOff>
          <xdr:row>120</xdr:row>
          <xdr:rowOff>1428750</xdr:rowOff>
        </xdr:to>
        <xdr:sp macro="" textlink="">
          <xdr:nvSpPr>
            <xdr:cNvPr id="2303" name="Option Button 255" hidden="1">
              <a:extLst>
                <a:ext uri="{63B3BB69-23CF-44E3-9099-C40C66FF867C}">
                  <a14:compatExt spid="_x0000_s23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121</xdr:row>
          <xdr:rowOff>638175</xdr:rowOff>
        </xdr:from>
        <xdr:to>
          <xdr:col>23</xdr:col>
          <xdr:colOff>0</xdr:colOff>
          <xdr:row>121</xdr:row>
          <xdr:rowOff>800100</xdr:rowOff>
        </xdr:to>
        <xdr:sp macro="" textlink="">
          <xdr:nvSpPr>
            <xdr:cNvPr id="2304" name="Option Button 256" hidden="1">
              <a:extLst>
                <a:ext uri="{63B3BB69-23CF-44E3-9099-C40C66FF867C}">
                  <a14:compatExt spid="_x0000_s23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122</xdr:row>
          <xdr:rowOff>638175</xdr:rowOff>
        </xdr:from>
        <xdr:to>
          <xdr:col>23</xdr:col>
          <xdr:colOff>0</xdr:colOff>
          <xdr:row>122</xdr:row>
          <xdr:rowOff>800100</xdr:rowOff>
        </xdr:to>
        <xdr:sp macro="" textlink="">
          <xdr:nvSpPr>
            <xdr:cNvPr id="2305" name="Option Button 257" hidden="1">
              <a:extLst>
                <a:ext uri="{63B3BB69-23CF-44E3-9099-C40C66FF867C}">
                  <a14:compatExt spid="_x0000_s23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123</xdr:row>
          <xdr:rowOff>638175</xdr:rowOff>
        </xdr:from>
        <xdr:to>
          <xdr:col>23</xdr:col>
          <xdr:colOff>0</xdr:colOff>
          <xdr:row>123</xdr:row>
          <xdr:rowOff>800100</xdr:rowOff>
        </xdr:to>
        <xdr:sp macro="" textlink="">
          <xdr:nvSpPr>
            <xdr:cNvPr id="2306" name="Option Button 258" hidden="1">
              <a:extLst>
                <a:ext uri="{63B3BB69-23CF-44E3-9099-C40C66FF867C}">
                  <a14:compatExt spid="_x0000_s23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120</xdr:row>
          <xdr:rowOff>638175</xdr:rowOff>
        </xdr:from>
        <xdr:to>
          <xdr:col>24</xdr:col>
          <xdr:colOff>0</xdr:colOff>
          <xdr:row>120</xdr:row>
          <xdr:rowOff>1428750</xdr:rowOff>
        </xdr:to>
        <xdr:sp macro="" textlink="">
          <xdr:nvSpPr>
            <xdr:cNvPr id="2307" name="Option Button 259" hidden="1">
              <a:extLst>
                <a:ext uri="{63B3BB69-23CF-44E3-9099-C40C66FF867C}">
                  <a14:compatExt spid="_x0000_s23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121</xdr:row>
          <xdr:rowOff>638175</xdr:rowOff>
        </xdr:from>
        <xdr:to>
          <xdr:col>24</xdr:col>
          <xdr:colOff>0</xdr:colOff>
          <xdr:row>121</xdr:row>
          <xdr:rowOff>800100</xdr:rowOff>
        </xdr:to>
        <xdr:sp macro="" textlink="">
          <xdr:nvSpPr>
            <xdr:cNvPr id="2308" name="Option Button 260" hidden="1">
              <a:extLst>
                <a:ext uri="{63B3BB69-23CF-44E3-9099-C40C66FF867C}">
                  <a14:compatExt spid="_x0000_s23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122</xdr:row>
          <xdr:rowOff>638175</xdr:rowOff>
        </xdr:from>
        <xdr:to>
          <xdr:col>24</xdr:col>
          <xdr:colOff>0</xdr:colOff>
          <xdr:row>122</xdr:row>
          <xdr:rowOff>800100</xdr:rowOff>
        </xdr:to>
        <xdr:sp macro="" textlink="">
          <xdr:nvSpPr>
            <xdr:cNvPr id="2309" name="Option Button 261" hidden="1">
              <a:extLst>
                <a:ext uri="{63B3BB69-23CF-44E3-9099-C40C66FF867C}">
                  <a14:compatExt spid="_x0000_s23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123</xdr:row>
          <xdr:rowOff>638175</xdr:rowOff>
        </xdr:from>
        <xdr:to>
          <xdr:col>24</xdr:col>
          <xdr:colOff>0</xdr:colOff>
          <xdr:row>123</xdr:row>
          <xdr:rowOff>800100</xdr:rowOff>
        </xdr:to>
        <xdr:sp macro="" textlink="">
          <xdr:nvSpPr>
            <xdr:cNvPr id="2310" name="Option Button 262" hidden="1">
              <a:extLst>
                <a:ext uri="{63B3BB69-23CF-44E3-9099-C40C66FF867C}">
                  <a14:compatExt spid="_x0000_s23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120</xdr:row>
          <xdr:rowOff>638175</xdr:rowOff>
        </xdr:from>
        <xdr:to>
          <xdr:col>25</xdr:col>
          <xdr:colOff>0</xdr:colOff>
          <xdr:row>120</xdr:row>
          <xdr:rowOff>1428750</xdr:rowOff>
        </xdr:to>
        <xdr:sp macro="" textlink="">
          <xdr:nvSpPr>
            <xdr:cNvPr id="2311" name="Option Button 263" hidden="1">
              <a:extLst>
                <a:ext uri="{63B3BB69-23CF-44E3-9099-C40C66FF867C}">
                  <a14:compatExt spid="_x0000_s23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121</xdr:row>
          <xdr:rowOff>638175</xdr:rowOff>
        </xdr:from>
        <xdr:to>
          <xdr:col>25</xdr:col>
          <xdr:colOff>0</xdr:colOff>
          <xdr:row>121</xdr:row>
          <xdr:rowOff>800100</xdr:rowOff>
        </xdr:to>
        <xdr:sp macro="" textlink="">
          <xdr:nvSpPr>
            <xdr:cNvPr id="2312" name="Option Button 264" hidden="1">
              <a:extLst>
                <a:ext uri="{63B3BB69-23CF-44E3-9099-C40C66FF867C}">
                  <a14:compatExt spid="_x0000_s23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122</xdr:row>
          <xdr:rowOff>638175</xdr:rowOff>
        </xdr:from>
        <xdr:to>
          <xdr:col>25</xdr:col>
          <xdr:colOff>0</xdr:colOff>
          <xdr:row>122</xdr:row>
          <xdr:rowOff>800100</xdr:rowOff>
        </xdr:to>
        <xdr:sp macro="" textlink="">
          <xdr:nvSpPr>
            <xdr:cNvPr id="2313" name="Option Button 265" hidden="1">
              <a:extLst>
                <a:ext uri="{63B3BB69-23CF-44E3-9099-C40C66FF867C}">
                  <a14:compatExt spid="_x0000_s2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123</xdr:row>
          <xdr:rowOff>638175</xdr:rowOff>
        </xdr:from>
        <xdr:to>
          <xdr:col>25</xdr:col>
          <xdr:colOff>0</xdr:colOff>
          <xdr:row>123</xdr:row>
          <xdr:rowOff>800100</xdr:rowOff>
        </xdr:to>
        <xdr:sp macro="" textlink="">
          <xdr:nvSpPr>
            <xdr:cNvPr id="2314" name="Option Button 266" hidden="1">
              <a:extLst>
                <a:ext uri="{63B3BB69-23CF-44E3-9099-C40C66FF867C}">
                  <a14:compatExt spid="_x0000_s2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35</xdr:row>
          <xdr:rowOff>0</xdr:rowOff>
        </xdr:from>
        <xdr:to>
          <xdr:col>24</xdr:col>
          <xdr:colOff>0</xdr:colOff>
          <xdr:row>35</xdr:row>
          <xdr:rowOff>504825</xdr:rowOff>
        </xdr:to>
        <xdr:sp macro="" textlink="">
          <xdr:nvSpPr>
            <xdr:cNvPr id="2166" name="Group Box 118" hidden="1">
              <a:extLst>
                <a:ext uri="{63B3BB69-23CF-44E3-9099-C40C66FF867C}">
                  <a14:compatExt spid="_x0000_s2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45</xdr:row>
          <xdr:rowOff>9525</xdr:rowOff>
        </xdr:from>
        <xdr:to>
          <xdr:col>25</xdr:col>
          <xdr:colOff>0</xdr:colOff>
          <xdr:row>46</xdr:row>
          <xdr:rowOff>0</xdr:rowOff>
        </xdr:to>
        <xdr:sp macro="" textlink="">
          <xdr:nvSpPr>
            <xdr:cNvPr id="2193" name="Group Box 145" hidden="1">
              <a:extLst>
                <a:ext uri="{63B3BB69-23CF-44E3-9099-C40C66FF867C}">
                  <a14:compatExt spid="_x0000_s2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46</xdr:row>
          <xdr:rowOff>9525</xdr:rowOff>
        </xdr:from>
        <xdr:to>
          <xdr:col>25</xdr:col>
          <xdr:colOff>0</xdr:colOff>
          <xdr:row>47</xdr:row>
          <xdr:rowOff>0</xdr:rowOff>
        </xdr:to>
        <xdr:sp macro="" textlink="">
          <xdr:nvSpPr>
            <xdr:cNvPr id="2194" name="Group Box 146" hidden="1">
              <a:extLst>
                <a:ext uri="{63B3BB69-23CF-44E3-9099-C40C66FF867C}">
                  <a14:compatExt spid="_x0000_s2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47</xdr:row>
          <xdr:rowOff>9525</xdr:rowOff>
        </xdr:from>
        <xdr:to>
          <xdr:col>25</xdr:col>
          <xdr:colOff>0</xdr:colOff>
          <xdr:row>48</xdr:row>
          <xdr:rowOff>0</xdr:rowOff>
        </xdr:to>
        <xdr:sp macro="" textlink="">
          <xdr:nvSpPr>
            <xdr:cNvPr id="2195" name="Group Box 147" hidden="1">
              <a:extLst>
                <a:ext uri="{63B3BB69-23CF-44E3-9099-C40C66FF867C}">
                  <a14:compatExt spid="_x0000_s2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108</xdr:row>
          <xdr:rowOff>9525</xdr:rowOff>
        </xdr:from>
        <xdr:to>
          <xdr:col>25</xdr:col>
          <xdr:colOff>0</xdr:colOff>
          <xdr:row>110</xdr:row>
          <xdr:rowOff>0</xdr:rowOff>
        </xdr:to>
        <xdr:sp macro="" textlink="">
          <xdr:nvSpPr>
            <xdr:cNvPr id="2268" name="Group Box 220" hidden="1">
              <a:extLst>
                <a:ext uri="{63B3BB69-23CF-44E3-9099-C40C66FF867C}">
                  <a14:compatExt spid="_x0000_s2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110</xdr:row>
          <xdr:rowOff>9525</xdr:rowOff>
        </xdr:from>
        <xdr:to>
          <xdr:col>25</xdr:col>
          <xdr:colOff>0</xdr:colOff>
          <xdr:row>112</xdr:row>
          <xdr:rowOff>0</xdr:rowOff>
        </xdr:to>
        <xdr:sp macro="" textlink="">
          <xdr:nvSpPr>
            <xdr:cNvPr id="2269" name="Group Box 221" hidden="1">
              <a:extLst>
                <a:ext uri="{63B3BB69-23CF-44E3-9099-C40C66FF867C}">
                  <a14:compatExt spid="_x0000_s2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122</xdr:row>
          <xdr:rowOff>9525</xdr:rowOff>
        </xdr:from>
        <xdr:to>
          <xdr:col>25</xdr:col>
          <xdr:colOff>0</xdr:colOff>
          <xdr:row>123</xdr:row>
          <xdr:rowOff>9525</xdr:rowOff>
        </xdr:to>
        <xdr:sp macro="" textlink="">
          <xdr:nvSpPr>
            <xdr:cNvPr id="2293" name="Group Box 245" hidden="1">
              <a:extLst>
                <a:ext uri="{63B3BB69-23CF-44E3-9099-C40C66FF867C}">
                  <a14:compatExt spid="_x0000_s2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20</xdr:row>
          <xdr:rowOff>0</xdr:rowOff>
        </xdr:from>
        <xdr:to>
          <xdr:col>24</xdr:col>
          <xdr:colOff>0</xdr:colOff>
          <xdr:row>21</xdr:row>
          <xdr:rowOff>0</xdr:rowOff>
        </xdr:to>
        <xdr:sp macro="" textlink="">
          <xdr:nvSpPr>
            <xdr:cNvPr id="2081" name="Group Box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20</xdr:row>
          <xdr:rowOff>9525</xdr:rowOff>
        </xdr:from>
        <xdr:to>
          <xdr:col>19</xdr:col>
          <xdr:colOff>247650</xdr:colOff>
          <xdr:row>20</xdr:row>
          <xdr:rowOff>276225</xdr:rowOff>
        </xdr:to>
        <xdr:sp macro="" textlink="">
          <xdr:nvSpPr>
            <xdr:cNvPr id="2111" name="Option Button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20</xdr:row>
          <xdr:rowOff>9525</xdr:rowOff>
        </xdr:from>
        <xdr:to>
          <xdr:col>20</xdr:col>
          <xdr:colOff>247650</xdr:colOff>
          <xdr:row>20</xdr:row>
          <xdr:rowOff>276225</xdr:rowOff>
        </xdr:to>
        <xdr:sp macro="" textlink="">
          <xdr:nvSpPr>
            <xdr:cNvPr id="2125" name="Option Button 77" hidden="1">
              <a:extLst>
                <a:ext uri="{63B3BB69-23CF-44E3-9099-C40C66FF867C}">
                  <a14:compatExt spid="_x0000_s2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20</xdr:row>
          <xdr:rowOff>9525</xdr:rowOff>
        </xdr:from>
        <xdr:to>
          <xdr:col>21</xdr:col>
          <xdr:colOff>247650</xdr:colOff>
          <xdr:row>20</xdr:row>
          <xdr:rowOff>276225</xdr:rowOff>
        </xdr:to>
        <xdr:sp macro="" textlink="">
          <xdr:nvSpPr>
            <xdr:cNvPr id="2139" name="Option Button 91" hidden="1">
              <a:extLst>
                <a:ext uri="{63B3BB69-23CF-44E3-9099-C40C66FF867C}">
                  <a14:compatExt spid="_x0000_s2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20</xdr:row>
          <xdr:rowOff>9525</xdr:rowOff>
        </xdr:from>
        <xdr:to>
          <xdr:col>22</xdr:col>
          <xdr:colOff>247650</xdr:colOff>
          <xdr:row>20</xdr:row>
          <xdr:rowOff>276225</xdr:rowOff>
        </xdr:to>
        <xdr:sp macro="" textlink="">
          <xdr:nvSpPr>
            <xdr:cNvPr id="2153" name="Option Button 105" hidden="1">
              <a:extLst>
                <a:ext uri="{63B3BB69-23CF-44E3-9099-C40C66FF867C}">
                  <a14:compatExt spid="_x0000_s2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21</xdr:row>
          <xdr:rowOff>9525</xdr:rowOff>
        </xdr:from>
        <xdr:to>
          <xdr:col>24</xdr:col>
          <xdr:colOff>0</xdr:colOff>
          <xdr:row>22</xdr:row>
          <xdr:rowOff>9525</xdr:rowOff>
        </xdr:to>
        <xdr:sp macro="" textlink="">
          <xdr:nvSpPr>
            <xdr:cNvPr id="2082" name="Group Box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21</xdr:row>
          <xdr:rowOff>19050</xdr:rowOff>
        </xdr:from>
        <xdr:to>
          <xdr:col>19</xdr:col>
          <xdr:colOff>247650</xdr:colOff>
          <xdr:row>22</xdr:row>
          <xdr:rowOff>0</xdr:rowOff>
        </xdr:to>
        <xdr:sp macro="" textlink="">
          <xdr:nvSpPr>
            <xdr:cNvPr id="2112" name="Option Button 64" hidden="1">
              <a:extLst>
                <a:ext uri="{63B3BB69-23CF-44E3-9099-C40C66FF867C}">
                  <a14:compatExt spid="_x0000_s2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21</xdr:row>
          <xdr:rowOff>19050</xdr:rowOff>
        </xdr:from>
        <xdr:to>
          <xdr:col>20</xdr:col>
          <xdr:colOff>247650</xdr:colOff>
          <xdr:row>22</xdr:row>
          <xdr:rowOff>0</xdr:rowOff>
        </xdr:to>
        <xdr:sp macro="" textlink="">
          <xdr:nvSpPr>
            <xdr:cNvPr id="2126" name="Option Button 78" hidden="1">
              <a:extLst>
                <a:ext uri="{63B3BB69-23CF-44E3-9099-C40C66FF867C}">
                  <a14:compatExt spid="_x0000_s2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21</xdr:row>
          <xdr:rowOff>19050</xdr:rowOff>
        </xdr:from>
        <xdr:to>
          <xdr:col>21</xdr:col>
          <xdr:colOff>247650</xdr:colOff>
          <xdr:row>22</xdr:row>
          <xdr:rowOff>0</xdr:rowOff>
        </xdr:to>
        <xdr:sp macro="" textlink="">
          <xdr:nvSpPr>
            <xdr:cNvPr id="2140" name="Option Button 92" hidden="1">
              <a:extLst>
                <a:ext uri="{63B3BB69-23CF-44E3-9099-C40C66FF867C}">
                  <a14:compatExt spid="_x0000_s2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21</xdr:row>
          <xdr:rowOff>19050</xdr:rowOff>
        </xdr:from>
        <xdr:to>
          <xdr:col>22</xdr:col>
          <xdr:colOff>247650</xdr:colOff>
          <xdr:row>22</xdr:row>
          <xdr:rowOff>0</xdr:rowOff>
        </xdr:to>
        <xdr:sp macro="" textlink="">
          <xdr:nvSpPr>
            <xdr:cNvPr id="2154" name="Option Button 106" hidden="1">
              <a:extLst>
                <a:ext uri="{63B3BB69-23CF-44E3-9099-C40C66FF867C}">
                  <a14:compatExt spid="_x0000_s2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22</xdr:row>
          <xdr:rowOff>66675</xdr:rowOff>
        </xdr:from>
        <xdr:to>
          <xdr:col>19</xdr:col>
          <xdr:colOff>247650</xdr:colOff>
          <xdr:row>22</xdr:row>
          <xdr:rowOff>342900</xdr:rowOff>
        </xdr:to>
        <xdr:sp macro="" textlink="">
          <xdr:nvSpPr>
            <xdr:cNvPr id="2113" name="Option Button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22</xdr:row>
          <xdr:rowOff>66675</xdr:rowOff>
        </xdr:from>
        <xdr:to>
          <xdr:col>20</xdr:col>
          <xdr:colOff>247650</xdr:colOff>
          <xdr:row>22</xdr:row>
          <xdr:rowOff>342900</xdr:rowOff>
        </xdr:to>
        <xdr:sp macro="" textlink="">
          <xdr:nvSpPr>
            <xdr:cNvPr id="2127" name="Option Button 79" hidden="1">
              <a:extLst>
                <a:ext uri="{63B3BB69-23CF-44E3-9099-C40C66FF867C}">
                  <a14:compatExt spid="_x0000_s2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22</xdr:row>
          <xdr:rowOff>66675</xdr:rowOff>
        </xdr:from>
        <xdr:to>
          <xdr:col>21</xdr:col>
          <xdr:colOff>247650</xdr:colOff>
          <xdr:row>22</xdr:row>
          <xdr:rowOff>342900</xdr:rowOff>
        </xdr:to>
        <xdr:sp macro="" textlink="">
          <xdr:nvSpPr>
            <xdr:cNvPr id="2141" name="Option Button 93" hidden="1">
              <a:extLst>
                <a:ext uri="{63B3BB69-23CF-44E3-9099-C40C66FF867C}">
                  <a14:compatExt spid="_x0000_s2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22</xdr:row>
          <xdr:rowOff>66675</xdr:rowOff>
        </xdr:from>
        <xdr:to>
          <xdr:col>22</xdr:col>
          <xdr:colOff>247650</xdr:colOff>
          <xdr:row>22</xdr:row>
          <xdr:rowOff>342900</xdr:rowOff>
        </xdr:to>
        <xdr:sp macro="" textlink="">
          <xdr:nvSpPr>
            <xdr:cNvPr id="2155" name="Option Button 107" hidden="1">
              <a:extLst>
                <a:ext uri="{63B3BB69-23CF-44E3-9099-C40C66FF867C}">
                  <a14:compatExt spid="_x0000_s2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22</xdr:row>
          <xdr:rowOff>9525</xdr:rowOff>
        </xdr:from>
        <xdr:to>
          <xdr:col>24</xdr:col>
          <xdr:colOff>0</xdr:colOff>
          <xdr:row>23</xdr:row>
          <xdr:rowOff>0</xdr:rowOff>
        </xdr:to>
        <xdr:sp macro="" textlink="">
          <xdr:nvSpPr>
            <xdr:cNvPr id="2083" name="Group Box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23</xdr:row>
          <xdr:rowOff>9525</xdr:rowOff>
        </xdr:from>
        <xdr:to>
          <xdr:col>24</xdr:col>
          <xdr:colOff>0</xdr:colOff>
          <xdr:row>24</xdr:row>
          <xdr:rowOff>0</xdr:rowOff>
        </xdr:to>
        <xdr:sp macro="" textlink="">
          <xdr:nvSpPr>
            <xdr:cNvPr id="2084" name="Group Box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23</xdr:row>
          <xdr:rowOff>19050</xdr:rowOff>
        </xdr:from>
        <xdr:to>
          <xdr:col>19</xdr:col>
          <xdr:colOff>247650</xdr:colOff>
          <xdr:row>23</xdr:row>
          <xdr:rowOff>276225</xdr:rowOff>
        </xdr:to>
        <xdr:sp macro="" textlink="">
          <xdr:nvSpPr>
            <xdr:cNvPr id="2114" name="Option Button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23</xdr:row>
          <xdr:rowOff>19050</xdr:rowOff>
        </xdr:from>
        <xdr:to>
          <xdr:col>20</xdr:col>
          <xdr:colOff>247650</xdr:colOff>
          <xdr:row>23</xdr:row>
          <xdr:rowOff>276225</xdr:rowOff>
        </xdr:to>
        <xdr:sp macro="" textlink="">
          <xdr:nvSpPr>
            <xdr:cNvPr id="2128" name="Option Button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23</xdr:row>
          <xdr:rowOff>19050</xdr:rowOff>
        </xdr:from>
        <xdr:to>
          <xdr:col>21</xdr:col>
          <xdr:colOff>247650</xdr:colOff>
          <xdr:row>23</xdr:row>
          <xdr:rowOff>276225</xdr:rowOff>
        </xdr:to>
        <xdr:sp macro="" textlink="">
          <xdr:nvSpPr>
            <xdr:cNvPr id="2142" name="Option Button 94" hidden="1">
              <a:extLst>
                <a:ext uri="{63B3BB69-23CF-44E3-9099-C40C66FF867C}">
                  <a14:compatExt spid="_x0000_s2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23</xdr:row>
          <xdr:rowOff>19050</xdr:rowOff>
        </xdr:from>
        <xdr:to>
          <xdr:col>22</xdr:col>
          <xdr:colOff>247650</xdr:colOff>
          <xdr:row>23</xdr:row>
          <xdr:rowOff>276225</xdr:rowOff>
        </xdr:to>
        <xdr:sp macro="" textlink="">
          <xdr:nvSpPr>
            <xdr:cNvPr id="2156" name="Option Button 108" hidden="1">
              <a:extLst>
                <a:ext uri="{63B3BB69-23CF-44E3-9099-C40C66FF867C}">
                  <a14:compatExt spid="_x0000_s2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24</xdr:row>
          <xdr:rowOff>19050</xdr:rowOff>
        </xdr:from>
        <xdr:to>
          <xdr:col>19</xdr:col>
          <xdr:colOff>247650</xdr:colOff>
          <xdr:row>25</xdr:row>
          <xdr:rowOff>0</xdr:rowOff>
        </xdr:to>
        <xdr:sp macro="" textlink="">
          <xdr:nvSpPr>
            <xdr:cNvPr id="2115" name="Option Button 67" hidden="1">
              <a:extLst>
                <a:ext uri="{63B3BB69-23CF-44E3-9099-C40C66FF867C}">
                  <a14:compatExt spid="_x0000_s2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24</xdr:row>
          <xdr:rowOff>19050</xdr:rowOff>
        </xdr:from>
        <xdr:to>
          <xdr:col>20</xdr:col>
          <xdr:colOff>247650</xdr:colOff>
          <xdr:row>25</xdr:row>
          <xdr:rowOff>0</xdr:rowOff>
        </xdr:to>
        <xdr:sp macro="" textlink="">
          <xdr:nvSpPr>
            <xdr:cNvPr id="2129" name="Option Button 81" hidden="1">
              <a:extLst>
                <a:ext uri="{63B3BB69-23CF-44E3-9099-C40C66FF867C}">
                  <a14:compatExt spid="_x0000_s2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24</xdr:row>
          <xdr:rowOff>19050</xdr:rowOff>
        </xdr:from>
        <xdr:to>
          <xdr:col>21</xdr:col>
          <xdr:colOff>247650</xdr:colOff>
          <xdr:row>25</xdr:row>
          <xdr:rowOff>0</xdr:rowOff>
        </xdr:to>
        <xdr:sp macro="" textlink="">
          <xdr:nvSpPr>
            <xdr:cNvPr id="2143" name="Option Button 95" hidden="1">
              <a:extLst>
                <a:ext uri="{63B3BB69-23CF-44E3-9099-C40C66FF867C}">
                  <a14:compatExt spid="_x0000_s2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24</xdr:row>
          <xdr:rowOff>19050</xdr:rowOff>
        </xdr:from>
        <xdr:to>
          <xdr:col>22</xdr:col>
          <xdr:colOff>247650</xdr:colOff>
          <xdr:row>25</xdr:row>
          <xdr:rowOff>0</xdr:rowOff>
        </xdr:to>
        <xdr:sp macro="" textlink="">
          <xdr:nvSpPr>
            <xdr:cNvPr id="2157" name="Option Button 109" hidden="1">
              <a:extLst>
                <a:ext uri="{63B3BB69-23CF-44E3-9099-C40C66FF867C}">
                  <a14:compatExt spid="_x0000_s2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24</xdr:row>
          <xdr:rowOff>9525</xdr:rowOff>
        </xdr:from>
        <xdr:to>
          <xdr:col>24</xdr:col>
          <xdr:colOff>0</xdr:colOff>
          <xdr:row>25</xdr:row>
          <xdr:rowOff>9525</xdr:rowOff>
        </xdr:to>
        <xdr:sp macro="" textlink="">
          <xdr:nvSpPr>
            <xdr:cNvPr id="2085" name="Group Box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25</xdr:row>
          <xdr:rowOff>19050</xdr:rowOff>
        </xdr:from>
        <xdr:to>
          <xdr:col>19</xdr:col>
          <xdr:colOff>247650</xdr:colOff>
          <xdr:row>26</xdr:row>
          <xdr:rowOff>0</xdr:rowOff>
        </xdr:to>
        <xdr:sp macro="" textlink="">
          <xdr:nvSpPr>
            <xdr:cNvPr id="2116" name="Option Button 68" hidden="1">
              <a:extLst>
                <a:ext uri="{63B3BB69-23CF-44E3-9099-C40C66FF867C}">
                  <a14:compatExt spid="_x0000_s2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25</xdr:row>
          <xdr:rowOff>19050</xdr:rowOff>
        </xdr:from>
        <xdr:to>
          <xdr:col>20</xdr:col>
          <xdr:colOff>247650</xdr:colOff>
          <xdr:row>26</xdr:row>
          <xdr:rowOff>0</xdr:rowOff>
        </xdr:to>
        <xdr:sp macro="" textlink="">
          <xdr:nvSpPr>
            <xdr:cNvPr id="2130" name="Option Button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25</xdr:row>
          <xdr:rowOff>19050</xdr:rowOff>
        </xdr:from>
        <xdr:to>
          <xdr:col>21</xdr:col>
          <xdr:colOff>247650</xdr:colOff>
          <xdr:row>26</xdr:row>
          <xdr:rowOff>0</xdr:rowOff>
        </xdr:to>
        <xdr:sp macro="" textlink="">
          <xdr:nvSpPr>
            <xdr:cNvPr id="2144" name="Option Button 96" hidden="1">
              <a:extLst>
                <a:ext uri="{63B3BB69-23CF-44E3-9099-C40C66FF867C}">
                  <a14:compatExt spid="_x0000_s2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25</xdr:row>
          <xdr:rowOff>19050</xdr:rowOff>
        </xdr:from>
        <xdr:to>
          <xdr:col>22</xdr:col>
          <xdr:colOff>247650</xdr:colOff>
          <xdr:row>26</xdr:row>
          <xdr:rowOff>0</xdr:rowOff>
        </xdr:to>
        <xdr:sp macro="" textlink="">
          <xdr:nvSpPr>
            <xdr:cNvPr id="2158" name="Option Button 110" hidden="1">
              <a:extLst>
                <a:ext uri="{63B3BB69-23CF-44E3-9099-C40C66FF867C}">
                  <a14:compatExt spid="_x0000_s2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25</xdr:row>
          <xdr:rowOff>9525</xdr:rowOff>
        </xdr:from>
        <xdr:to>
          <xdr:col>24</xdr:col>
          <xdr:colOff>0</xdr:colOff>
          <xdr:row>26</xdr:row>
          <xdr:rowOff>9525</xdr:rowOff>
        </xdr:to>
        <xdr:sp macro="" textlink="">
          <xdr:nvSpPr>
            <xdr:cNvPr id="2086" name="Group Box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26</xdr:row>
          <xdr:rowOff>19050</xdr:rowOff>
        </xdr:from>
        <xdr:to>
          <xdr:col>19</xdr:col>
          <xdr:colOff>247650</xdr:colOff>
          <xdr:row>27</xdr:row>
          <xdr:rowOff>0</xdr:rowOff>
        </xdr:to>
        <xdr:sp macro="" textlink="">
          <xdr:nvSpPr>
            <xdr:cNvPr id="2117" name="Option Button 69" hidden="1">
              <a:extLst>
                <a:ext uri="{63B3BB69-23CF-44E3-9099-C40C66FF867C}">
                  <a14:compatExt spid="_x0000_s2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26</xdr:row>
          <xdr:rowOff>19050</xdr:rowOff>
        </xdr:from>
        <xdr:to>
          <xdr:col>20</xdr:col>
          <xdr:colOff>247650</xdr:colOff>
          <xdr:row>27</xdr:row>
          <xdr:rowOff>0</xdr:rowOff>
        </xdr:to>
        <xdr:sp macro="" textlink="">
          <xdr:nvSpPr>
            <xdr:cNvPr id="2131" name="Option Button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xdr:colOff>
          <xdr:row>26</xdr:row>
          <xdr:rowOff>19050</xdr:rowOff>
        </xdr:from>
        <xdr:to>
          <xdr:col>21</xdr:col>
          <xdr:colOff>247650</xdr:colOff>
          <xdr:row>27</xdr:row>
          <xdr:rowOff>0</xdr:rowOff>
        </xdr:to>
        <xdr:sp macro="" textlink="">
          <xdr:nvSpPr>
            <xdr:cNvPr id="2145" name="Option Button 97" hidden="1">
              <a:extLst>
                <a:ext uri="{63B3BB69-23CF-44E3-9099-C40C66FF867C}">
                  <a14:compatExt spid="_x0000_s2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26</xdr:row>
          <xdr:rowOff>19050</xdr:rowOff>
        </xdr:from>
        <xdr:to>
          <xdr:col>22</xdr:col>
          <xdr:colOff>247650</xdr:colOff>
          <xdr:row>27</xdr:row>
          <xdr:rowOff>0</xdr:rowOff>
        </xdr:to>
        <xdr:sp macro="" textlink="">
          <xdr:nvSpPr>
            <xdr:cNvPr id="2159" name="Option Button 111" hidden="1">
              <a:extLst>
                <a:ext uri="{63B3BB69-23CF-44E3-9099-C40C66FF867C}">
                  <a14:compatExt spid="_x0000_s2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26</xdr:row>
          <xdr:rowOff>9525</xdr:rowOff>
        </xdr:from>
        <xdr:to>
          <xdr:col>24</xdr:col>
          <xdr:colOff>0</xdr:colOff>
          <xdr:row>27</xdr:row>
          <xdr:rowOff>9525</xdr:rowOff>
        </xdr:to>
        <xdr:sp macro="" textlink="">
          <xdr:nvSpPr>
            <xdr:cNvPr id="2087" name="Group Box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20</xdr:row>
          <xdr:rowOff>9525</xdr:rowOff>
        </xdr:from>
        <xdr:to>
          <xdr:col>23</xdr:col>
          <xdr:colOff>247650</xdr:colOff>
          <xdr:row>20</xdr:row>
          <xdr:rowOff>276225</xdr:rowOff>
        </xdr:to>
        <xdr:sp macro="" textlink="">
          <xdr:nvSpPr>
            <xdr:cNvPr id="2983" name="Option Button 935" hidden="1">
              <a:extLst>
                <a:ext uri="{63B3BB69-23CF-44E3-9099-C40C66FF867C}">
                  <a14:compatExt spid="_x0000_s29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21</xdr:row>
          <xdr:rowOff>19050</xdr:rowOff>
        </xdr:from>
        <xdr:to>
          <xdr:col>23</xdr:col>
          <xdr:colOff>247650</xdr:colOff>
          <xdr:row>22</xdr:row>
          <xdr:rowOff>0</xdr:rowOff>
        </xdr:to>
        <xdr:sp macro="" textlink="">
          <xdr:nvSpPr>
            <xdr:cNvPr id="2984" name="Option Button 936" hidden="1">
              <a:extLst>
                <a:ext uri="{63B3BB69-23CF-44E3-9099-C40C66FF867C}">
                  <a14:compatExt spid="_x0000_s29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22</xdr:row>
          <xdr:rowOff>66675</xdr:rowOff>
        </xdr:from>
        <xdr:to>
          <xdr:col>23</xdr:col>
          <xdr:colOff>247650</xdr:colOff>
          <xdr:row>22</xdr:row>
          <xdr:rowOff>342900</xdr:rowOff>
        </xdr:to>
        <xdr:sp macro="" textlink="">
          <xdr:nvSpPr>
            <xdr:cNvPr id="2985" name="Option Button 937" hidden="1">
              <a:extLst>
                <a:ext uri="{63B3BB69-23CF-44E3-9099-C40C66FF867C}">
                  <a14:compatExt spid="_x0000_s29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23</xdr:row>
          <xdr:rowOff>19050</xdr:rowOff>
        </xdr:from>
        <xdr:to>
          <xdr:col>23</xdr:col>
          <xdr:colOff>247650</xdr:colOff>
          <xdr:row>23</xdr:row>
          <xdr:rowOff>276225</xdr:rowOff>
        </xdr:to>
        <xdr:sp macro="" textlink="">
          <xdr:nvSpPr>
            <xdr:cNvPr id="2986" name="Option Button 938" hidden="1">
              <a:extLst>
                <a:ext uri="{63B3BB69-23CF-44E3-9099-C40C66FF867C}">
                  <a14:compatExt spid="_x0000_s29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24</xdr:row>
          <xdr:rowOff>19050</xdr:rowOff>
        </xdr:from>
        <xdr:to>
          <xdr:col>23</xdr:col>
          <xdr:colOff>247650</xdr:colOff>
          <xdr:row>25</xdr:row>
          <xdr:rowOff>0</xdr:rowOff>
        </xdr:to>
        <xdr:sp macro="" textlink="">
          <xdr:nvSpPr>
            <xdr:cNvPr id="2987" name="Option Button 939" hidden="1">
              <a:extLst>
                <a:ext uri="{63B3BB69-23CF-44E3-9099-C40C66FF867C}">
                  <a14:compatExt spid="_x0000_s29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25</xdr:row>
          <xdr:rowOff>19050</xdr:rowOff>
        </xdr:from>
        <xdr:to>
          <xdr:col>23</xdr:col>
          <xdr:colOff>247650</xdr:colOff>
          <xdr:row>26</xdr:row>
          <xdr:rowOff>0</xdr:rowOff>
        </xdr:to>
        <xdr:sp macro="" textlink="">
          <xdr:nvSpPr>
            <xdr:cNvPr id="2988" name="Option Button 940" hidden="1">
              <a:extLst>
                <a:ext uri="{63B3BB69-23CF-44E3-9099-C40C66FF867C}">
                  <a14:compatExt spid="_x0000_s29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26</xdr:row>
          <xdr:rowOff>19050</xdr:rowOff>
        </xdr:from>
        <xdr:to>
          <xdr:col>23</xdr:col>
          <xdr:colOff>247650</xdr:colOff>
          <xdr:row>27</xdr:row>
          <xdr:rowOff>0</xdr:rowOff>
        </xdr:to>
        <xdr:sp macro="" textlink="">
          <xdr:nvSpPr>
            <xdr:cNvPr id="2989" name="Option Button 941" hidden="1">
              <a:extLst>
                <a:ext uri="{63B3BB69-23CF-44E3-9099-C40C66FF867C}">
                  <a14:compatExt spid="_x0000_s29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34</xdr:row>
          <xdr:rowOff>171450</xdr:rowOff>
        </xdr:from>
        <xdr:to>
          <xdr:col>24</xdr:col>
          <xdr:colOff>0</xdr:colOff>
          <xdr:row>35</xdr:row>
          <xdr:rowOff>0</xdr:rowOff>
        </xdr:to>
        <xdr:sp macro="" textlink="">
          <xdr:nvSpPr>
            <xdr:cNvPr id="2990" name="Option Button 942" hidden="1">
              <a:extLst>
                <a:ext uri="{63B3BB69-23CF-44E3-9099-C40C66FF867C}">
                  <a14:compatExt spid="_x0000_s29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35</xdr:row>
          <xdr:rowOff>133350</xdr:rowOff>
        </xdr:from>
        <xdr:to>
          <xdr:col>24</xdr:col>
          <xdr:colOff>0</xdr:colOff>
          <xdr:row>35</xdr:row>
          <xdr:rowOff>323850</xdr:rowOff>
        </xdr:to>
        <xdr:sp macro="" textlink="">
          <xdr:nvSpPr>
            <xdr:cNvPr id="2991" name="Option Button 943" hidden="1">
              <a:extLst>
                <a:ext uri="{63B3BB69-23CF-44E3-9099-C40C66FF867C}">
                  <a14:compatExt spid="_x0000_s29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36</xdr:row>
          <xdr:rowOff>171450</xdr:rowOff>
        </xdr:from>
        <xdr:to>
          <xdr:col>24</xdr:col>
          <xdr:colOff>0</xdr:colOff>
          <xdr:row>36</xdr:row>
          <xdr:rowOff>371475</xdr:rowOff>
        </xdr:to>
        <xdr:sp macro="" textlink="">
          <xdr:nvSpPr>
            <xdr:cNvPr id="2992" name="Option Button 944" hidden="1">
              <a:extLst>
                <a:ext uri="{63B3BB69-23CF-44E3-9099-C40C66FF867C}">
                  <a14:compatExt spid="_x0000_s29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37</xdr:row>
          <xdr:rowOff>142875</xdr:rowOff>
        </xdr:from>
        <xdr:to>
          <xdr:col>24</xdr:col>
          <xdr:colOff>0</xdr:colOff>
          <xdr:row>37</xdr:row>
          <xdr:rowOff>342900</xdr:rowOff>
        </xdr:to>
        <xdr:sp macro="" textlink="">
          <xdr:nvSpPr>
            <xdr:cNvPr id="2993" name="Option Button 945" hidden="1">
              <a:extLst>
                <a:ext uri="{63B3BB69-23CF-44E3-9099-C40C66FF867C}">
                  <a14:compatExt spid="_x0000_s29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xdr:colOff>
          <xdr:row>45</xdr:row>
          <xdr:rowOff>438150</xdr:rowOff>
        </xdr:from>
        <xdr:to>
          <xdr:col>24</xdr:col>
          <xdr:colOff>247650</xdr:colOff>
          <xdr:row>46</xdr:row>
          <xdr:rowOff>0</xdr:rowOff>
        </xdr:to>
        <xdr:sp macro="" textlink="">
          <xdr:nvSpPr>
            <xdr:cNvPr id="2994" name="Option Button 946" hidden="1">
              <a:extLst>
                <a:ext uri="{63B3BB69-23CF-44E3-9099-C40C66FF867C}">
                  <a14:compatExt spid="_x0000_s29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xdr:colOff>
          <xdr:row>46</xdr:row>
          <xdr:rowOff>438150</xdr:rowOff>
        </xdr:from>
        <xdr:to>
          <xdr:col>24</xdr:col>
          <xdr:colOff>247650</xdr:colOff>
          <xdr:row>46</xdr:row>
          <xdr:rowOff>628650</xdr:rowOff>
        </xdr:to>
        <xdr:sp macro="" textlink="">
          <xdr:nvSpPr>
            <xdr:cNvPr id="2995" name="Option Button 947" hidden="1">
              <a:extLst>
                <a:ext uri="{63B3BB69-23CF-44E3-9099-C40C66FF867C}">
                  <a14:compatExt spid="_x0000_s29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xdr:colOff>
          <xdr:row>47</xdr:row>
          <xdr:rowOff>438150</xdr:rowOff>
        </xdr:from>
        <xdr:to>
          <xdr:col>24</xdr:col>
          <xdr:colOff>247650</xdr:colOff>
          <xdr:row>47</xdr:row>
          <xdr:rowOff>628650</xdr:rowOff>
        </xdr:to>
        <xdr:sp macro="" textlink="">
          <xdr:nvSpPr>
            <xdr:cNvPr id="2996" name="Option Button 948" hidden="1">
              <a:extLst>
                <a:ext uri="{63B3BB69-23CF-44E3-9099-C40C66FF867C}">
                  <a14:compatExt spid="_x0000_s29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93</xdr:row>
          <xdr:rowOff>9525</xdr:rowOff>
        </xdr:from>
        <xdr:to>
          <xdr:col>25</xdr:col>
          <xdr:colOff>0</xdr:colOff>
          <xdr:row>94</xdr:row>
          <xdr:rowOff>0</xdr:rowOff>
        </xdr:to>
        <xdr:sp macro="" textlink="">
          <xdr:nvSpPr>
            <xdr:cNvPr id="25212" name="Group Box 4732" hidden="1">
              <a:extLst>
                <a:ext uri="{63B3BB69-23CF-44E3-9099-C40C66FF867C}">
                  <a14:compatExt spid="_x0000_s25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93</xdr:row>
          <xdr:rowOff>1076325</xdr:rowOff>
        </xdr:from>
        <xdr:to>
          <xdr:col>21</xdr:col>
          <xdr:colOff>0</xdr:colOff>
          <xdr:row>93</xdr:row>
          <xdr:rowOff>1266825</xdr:rowOff>
        </xdr:to>
        <xdr:sp macro="" textlink="">
          <xdr:nvSpPr>
            <xdr:cNvPr id="25213" name="Option Button 4733" hidden="1">
              <a:extLst>
                <a:ext uri="{63B3BB69-23CF-44E3-9099-C40C66FF867C}">
                  <a14:compatExt spid="_x0000_s25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93</xdr:row>
          <xdr:rowOff>1076325</xdr:rowOff>
        </xdr:from>
        <xdr:to>
          <xdr:col>22</xdr:col>
          <xdr:colOff>0</xdr:colOff>
          <xdr:row>93</xdr:row>
          <xdr:rowOff>1266825</xdr:rowOff>
        </xdr:to>
        <xdr:sp macro="" textlink="">
          <xdr:nvSpPr>
            <xdr:cNvPr id="25214" name="Option Button 4734" hidden="1">
              <a:extLst>
                <a:ext uri="{63B3BB69-23CF-44E3-9099-C40C66FF867C}">
                  <a14:compatExt spid="_x0000_s25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93</xdr:row>
          <xdr:rowOff>1076325</xdr:rowOff>
        </xdr:from>
        <xdr:to>
          <xdr:col>23</xdr:col>
          <xdr:colOff>0</xdr:colOff>
          <xdr:row>93</xdr:row>
          <xdr:rowOff>1266825</xdr:rowOff>
        </xdr:to>
        <xdr:sp macro="" textlink="">
          <xdr:nvSpPr>
            <xdr:cNvPr id="25215" name="Option Button 4735" hidden="1">
              <a:extLst>
                <a:ext uri="{63B3BB69-23CF-44E3-9099-C40C66FF867C}">
                  <a14:compatExt spid="_x0000_s25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93</xdr:row>
          <xdr:rowOff>1076325</xdr:rowOff>
        </xdr:from>
        <xdr:to>
          <xdr:col>24</xdr:col>
          <xdr:colOff>0</xdr:colOff>
          <xdr:row>93</xdr:row>
          <xdr:rowOff>1266825</xdr:rowOff>
        </xdr:to>
        <xdr:sp macro="" textlink="">
          <xdr:nvSpPr>
            <xdr:cNvPr id="25216" name="Option Button 4736" hidden="1">
              <a:extLst>
                <a:ext uri="{63B3BB69-23CF-44E3-9099-C40C66FF867C}">
                  <a14:compatExt spid="_x0000_s25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93</xdr:row>
          <xdr:rowOff>1076325</xdr:rowOff>
        </xdr:from>
        <xdr:to>
          <xdr:col>25</xdr:col>
          <xdr:colOff>0</xdr:colOff>
          <xdr:row>93</xdr:row>
          <xdr:rowOff>1266825</xdr:rowOff>
        </xdr:to>
        <xdr:sp macro="" textlink="">
          <xdr:nvSpPr>
            <xdr:cNvPr id="25217" name="Option Button 4737" hidden="1">
              <a:extLst>
                <a:ext uri="{63B3BB69-23CF-44E3-9099-C40C66FF867C}">
                  <a14:compatExt spid="_x0000_s25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126</xdr:row>
          <xdr:rowOff>638175</xdr:rowOff>
        </xdr:from>
        <xdr:to>
          <xdr:col>21</xdr:col>
          <xdr:colOff>0</xdr:colOff>
          <xdr:row>126</xdr:row>
          <xdr:rowOff>800100</xdr:rowOff>
        </xdr:to>
        <xdr:sp macro="" textlink="">
          <xdr:nvSpPr>
            <xdr:cNvPr id="589121" name="Option Button 122177" hidden="1">
              <a:extLst>
                <a:ext uri="{63B3BB69-23CF-44E3-9099-C40C66FF867C}">
                  <a14:compatExt spid="_x0000_s589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126</xdr:row>
          <xdr:rowOff>638175</xdr:rowOff>
        </xdr:from>
        <xdr:to>
          <xdr:col>22</xdr:col>
          <xdr:colOff>0</xdr:colOff>
          <xdr:row>126</xdr:row>
          <xdr:rowOff>800100</xdr:rowOff>
        </xdr:to>
        <xdr:sp macro="" textlink="">
          <xdr:nvSpPr>
            <xdr:cNvPr id="589122" name="Option Button 122178" hidden="1">
              <a:extLst>
                <a:ext uri="{63B3BB69-23CF-44E3-9099-C40C66FF867C}">
                  <a14:compatExt spid="_x0000_s589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126</xdr:row>
          <xdr:rowOff>638175</xdr:rowOff>
        </xdr:from>
        <xdr:to>
          <xdr:col>23</xdr:col>
          <xdr:colOff>0</xdr:colOff>
          <xdr:row>126</xdr:row>
          <xdr:rowOff>800100</xdr:rowOff>
        </xdr:to>
        <xdr:sp macro="" textlink="">
          <xdr:nvSpPr>
            <xdr:cNvPr id="589123" name="Option Button 122179" hidden="1">
              <a:extLst>
                <a:ext uri="{63B3BB69-23CF-44E3-9099-C40C66FF867C}">
                  <a14:compatExt spid="_x0000_s589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126</xdr:row>
          <xdr:rowOff>638175</xdr:rowOff>
        </xdr:from>
        <xdr:to>
          <xdr:col>24</xdr:col>
          <xdr:colOff>0</xdr:colOff>
          <xdr:row>126</xdr:row>
          <xdr:rowOff>800100</xdr:rowOff>
        </xdr:to>
        <xdr:sp macro="" textlink="">
          <xdr:nvSpPr>
            <xdr:cNvPr id="589124" name="Option Button 122180" hidden="1">
              <a:extLst>
                <a:ext uri="{63B3BB69-23CF-44E3-9099-C40C66FF867C}">
                  <a14:compatExt spid="_x0000_s589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126</xdr:row>
          <xdr:rowOff>638175</xdr:rowOff>
        </xdr:from>
        <xdr:to>
          <xdr:col>25</xdr:col>
          <xdr:colOff>0</xdr:colOff>
          <xdr:row>126</xdr:row>
          <xdr:rowOff>800100</xdr:rowOff>
        </xdr:to>
        <xdr:sp macro="" textlink="">
          <xdr:nvSpPr>
            <xdr:cNvPr id="589125" name="Option Button 122181" hidden="1">
              <a:extLst>
                <a:ext uri="{63B3BB69-23CF-44E3-9099-C40C66FF867C}">
                  <a14:compatExt spid="_x0000_s589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126</xdr:row>
          <xdr:rowOff>9525</xdr:rowOff>
        </xdr:from>
        <xdr:to>
          <xdr:col>25</xdr:col>
          <xdr:colOff>0</xdr:colOff>
          <xdr:row>127</xdr:row>
          <xdr:rowOff>9525</xdr:rowOff>
        </xdr:to>
        <xdr:sp macro="" textlink="">
          <xdr:nvSpPr>
            <xdr:cNvPr id="589126" name="Group Box 122182" hidden="1">
              <a:extLst>
                <a:ext uri="{63B3BB69-23CF-44E3-9099-C40C66FF867C}">
                  <a14:compatExt spid="_x0000_s589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125</xdr:row>
          <xdr:rowOff>638175</xdr:rowOff>
        </xdr:from>
        <xdr:to>
          <xdr:col>21</xdr:col>
          <xdr:colOff>0</xdr:colOff>
          <xdr:row>125</xdr:row>
          <xdr:rowOff>800100</xdr:rowOff>
        </xdr:to>
        <xdr:sp macro="" textlink="">
          <xdr:nvSpPr>
            <xdr:cNvPr id="589127" name="Option Button 122183" hidden="1">
              <a:extLst>
                <a:ext uri="{63B3BB69-23CF-44E3-9099-C40C66FF867C}">
                  <a14:compatExt spid="_x0000_s589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125</xdr:row>
          <xdr:rowOff>638175</xdr:rowOff>
        </xdr:from>
        <xdr:to>
          <xdr:col>22</xdr:col>
          <xdr:colOff>0</xdr:colOff>
          <xdr:row>125</xdr:row>
          <xdr:rowOff>800100</xdr:rowOff>
        </xdr:to>
        <xdr:sp macro="" textlink="">
          <xdr:nvSpPr>
            <xdr:cNvPr id="589128" name="Option Button 122184" hidden="1">
              <a:extLst>
                <a:ext uri="{63B3BB69-23CF-44E3-9099-C40C66FF867C}">
                  <a14:compatExt spid="_x0000_s589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125</xdr:row>
          <xdr:rowOff>638175</xdr:rowOff>
        </xdr:from>
        <xdr:to>
          <xdr:col>23</xdr:col>
          <xdr:colOff>0</xdr:colOff>
          <xdr:row>125</xdr:row>
          <xdr:rowOff>800100</xdr:rowOff>
        </xdr:to>
        <xdr:sp macro="" textlink="">
          <xdr:nvSpPr>
            <xdr:cNvPr id="589129" name="Option Button 122185" hidden="1">
              <a:extLst>
                <a:ext uri="{63B3BB69-23CF-44E3-9099-C40C66FF867C}">
                  <a14:compatExt spid="_x0000_s589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125</xdr:row>
          <xdr:rowOff>638175</xdr:rowOff>
        </xdr:from>
        <xdr:to>
          <xdr:col>24</xdr:col>
          <xdr:colOff>0</xdr:colOff>
          <xdr:row>125</xdr:row>
          <xdr:rowOff>800100</xdr:rowOff>
        </xdr:to>
        <xdr:sp macro="" textlink="">
          <xdr:nvSpPr>
            <xdr:cNvPr id="589130" name="Option Button 122186" hidden="1">
              <a:extLst>
                <a:ext uri="{63B3BB69-23CF-44E3-9099-C40C66FF867C}">
                  <a14:compatExt spid="_x0000_s589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125</xdr:row>
          <xdr:rowOff>638175</xdr:rowOff>
        </xdr:from>
        <xdr:to>
          <xdr:col>25</xdr:col>
          <xdr:colOff>0</xdr:colOff>
          <xdr:row>125</xdr:row>
          <xdr:rowOff>800100</xdr:rowOff>
        </xdr:to>
        <xdr:sp macro="" textlink="">
          <xdr:nvSpPr>
            <xdr:cNvPr id="589131" name="Option Button 122187" hidden="1">
              <a:extLst>
                <a:ext uri="{63B3BB69-23CF-44E3-9099-C40C66FF867C}">
                  <a14:compatExt spid="_x0000_s589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125</xdr:row>
          <xdr:rowOff>9525</xdr:rowOff>
        </xdr:from>
        <xdr:to>
          <xdr:col>25</xdr:col>
          <xdr:colOff>0</xdr:colOff>
          <xdr:row>126</xdr:row>
          <xdr:rowOff>9525</xdr:rowOff>
        </xdr:to>
        <xdr:sp macro="" textlink="">
          <xdr:nvSpPr>
            <xdr:cNvPr id="589132" name="Group Box 122188" hidden="1">
              <a:extLst>
                <a:ext uri="{63B3BB69-23CF-44E3-9099-C40C66FF867C}">
                  <a14:compatExt spid="_x0000_s589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124</xdr:row>
          <xdr:rowOff>638175</xdr:rowOff>
        </xdr:from>
        <xdr:to>
          <xdr:col>21</xdr:col>
          <xdr:colOff>0</xdr:colOff>
          <xdr:row>124</xdr:row>
          <xdr:rowOff>800100</xdr:rowOff>
        </xdr:to>
        <xdr:sp macro="" textlink="">
          <xdr:nvSpPr>
            <xdr:cNvPr id="589133" name="Option Button 122189" hidden="1">
              <a:extLst>
                <a:ext uri="{63B3BB69-23CF-44E3-9099-C40C66FF867C}">
                  <a14:compatExt spid="_x0000_s589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124</xdr:row>
          <xdr:rowOff>638175</xdr:rowOff>
        </xdr:from>
        <xdr:to>
          <xdr:col>22</xdr:col>
          <xdr:colOff>0</xdr:colOff>
          <xdr:row>124</xdr:row>
          <xdr:rowOff>800100</xdr:rowOff>
        </xdr:to>
        <xdr:sp macro="" textlink="">
          <xdr:nvSpPr>
            <xdr:cNvPr id="589134" name="Option Button 122190" hidden="1">
              <a:extLst>
                <a:ext uri="{63B3BB69-23CF-44E3-9099-C40C66FF867C}">
                  <a14:compatExt spid="_x0000_s589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xdr:colOff>
          <xdr:row>124</xdr:row>
          <xdr:rowOff>638175</xdr:rowOff>
        </xdr:from>
        <xdr:to>
          <xdr:col>23</xdr:col>
          <xdr:colOff>0</xdr:colOff>
          <xdr:row>124</xdr:row>
          <xdr:rowOff>800100</xdr:rowOff>
        </xdr:to>
        <xdr:sp macro="" textlink="">
          <xdr:nvSpPr>
            <xdr:cNvPr id="589135" name="Option Button 122191" hidden="1">
              <a:extLst>
                <a:ext uri="{63B3BB69-23CF-44E3-9099-C40C66FF867C}">
                  <a14:compatExt spid="_x0000_s589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124</xdr:row>
          <xdr:rowOff>638175</xdr:rowOff>
        </xdr:from>
        <xdr:to>
          <xdr:col>24</xdr:col>
          <xdr:colOff>0</xdr:colOff>
          <xdr:row>124</xdr:row>
          <xdr:rowOff>800100</xdr:rowOff>
        </xdr:to>
        <xdr:sp macro="" textlink="">
          <xdr:nvSpPr>
            <xdr:cNvPr id="589136" name="Option Button 122192" hidden="1">
              <a:extLst>
                <a:ext uri="{63B3BB69-23CF-44E3-9099-C40C66FF867C}">
                  <a14:compatExt spid="_x0000_s589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124</xdr:row>
          <xdr:rowOff>638175</xdr:rowOff>
        </xdr:from>
        <xdr:to>
          <xdr:col>25</xdr:col>
          <xdr:colOff>0</xdr:colOff>
          <xdr:row>124</xdr:row>
          <xdr:rowOff>800100</xdr:rowOff>
        </xdr:to>
        <xdr:sp macro="" textlink="">
          <xdr:nvSpPr>
            <xdr:cNvPr id="589137" name="Option Button 122193" hidden="1">
              <a:extLst>
                <a:ext uri="{63B3BB69-23CF-44E3-9099-C40C66FF867C}">
                  <a14:compatExt spid="_x0000_s589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124</xdr:row>
          <xdr:rowOff>9525</xdr:rowOff>
        </xdr:from>
        <xdr:to>
          <xdr:col>25</xdr:col>
          <xdr:colOff>0</xdr:colOff>
          <xdr:row>125</xdr:row>
          <xdr:rowOff>9525</xdr:rowOff>
        </xdr:to>
        <xdr:sp macro="" textlink="">
          <xdr:nvSpPr>
            <xdr:cNvPr id="589138" name="Group Box 122194" hidden="1">
              <a:extLst>
                <a:ext uri="{63B3BB69-23CF-44E3-9099-C40C66FF867C}">
                  <a14:compatExt spid="_x0000_s589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0</xdr:colOff>
          <xdr:row>16</xdr:row>
          <xdr:rowOff>9525</xdr:rowOff>
        </xdr:from>
        <xdr:to>
          <xdr:col>24</xdr:col>
          <xdr:colOff>0</xdr:colOff>
          <xdr:row>17</xdr:row>
          <xdr:rowOff>9525</xdr:rowOff>
        </xdr:to>
        <xdr:sp macro="" textlink="">
          <xdr:nvSpPr>
            <xdr:cNvPr id="2077" name="Group Box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19050</xdr:colOff>
          <xdr:row>16</xdr:row>
          <xdr:rowOff>19050</xdr:rowOff>
        </xdr:from>
        <xdr:to>
          <xdr:col>19</xdr:col>
          <xdr:colOff>257175</xdr:colOff>
          <xdr:row>16</xdr:row>
          <xdr:rowOff>285750</xdr:rowOff>
        </xdr:to>
        <xdr:sp macro="" textlink="">
          <xdr:nvSpPr>
            <xdr:cNvPr id="2092" name="Option Button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16</xdr:row>
          <xdr:rowOff>19050</xdr:rowOff>
        </xdr:from>
        <xdr:to>
          <xdr:col>20</xdr:col>
          <xdr:colOff>257175</xdr:colOff>
          <xdr:row>16</xdr:row>
          <xdr:rowOff>285750</xdr:rowOff>
        </xdr:to>
        <xdr:sp macro="" textlink="">
          <xdr:nvSpPr>
            <xdr:cNvPr id="2107" name="Option Button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16</xdr:row>
          <xdr:rowOff>19050</xdr:rowOff>
        </xdr:from>
        <xdr:to>
          <xdr:col>21</xdr:col>
          <xdr:colOff>257175</xdr:colOff>
          <xdr:row>16</xdr:row>
          <xdr:rowOff>285750</xdr:rowOff>
        </xdr:to>
        <xdr:sp macro="" textlink="">
          <xdr:nvSpPr>
            <xdr:cNvPr id="2121" name="Option Button 73" hidden="1">
              <a:extLst>
                <a:ext uri="{63B3BB69-23CF-44E3-9099-C40C66FF867C}">
                  <a14:compatExt spid="_x0000_s2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16</xdr:row>
          <xdr:rowOff>19050</xdr:rowOff>
        </xdr:from>
        <xdr:to>
          <xdr:col>22</xdr:col>
          <xdr:colOff>257175</xdr:colOff>
          <xdr:row>16</xdr:row>
          <xdr:rowOff>285750</xdr:rowOff>
        </xdr:to>
        <xdr:sp macro="" textlink="">
          <xdr:nvSpPr>
            <xdr:cNvPr id="2135" name="Option Button 87" hidden="1">
              <a:extLst>
                <a:ext uri="{63B3BB69-23CF-44E3-9099-C40C66FF867C}">
                  <a14:compatExt spid="_x0000_s2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16</xdr:row>
          <xdr:rowOff>19050</xdr:rowOff>
        </xdr:from>
        <xdr:to>
          <xdr:col>23</xdr:col>
          <xdr:colOff>257175</xdr:colOff>
          <xdr:row>16</xdr:row>
          <xdr:rowOff>285750</xdr:rowOff>
        </xdr:to>
        <xdr:sp macro="" textlink="">
          <xdr:nvSpPr>
            <xdr:cNvPr id="2149" name="Option Button 101" hidden="1">
              <a:extLst>
                <a:ext uri="{63B3BB69-23CF-44E3-9099-C40C66FF867C}">
                  <a14:compatExt spid="_x0000_s2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0</xdr:colOff>
          <xdr:row>19</xdr:row>
          <xdr:rowOff>9525</xdr:rowOff>
        </xdr:from>
        <xdr:to>
          <xdr:col>24</xdr:col>
          <xdr:colOff>0</xdr:colOff>
          <xdr:row>20</xdr:row>
          <xdr:rowOff>9525</xdr:rowOff>
        </xdr:to>
        <xdr:sp macro="" textlink="">
          <xdr:nvSpPr>
            <xdr:cNvPr id="2080" name="Group Box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19050</xdr:colOff>
          <xdr:row>19</xdr:row>
          <xdr:rowOff>19050</xdr:rowOff>
        </xdr:from>
        <xdr:to>
          <xdr:col>19</xdr:col>
          <xdr:colOff>257175</xdr:colOff>
          <xdr:row>19</xdr:row>
          <xdr:rowOff>285750</xdr:rowOff>
        </xdr:to>
        <xdr:sp macro="" textlink="">
          <xdr:nvSpPr>
            <xdr:cNvPr id="2095" name="Option Button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19</xdr:row>
          <xdr:rowOff>19050</xdr:rowOff>
        </xdr:from>
        <xdr:to>
          <xdr:col>20</xdr:col>
          <xdr:colOff>257175</xdr:colOff>
          <xdr:row>19</xdr:row>
          <xdr:rowOff>285750</xdr:rowOff>
        </xdr:to>
        <xdr:sp macro="" textlink="">
          <xdr:nvSpPr>
            <xdr:cNvPr id="2110" name="Option Button 62" hidden="1">
              <a:extLst>
                <a:ext uri="{63B3BB69-23CF-44E3-9099-C40C66FF867C}">
                  <a14:compatExt spid="_x0000_s2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19</xdr:row>
          <xdr:rowOff>19050</xdr:rowOff>
        </xdr:from>
        <xdr:to>
          <xdr:col>21</xdr:col>
          <xdr:colOff>257175</xdr:colOff>
          <xdr:row>19</xdr:row>
          <xdr:rowOff>285750</xdr:rowOff>
        </xdr:to>
        <xdr:sp macro="" textlink="">
          <xdr:nvSpPr>
            <xdr:cNvPr id="2124" name="Option Button 76" hidden="1">
              <a:extLst>
                <a:ext uri="{63B3BB69-23CF-44E3-9099-C40C66FF867C}">
                  <a14:compatExt spid="_x0000_s2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19</xdr:row>
          <xdr:rowOff>19050</xdr:rowOff>
        </xdr:from>
        <xdr:to>
          <xdr:col>22</xdr:col>
          <xdr:colOff>257175</xdr:colOff>
          <xdr:row>19</xdr:row>
          <xdr:rowOff>285750</xdr:rowOff>
        </xdr:to>
        <xdr:sp macro="" textlink="">
          <xdr:nvSpPr>
            <xdr:cNvPr id="2138" name="Option Button 90" hidden="1">
              <a:extLst>
                <a:ext uri="{63B3BB69-23CF-44E3-9099-C40C66FF867C}">
                  <a14:compatExt spid="_x0000_s2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19</xdr:row>
          <xdr:rowOff>19050</xdr:rowOff>
        </xdr:from>
        <xdr:to>
          <xdr:col>23</xdr:col>
          <xdr:colOff>257175</xdr:colOff>
          <xdr:row>19</xdr:row>
          <xdr:rowOff>285750</xdr:rowOff>
        </xdr:to>
        <xdr:sp macro="" textlink="">
          <xdr:nvSpPr>
            <xdr:cNvPr id="2152" name="Option Button 104" hidden="1">
              <a:extLst>
                <a:ext uri="{63B3BB69-23CF-44E3-9099-C40C66FF867C}">
                  <a14:compatExt spid="_x0000_s2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19050</xdr:colOff>
          <xdr:row>15</xdr:row>
          <xdr:rowOff>19050</xdr:rowOff>
        </xdr:from>
        <xdr:to>
          <xdr:col>19</xdr:col>
          <xdr:colOff>257175</xdr:colOff>
          <xdr:row>15</xdr:row>
          <xdr:rowOff>285750</xdr:rowOff>
        </xdr:to>
        <xdr:sp macro="" textlink="">
          <xdr:nvSpPr>
            <xdr:cNvPr id="2091" name="Option Button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15</xdr:row>
          <xdr:rowOff>19050</xdr:rowOff>
        </xdr:from>
        <xdr:to>
          <xdr:col>20</xdr:col>
          <xdr:colOff>257175</xdr:colOff>
          <xdr:row>15</xdr:row>
          <xdr:rowOff>285750</xdr:rowOff>
        </xdr:to>
        <xdr:sp macro="" textlink="">
          <xdr:nvSpPr>
            <xdr:cNvPr id="2106" name="Option Button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15</xdr:row>
          <xdr:rowOff>19050</xdr:rowOff>
        </xdr:from>
        <xdr:to>
          <xdr:col>21</xdr:col>
          <xdr:colOff>257175</xdr:colOff>
          <xdr:row>15</xdr:row>
          <xdr:rowOff>285750</xdr:rowOff>
        </xdr:to>
        <xdr:sp macro="" textlink="">
          <xdr:nvSpPr>
            <xdr:cNvPr id="2120" name="Option Button 72" hidden="1">
              <a:extLst>
                <a:ext uri="{63B3BB69-23CF-44E3-9099-C40C66FF867C}">
                  <a14:compatExt spid="_x0000_s2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15</xdr:row>
          <xdr:rowOff>19050</xdr:rowOff>
        </xdr:from>
        <xdr:to>
          <xdr:col>22</xdr:col>
          <xdr:colOff>257175</xdr:colOff>
          <xdr:row>15</xdr:row>
          <xdr:rowOff>285750</xdr:rowOff>
        </xdr:to>
        <xdr:sp macro="" textlink="">
          <xdr:nvSpPr>
            <xdr:cNvPr id="2134" name="Option Button 86" hidden="1">
              <a:extLst>
                <a:ext uri="{63B3BB69-23CF-44E3-9099-C40C66FF867C}">
                  <a14:compatExt spid="_x0000_s2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15</xdr:row>
          <xdr:rowOff>19050</xdr:rowOff>
        </xdr:from>
        <xdr:to>
          <xdr:col>23</xdr:col>
          <xdr:colOff>257175</xdr:colOff>
          <xdr:row>15</xdr:row>
          <xdr:rowOff>285750</xdr:rowOff>
        </xdr:to>
        <xdr:sp macro="" textlink="">
          <xdr:nvSpPr>
            <xdr:cNvPr id="2148" name="Option Button 100" hidden="1">
              <a:extLst>
                <a:ext uri="{63B3BB69-23CF-44E3-9099-C40C66FF867C}">
                  <a14:compatExt spid="_x0000_s2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0</xdr:colOff>
          <xdr:row>15</xdr:row>
          <xdr:rowOff>9525</xdr:rowOff>
        </xdr:from>
        <xdr:to>
          <xdr:col>24</xdr:col>
          <xdr:colOff>0</xdr:colOff>
          <xdr:row>16</xdr:row>
          <xdr:rowOff>9525</xdr:rowOff>
        </xdr:to>
        <xdr:sp macro="" textlink="">
          <xdr:nvSpPr>
            <xdr:cNvPr id="2076" name="Group Box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19050</xdr:colOff>
          <xdr:row>17</xdr:row>
          <xdr:rowOff>19050</xdr:rowOff>
        </xdr:from>
        <xdr:to>
          <xdr:col>19</xdr:col>
          <xdr:colOff>257175</xdr:colOff>
          <xdr:row>17</xdr:row>
          <xdr:rowOff>285750</xdr:rowOff>
        </xdr:to>
        <xdr:sp macro="" textlink="">
          <xdr:nvSpPr>
            <xdr:cNvPr id="2093" name="Option Button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17</xdr:row>
          <xdr:rowOff>19050</xdr:rowOff>
        </xdr:from>
        <xdr:to>
          <xdr:col>20</xdr:col>
          <xdr:colOff>257175</xdr:colOff>
          <xdr:row>17</xdr:row>
          <xdr:rowOff>285750</xdr:rowOff>
        </xdr:to>
        <xdr:sp macro="" textlink="">
          <xdr:nvSpPr>
            <xdr:cNvPr id="2108" name="Option Button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17</xdr:row>
          <xdr:rowOff>19050</xdr:rowOff>
        </xdr:from>
        <xdr:to>
          <xdr:col>21</xdr:col>
          <xdr:colOff>257175</xdr:colOff>
          <xdr:row>17</xdr:row>
          <xdr:rowOff>285750</xdr:rowOff>
        </xdr:to>
        <xdr:sp macro="" textlink="">
          <xdr:nvSpPr>
            <xdr:cNvPr id="2122" name="Option Button 74" hidden="1">
              <a:extLst>
                <a:ext uri="{63B3BB69-23CF-44E3-9099-C40C66FF867C}">
                  <a14:compatExt spid="_x0000_s2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17</xdr:row>
          <xdr:rowOff>19050</xdr:rowOff>
        </xdr:from>
        <xdr:to>
          <xdr:col>22</xdr:col>
          <xdr:colOff>257175</xdr:colOff>
          <xdr:row>17</xdr:row>
          <xdr:rowOff>285750</xdr:rowOff>
        </xdr:to>
        <xdr:sp macro="" textlink="">
          <xdr:nvSpPr>
            <xdr:cNvPr id="2136" name="Option Button 88" hidden="1">
              <a:extLst>
                <a:ext uri="{63B3BB69-23CF-44E3-9099-C40C66FF867C}">
                  <a14:compatExt spid="_x0000_s2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17</xdr:row>
          <xdr:rowOff>19050</xdr:rowOff>
        </xdr:from>
        <xdr:to>
          <xdr:col>23</xdr:col>
          <xdr:colOff>257175</xdr:colOff>
          <xdr:row>17</xdr:row>
          <xdr:rowOff>285750</xdr:rowOff>
        </xdr:to>
        <xdr:sp macro="" textlink="">
          <xdr:nvSpPr>
            <xdr:cNvPr id="2150" name="Option Button 102" hidden="1">
              <a:extLst>
                <a:ext uri="{63B3BB69-23CF-44E3-9099-C40C66FF867C}">
                  <a14:compatExt spid="_x0000_s2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0</xdr:colOff>
          <xdr:row>17</xdr:row>
          <xdr:rowOff>9525</xdr:rowOff>
        </xdr:from>
        <xdr:to>
          <xdr:col>24</xdr:col>
          <xdr:colOff>0</xdr:colOff>
          <xdr:row>18</xdr:row>
          <xdr:rowOff>9525</xdr:rowOff>
        </xdr:to>
        <xdr:sp macro="" textlink="">
          <xdr:nvSpPr>
            <xdr:cNvPr id="2078" name="Group Box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0</xdr:colOff>
          <xdr:row>13</xdr:row>
          <xdr:rowOff>9525</xdr:rowOff>
        </xdr:from>
        <xdr:to>
          <xdr:col>24</xdr:col>
          <xdr:colOff>0</xdr:colOff>
          <xdr:row>14</xdr:row>
          <xdr:rowOff>9525</xdr:rowOff>
        </xdr:to>
        <xdr:sp macro="" textlink="">
          <xdr:nvSpPr>
            <xdr:cNvPr id="2074" name="Group Box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19050</xdr:colOff>
          <xdr:row>13</xdr:row>
          <xdr:rowOff>19050</xdr:rowOff>
        </xdr:from>
        <xdr:to>
          <xdr:col>19</xdr:col>
          <xdr:colOff>257175</xdr:colOff>
          <xdr:row>13</xdr:row>
          <xdr:rowOff>285750</xdr:rowOff>
        </xdr:to>
        <xdr:sp macro="" textlink="">
          <xdr:nvSpPr>
            <xdr:cNvPr id="2104" name="Option Button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13</xdr:row>
          <xdr:rowOff>19050</xdr:rowOff>
        </xdr:from>
        <xdr:to>
          <xdr:col>20</xdr:col>
          <xdr:colOff>257175</xdr:colOff>
          <xdr:row>13</xdr:row>
          <xdr:rowOff>285750</xdr:rowOff>
        </xdr:to>
        <xdr:sp macro="" textlink="">
          <xdr:nvSpPr>
            <xdr:cNvPr id="2118" name="Option Button 70" hidden="1">
              <a:extLst>
                <a:ext uri="{63B3BB69-23CF-44E3-9099-C40C66FF867C}">
                  <a14:compatExt spid="_x0000_s2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13</xdr:row>
          <xdr:rowOff>19050</xdr:rowOff>
        </xdr:from>
        <xdr:to>
          <xdr:col>21</xdr:col>
          <xdr:colOff>257175</xdr:colOff>
          <xdr:row>14</xdr:row>
          <xdr:rowOff>0</xdr:rowOff>
        </xdr:to>
        <xdr:sp macro="" textlink="">
          <xdr:nvSpPr>
            <xdr:cNvPr id="2978" name="Option Button 930" hidden="1">
              <a:extLst>
                <a:ext uri="{63B3BB69-23CF-44E3-9099-C40C66FF867C}">
                  <a14:compatExt spid="_x0000_s29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13</xdr:row>
          <xdr:rowOff>19050</xdr:rowOff>
        </xdr:from>
        <xdr:to>
          <xdr:col>22</xdr:col>
          <xdr:colOff>257175</xdr:colOff>
          <xdr:row>14</xdr:row>
          <xdr:rowOff>0</xdr:rowOff>
        </xdr:to>
        <xdr:sp macro="" textlink="">
          <xdr:nvSpPr>
            <xdr:cNvPr id="2979" name="Option Button 931" hidden="1">
              <a:extLst>
                <a:ext uri="{63B3BB69-23CF-44E3-9099-C40C66FF867C}">
                  <a14:compatExt spid="_x0000_s29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13</xdr:row>
          <xdr:rowOff>19050</xdr:rowOff>
        </xdr:from>
        <xdr:to>
          <xdr:col>23</xdr:col>
          <xdr:colOff>257175</xdr:colOff>
          <xdr:row>14</xdr:row>
          <xdr:rowOff>0</xdr:rowOff>
        </xdr:to>
        <xdr:sp macro="" textlink="">
          <xdr:nvSpPr>
            <xdr:cNvPr id="2980" name="Option Button 932" hidden="1">
              <a:extLst>
                <a:ext uri="{63B3BB69-23CF-44E3-9099-C40C66FF867C}">
                  <a14:compatExt spid="_x0000_s29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19050</xdr:colOff>
          <xdr:row>14</xdr:row>
          <xdr:rowOff>19050</xdr:rowOff>
        </xdr:from>
        <xdr:to>
          <xdr:col>19</xdr:col>
          <xdr:colOff>257175</xdr:colOff>
          <xdr:row>14</xdr:row>
          <xdr:rowOff>285750</xdr:rowOff>
        </xdr:to>
        <xdr:sp macro="" textlink="">
          <xdr:nvSpPr>
            <xdr:cNvPr id="2105" name="Option Button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14</xdr:row>
          <xdr:rowOff>19050</xdr:rowOff>
        </xdr:from>
        <xdr:to>
          <xdr:col>20</xdr:col>
          <xdr:colOff>257175</xdr:colOff>
          <xdr:row>14</xdr:row>
          <xdr:rowOff>285750</xdr:rowOff>
        </xdr:to>
        <xdr:sp macro="" textlink="">
          <xdr:nvSpPr>
            <xdr:cNvPr id="2119" name="Option Button 71" hidden="1">
              <a:extLst>
                <a:ext uri="{63B3BB69-23CF-44E3-9099-C40C66FF867C}">
                  <a14:compatExt spid="_x0000_s2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14</xdr:row>
          <xdr:rowOff>19050</xdr:rowOff>
        </xdr:from>
        <xdr:to>
          <xdr:col>21</xdr:col>
          <xdr:colOff>257175</xdr:colOff>
          <xdr:row>14</xdr:row>
          <xdr:rowOff>285750</xdr:rowOff>
        </xdr:to>
        <xdr:sp macro="" textlink="">
          <xdr:nvSpPr>
            <xdr:cNvPr id="2133" name="Option Button 85" hidden="1">
              <a:extLst>
                <a:ext uri="{63B3BB69-23CF-44E3-9099-C40C66FF867C}">
                  <a14:compatExt spid="_x0000_s2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14</xdr:row>
          <xdr:rowOff>19050</xdr:rowOff>
        </xdr:from>
        <xdr:to>
          <xdr:col>22</xdr:col>
          <xdr:colOff>257175</xdr:colOff>
          <xdr:row>14</xdr:row>
          <xdr:rowOff>285750</xdr:rowOff>
        </xdr:to>
        <xdr:sp macro="" textlink="">
          <xdr:nvSpPr>
            <xdr:cNvPr id="2147" name="Option Button 99" hidden="1">
              <a:extLst>
                <a:ext uri="{63B3BB69-23CF-44E3-9099-C40C66FF867C}">
                  <a14:compatExt spid="_x0000_s2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0</xdr:colOff>
          <xdr:row>14</xdr:row>
          <xdr:rowOff>9525</xdr:rowOff>
        </xdr:from>
        <xdr:to>
          <xdr:col>24</xdr:col>
          <xdr:colOff>0</xdr:colOff>
          <xdr:row>15</xdr:row>
          <xdr:rowOff>9525</xdr:rowOff>
        </xdr:to>
        <xdr:sp macro="" textlink="">
          <xdr:nvSpPr>
            <xdr:cNvPr id="2075" name="Group Box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14</xdr:row>
          <xdr:rowOff>19050</xdr:rowOff>
        </xdr:from>
        <xdr:to>
          <xdr:col>23</xdr:col>
          <xdr:colOff>257175</xdr:colOff>
          <xdr:row>15</xdr:row>
          <xdr:rowOff>0</xdr:rowOff>
        </xdr:to>
        <xdr:sp macro="" textlink="">
          <xdr:nvSpPr>
            <xdr:cNvPr id="2981" name="Option Button 933" hidden="1">
              <a:extLst>
                <a:ext uri="{63B3BB69-23CF-44E3-9099-C40C66FF867C}">
                  <a14:compatExt spid="_x0000_s29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0</xdr:colOff>
          <xdr:row>18</xdr:row>
          <xdr:rowOff>9525</xdr:rowOff>
        </xdr:from>
        <xdr:to>
          <xdr:col>24</xdr:col>
          <xdr:colOff>0</xdr:colOff>
          <xdr:row>19</xdr:row>
          <xdr:rowOff>9525</xdr:rowOff>
        </xdr:to>
        <xdr:sp macro="" textlink="">
          <xdr:nvSpPr>
            <xdr:cNvPr id="2079" name="Group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19050</xdr:colOff>
          <xdr:row>18</xdr:row>
          <xdr:rowOff>19050</xdr:rowOff>
        </xdr:from>
        <xdr:to>
          <xdr:col>19</xdr:col>
          <xdr:colOff>257175</xdr:colOff>
          <xdr:row>18</xdr:row>
          <xdr:rowOff>285750</xdr:rowOff>
        </xdr:to>
        <xdr:sp macro="" textlink="">
          <xdr:nvSpPr>
            <xdr:cNvPr id="2109" name="Option Button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18</xdr:row>
          <xdr:rowOff>19050</xdr:rowOff>
        </xdr:from>
        <xdr:to>
          <xdr:col>20</xdr:col>
          <xdr:colOff>257175</xdr:colOff>
          <xdr:row>18</xdr:row>
          <xdr:rowOff>285750</xdr:rowOff>
        </xdr:to>
        <xdr:sp macro="" textlink="">
          <xdr:nvSpPr>
            <xdr:cNvPr id="2123" name="Option Button 75" hidden="1">
              <a:extLst>
                <a:ext uri="{63B3BB69-23CF-44E3-9099-C40C66FF867C}">
                  <a14:compatExt spid="_x0000_s2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18</xdr:row>
          <xdr:rowOff>19050</xdr:rowOff>
        </xdr:from>
        <xdr:to>
          <xdr:col>21</xdr:col>
          <xdr:colOff>257175</xdr:colOff>
          <xdr:row>18</xdr:row>
          <xdr:rowOff>285750</xdr:rowOff>
        </xdr:to>
        <xdr:sp macro="" textlink="">
          <xdr:nvSpPr>
            <xdr:cNvPr id="2137" name="Option Button 89" hidden="1">
              <a:extLst>
                <a:ext uri="{63B3BB69-23CF-44E3-9099-C40C66FF867C}">
                  <a14:compatExt spid="_x0000_s2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18</xdr:row>
          <xdr:rowOff>19050</xdr:rowOff>
        </xdr:from>
        <xdr:to>
          <xdr:col>22</xdr:col>
          <xdr:colOff>257175</xdr:colOff>
          <xdr:row>18</xdr:row>
          <xdr:rowOff>285750</xdr:rowOff>
        </xdr:to>
        <xdr:sp macro="" textlink="">
          <xdr:nvSpPr>
            <xdr:cNvPr id="2151" name="Option Button 103" hidden="1">
              <a:extLst>
                <a:ext uri="{63B3BB69-23CF-44E3-9099-C40C66FF867C}">
                  <a14:compatExt spid="_x0000_s2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18</xdr:row>
          <xdr:rowOff>19050</xdr:rowOff>
        </xdr:from>
        <xdr:to>
          <xdr:col>23</xdr:col>
          <xdr:colOff>257175</xdr:colOff>
          <xdr:row>19</xdr:row>
          <xdr:rowOff>0</xdr:rowOff>
        </xdr:to>
        <xdr:sp macro="" textlink="">
          <xdr:nvSpPr>
            <xdr:cNvPr id="2982" name="Option Button 934" hidden="1">
              <a:extLst>
                <a:ext uri="{63B3BB69-23CF-44E3-9099-C40C66FF867C}">
                  <a14:compatExt spid="_x0000_s29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56</xdr:row>
          <xdr:rowOff>9525</xdr:rowOff>
        </xdr:from>
        <xdr:to>
          <xdr:col>25</xdr:col>
          <xdr:colOff>9525</xdr:colOff>
          <xdr:row>57</xdr:row>
          <xdr:rowOff>0</xdr:rowOff>
        </xdr:to>
        <xdr:sp macro="" textlink="">
          <xdr:nvSpPr>
            <xdr:cNvPr id="2211" name="Group Box 163" hidden="1">
              <a:extLst>
                <a:ext uri="{63B3BB69-23CF-44E3-9099-C40C66FF867C}">
                  <a14:compatExt spid="_x0000_s2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38100</xdr:colOff>
          <xdr:row>56</xdr:row>
          <xdr:rowOff>438150</xdr:rowOff>
        </xdr:from>
        <xdr:to>
          <xdr:col>21</xdr:col>
          <xdr:colOff>19050</xdr:colOff>
          <xdr:row>56</xdr:row>
          <xdr:rowOff>1447800</xdr:rowOff>
        </xdr:to>
        <xdr:sp macro="" textlink="">
          <xdr:nvSpPr>
            <xdr:cNvPr id="2218" name="Option Button 170" hidden="1">
              <a:extLst>
                <a:ext uri="{63B3BB69-23CF-44E3-9099-C40C66FF867C}">
                  <a14:compatExt spid="_x0000_s2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38100</xdr:colOff>
          <xdr:row>56</xdr:row>
          <xdr:rowOff>438150</xdr:rowOff>
        </xdr:from>
        <xdr:to>
          <xdr:col>22</xdr:col>
          <xdr:colOff>19050</xdr:colOff>
          <xdr:row>56</xdr:row>
          <xdr:rowOff>1447800</xdr:rowOff>
        </xdr:to>
        <xdr:sp macro="" textlink="">
          <xdr:nvSpPr>
            <xdr:cNvPr id="2221" name="Option Button 173" hidden="1">
              <a:extLst>
                <a:ext uri="{63B3BB69-23CF-44E3-9099-C40C66FF867C}">
                  <a14:compatExt spid="_x0000_s2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38100</xdr:colOff>
          <xdr:row>56</xdr:row>
          <xdr:rowOff>438150</xdr:rowOff>
        </xdr:from>
        <xdr:to>
          <xdr:col>23</xdr:col>
          <xdr:colOff>19050</xdr:colOff>
          <xdr:row>56</xdr:row>
          <xdr:rowOff>1447800</xdr:rowOff>
        </xdr:to>
        <xdr:sp macro="" textlink="">
          <xdr:nvSpPr>
            <xdr:cNvPr id="2224" name="Option Button 176" hidden="1">
              <a:extLst>
                <a:ext uri="{63B3BB69-23CF-44E3-9099-C40C66FF867C}">
                  <a14:compatExt spid="_x0000_s2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56</xdr:row>
          <xdr:rowOff>438150</xdr:rowOff>
        </xdr:from>
        <xdr:to>
          <xdr:col>24</xdr:col>
          <xdr:colOff>0</xdr:colOff>
          <xdr:row>56</xdr:row>
          <xdr:rowOff>1447800</xdr:rowOff>
        </xdr:to>
        <xdr:sp macro="" textlink="">
          <xdr:nvSpPr>
            <xdr:cNvPr id="2227" name="Option Button 179" hidden="1">
              <a:extLst>
                <a:ext uri="{63B3BB69-23CF-44E3-9099-C40C66FF867C}">
                  <a14:compatExt spid="_x0000_s2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19050</xdr:colOff>
          <xdr:row>56</xdr:row>
          <xdr:rowOff>438150</xdr:rowOff>
        </xdr:from>
        <xdr:to>
          <xdr:col>25</xdr:col>
          <xdr:colOff>0</xdr:colOff>
          <xdr:row>56</xdr:row>
          <xdr:rowOff>1447800</xdr:rowOff>
        </xdr:to>
        <xdr:sp macro="" textlink="">
          <xdr:nvSpPr>
            <xdr:cNvPr id="3005" name="Option Button 957" hidden="1">
              <a:extLst>
                <a:ext uri="{63B3BB69-23CF-44E3-9099-C40C66FF867C}">
                  <a14:compatExt spid="_x0000_s30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38100</xdr:colOff>
          <xdr:row>57</xdr:row>
          <xdr:rowOff>800100</xdr:rowOff>
        </xdr:from>
        <xdr:to>
          <xdr:col>21</xdr:col>
          <xdr:colOff>19050</xdr:colOff>
          <xdr:row>57</xdr:row>
          <xdr:rowOff>990600</xdr:rowOff>
        </xdr:to>
        <xdr:sp macro="" textlink="">
          <xdr:nvSpPr>
            <xdr:cNvPr id="2219" name="Option Button 171" hidden="1">
              <a:extLst>
                <a:ext uri="{63B3BB69-23CF-44E3-9099-C40C66FF867C}">
                  <a14:compatExt spid="_x0000_s2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38100</xdr:colOff>
          <xdr:row>57</xdr:row>
          <xdr:rowOff>800100</xdr:rowOff>
        </xdr:from>
        <xdr:to>
          <xdr:col>22</xdr:col>
          <xdr:colOff>19050</xdr:colOff>
          <xdr:row>57</xdr:row>
          <xdr:rowOff>990600</xdr:rowOff>
        </xdr:to>
        <xdr:sp macro="" textlink="">
          <xdr:nvSpPr>
            <xdr:cNvPr id="2222" name="Option Button 174" hidden="1">
              <a:extLst>
                <a:ext uri="{63B3BB69-23CF-44E3-9099-C40C66FF867C}">
                  <a14:compatExt spid="_x0000_s2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38100</xdr:colOff>
          <xdr:row>57</xdr:row>
          <xdr:rowOff>800100</xdr:rowOff>
        </xdr:from>
        <xdr:to>
          <xdr:col>23</xdr:col>
          <xdr:colOff>19050</xdr:colOff>
          <xdr:row>57</xdr:row>
          <xdr:rowOff>990600</xdr:rowOff>
        </xdr:to>
        <xdr:sp macro="" textlink="">
          <xdr:nvSpPr>
            <xdr:cNvPr id="2225" name="Option Button 177" hidden="1">
              <a:extLst>
                <a:ext uri="{63B3BB69-23CF-44E3-9099-C40C66FF867C}">
                  <a14:compatExt spid="_x0000_s2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38100</xdr:colOff>
          <xdr:row>57</xdr:row>
          <xdr:rowOff>800100</xdr:rowOff>
        </xdr:from>
        <xdr:to>
          <xdr:col>24</xdr:col>
          <xdr:colOff>19050</xdr:colOff>
          <xdr:row>57</xdr:row>
          <xdr:rowOff>990600</xdr:rowOff>
        </xdr:to>
        <xdr:sp macro="" textlink="">
          <xdr:nvSpPr>
            <xdr:cNvPr id="2228" name="Option Button 180" hidden="1">
              <a:extLst>
                <a:ext uri="{63B3BB69-23CF-44E3-9099-C40C66FF867C}">
                  <a14:compatExt spid="_x0000_s2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57</xdr:row>
          <xdr:rowOff>9525</xdr:rowOff>
        </xdr:from>
        <xdr:to>
          <xdr:col>25</xdr:col>
          <xdr:colOff>9525</xdr:colOff>
          <xdr:row>58</xdr:row>
          <xdr:rowOff>0</xdr:rowOff>
        </xdr:to>
        <xdr:sp macro="" textlink="">
          <xdr:nvSpPr>
            <xdr:cNvPr id="2212" name="Group Box 164" hidden="1">
              <a:extLst>
                <a:ext uri="{63B3BB69-23CF-44E3-9099-C40C66FF867C}">
                  <a14:compatExt spid="_x0000_s2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38100</xdr:colOff>
          <xdr:row>57</xdr:row>
          <xdr:rowOff>800100</xdr:rowOff>
        </xdr:from>
        <xdr:to>
          <xdr:col>25</xdr:col>
          <xdr:colOff>19050</xdr:colOff>
          <xdr:row>57</xdr:row>
          <xdr:rowOff>990600</xdr:rowOff>
        </xdr:to>
        <xdr:sp macro="" textlink="">
          <xdr:nvSpPr>
            <xdr:cNvPr id="3006" name="Option Button 958" hidden="1">
              <a:extLst>
                <a:ext uri="{63B3BB69-23CF-44E3-9099-C40C66FF867C}">
                  <a14:compatExt spid="_x0000_s30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38100</xdr:colOff>
          <xdr:row>58</xdr:row>
          <xdr:rowOff>800100</xdr:rowOff>
        </xdr:from>
        <xdr:to>
          <xdr:col>21</xdr:col>
          <xdr:colOff>19050</xdr:colOff>
          <xdr:row>58</xdr:row>
          <xdr:rowOff>990600</xdr:rowOff>
        </xdr:to>
        <xdr:sp macro="" textlink="">
          <xdr:nvSpPr>
            <xdr:cNvPr id="2220" name="Option Button 172" hidden="1">
              <a:extLst>
                <a:ext uri="{63B3BB69-23CF-44E3-9099-C40C66FF867C}">
                  <a14:compatExt spid="_x0000_s2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38100</xdr:colOff>
          <xdr:row>58</xdr:row>
          <xdr:rowOff>800100</xdr:rowOff>
        </xdr:from>
        <xdr:to>
          <xdr:col>22</xdr:col>
          <xdr:colOff>19050</xdr:colOff>
          <xdr:row>58</xdr:row>
          <xdr:rowOff>990600</xdr:rowOff>
        </xdr:to>
        <xdr:sp macro="" textlink="">
          <xdr:nvSpPr>
            <xdr:cNvPr id="2223" name="Option Button 175" hidden="1">
              <a:extLst>
                <a:ext uri="{63B3BB69-23CF-44E3-9099-C40C66FF867C}">
                  <a14:compatExt spid="_x0000_s2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38100</xdr:colOff>
          <xdr:row>58</xdr:row>
          <xdr:rowOff>800100</xdr:rowOff>
        </xdr:from>
        <xdr:to>
          <xdr:col>23</xdr:col>
          <xdr:colOff>19050</xdr:colOff>
          <xdr:row>58</xdr:row>
          <xdr:rowOff>990600</xdr:rowOff>
        </xdr:to>
        <xdr:sp macro="" textlink="">
          <xdr:nvSpPr>
            <xdr:cNvPr id="2226" name="Option Button 178" hidden="1">
              <a:extLst>
                <a:ext uri="{63B3BB69-23CF-44E3-9099-C40C66FF867C}">
                  <a14:compatExt spid="_x0000_s2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38100</xdr:colOff>
          <xdr:row>58</xdr:row>
          <xdr:rowOff>800100</xdr:rowOff>
        </xdr:from>
        <xdr:to>
          <xdr:col>24</xdr:col>
          <xdr:colOff>19050</xdr:colOff>
          <xdr:row>58</xdr:row>
          <xdr:rowOff>990600</xdr:rowOff>
        </xdr:to>
        <xdr:sp macro="" textlink="">
          <xdr:nvSpPr>
            <xdr:cNvPr id="2229" name="Option Button 181" hidden="1">
              <a:extLst>
                <a:ext uri="{63B3BB69-23CF-44E3-9099-C40C66FF867C}">
                  <a14:compatExt spid="_x0000_s2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58</xdr:row>
          <xdr:rowOff>9525</xdr:rowOff>
        </xdr:from>
        <xdr:to>
          <xdr:col>25</xdr:col>
          <xdr:colOff>9525</xdr:colOff>
          <xdr:row>59</xdr:row>
          <xdr:rowOff>0</xdr:rowOff>
        </xdr:to>
        <xdr:sp macro="" textlink="">
          <xdr:nvSpPr>
            <xdr:cNvPr id="2213" name="Group Box 165" hidden="1">
              <a:extLst>
                <a:ext uri="{63B3BB69-23CF-44E3-9099-C40C66FF867C}">
                  <a14:compatExt spid="_x0000_s2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38100</xdr:colOff>
          <xdr:row>58</xdr:row>
          <xdr:rowOff>800100</xdr:rowOff>
        </xdr:from>
        <xdr:to>
          <xdr:col>25</xdr:col>
          <xdr:colOff>19050</xdr:colOff>
          <xdr:row>58</xdr:row>
          <xdr:rowOff>990600</xdr:rowOff>
        </xdr:to>
        <xdr:sp macro="" textlink="">
          <xdr:nvSpPr>
            <xdr:cNvPr id="3007" name="Option Button 959" hidden="1">
              <a:extLst>
                <a:ext uri="{63B3BB69-23CF-44E3-9099-C40C66FF867C}">
                  <a14:compatExt spid="_x0000_s30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77</xdr:row>
          <xdr:rowOff>9525</xdr:rowOff>
        </xdr:from>
        <xdr:to>
          <xdr:col>25</xdr:col>
          <xdr:colOff>0</xdr:colOff>
          <xdr:row>78</xdr:row>
          <xdr:rowOff>0</xdr:rowOff>
        </xdr:to>
        <xdr:sp macro="" textlink="">
          <xdr:nvSpPr>
            <xdr:cNvPr id="2230" name="Group Box 182" hidden="1">
              <a:extLst>
                <a:ext uri="{63B3BB69-23CF-44E3-9099-C40C66FF867C}">
                  <a14:compatExt spid="_x0000_s2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77</xdr:row>
          <xdr:rowOff>457200</xdr:rowOff>
        </xdr:from>
        <xdr:to>
          <xdr:col>20</xdr:col>
          <xdr:colOff>257175</xdr:colOff>
          <xdr:row>77</xdr:row>
          <xdr:rowOff>1581150</xdr:rowOff>
        </xdr:to>
        <xdr:sp macro="" textlink="">
          <xdr:nvSpPr>
            <xdr:cNvPr id="2236" name="Option Button 188" hidden="1">
              <a:extLst>
                <a:ext uri="{63B3BB69-23CF-44E3-9099-C40C66FF867C}">
                  <a14:compatExt spid="_x0000_s2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77</xdr:row>
          <xdr:rowOff>457200</xdr:rowOff>
        </xdr:from>
        <xdr:to>
          <xdr:col>21</xdr:col>
          <xdr:colOff>257175</xdr:colOff>
          <xdr:row>77</xdr:row>
          <xdr:rowOff>1581150</xdr:rowOff>
        </xdr:to>
        <xdr:sp macro="" textlink="">
          <xdr:nvSpPr>
            <xdr:cNvPr id="2239" name="Option Button 191" hidden="1">
              <a:extLst>
                <a:ext uri="{63B3BB69-23CF-44E3-9099-C40C66FF867C}">
                  <a14:compatExt spid="_x0000_s2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77</xdr:row>
          <xdr:rowOff>457200</xdr:rowOff>
        </xdr:from>
        <xdr:to>
          <xdr:col>22</xdr:col>
          <xdr:colOff>257175</xdr:colOff>
          <xdr:row>77</xdr:row>
          <xdr:rowOff>1581150</xdr:rowOff>
        </xdr:to>
        <xdr:sp macro="" textlink="">
          <xdr:nvSpPr>
            <xdr:cNvPr id="2242" name="Option Button 194" hidden="1">
              <a:extLst>
                <a:ext uri="{63B3BB69-23CF-44E3-9099-C40C66FF867C}">
                  <a14:compatExt spid="_x0000_s2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77</xdr:row>
          <xdr:rowOff>457200</xdr:rowOff>
        </xdr:from>
        <xdr:to>
          <xdr:col>23</xdr:col>
          <xdr:colOff>257175</xdr:colOff>
          <xdr:row>77</xdr:row>
          <xdr:rowOff>1581150</xdr:rowOff>
        </xdr:to>
        <xdr:sp macro="" textlink="">
          <xdr:nvSpPr>
            <xdr:cNvPr id="2245" name="Option Button 197" hidden="1">
              <a:extLst>
                <a:ext uri="{63B3BB69-23CF-44E3-9099-C40C66FF867C}">
                  <a14:compatExt spid="_x0000_s2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19050</xdr:colOff>
          <xdr:row>77</xdr:row>
          <xdr:rowOff>457200</xdr:rowOff>
        </xdr:from>
        <xdr:to>
          <xdr:col>24</xdr:col>
          <xdr:colOff>257175</xdr:colOff>
          <xdr:row>77</xdr:row>
          <xdr:rowOff>1581150</xdr:rowOff>
        </xdr:to>
        <xdr:sp macro="" textlink="">
          <xdr:nvSpPr>
            <xdr:cNvPr id="3008" name="Option Button 960" hidden="1">
              <a:extLst>
                <a:ext uri="{63B3BB69-23CF-44E3-9099-C40C66FF867C}">
                  <a14:compatExt spid="_x0000_s30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78</xdr:row>
          <xdr:rowOff>895350</xdr:rowOff>
        </xdr:from>
        <xdr:to>
          <xdr:col>20</xdr:col>
          <xdr:colOff>257175</xdr:colOff>
          <xdr:row>78</xdr:row>
          <xdr:rowOff>1104900</xdr:rowOff>
        </xdr:to>
        <xdr:sp macro="" textlink="">
          <xdr:nvSpPr>
            <xdr:cNvPr id="2237" name="Option Button 189" hidden="1">
              <a:extLst>
                <a:ext uri="{63B3BB69-23CF-44E3-9099-C40C66FF867C}">
                  <a14:compatExt spid="_x0000_s2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78</xdr:row>
          <xdr:rowOff>895350</xdr:rowOff>
        </xdr:from>
        <xdr:to>
          <xdr:col>21</xdr:col>
          <xdr:colOff>257175</xdr:colOff>
          <xdr:row>78</xdr:row>
          <xdr:rowOff>1104900</xdr:rowOff>
        </xdr:to>
        <xdr:sp macro="" textlink="">
          <xdr:nvSpPr>
            <xdr:cNvPr id="2240" name="Option Button 192" hidden="1">
              <a:extLst>
                <a:ext uri="{63B3BB69-23CF-44E3-9099-C40C66FF867C}">
                  <a14:compatExt spid="_x0000_s2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78</xdr:row>
          <xdr:rowOff>895350</xdr:rowOff>
        </xdr:from>
        <xdr:to>
          <xdr:col>22</xdr:col>
          <xdr:colOff>257175</xdr:colOff>
          <xdr:row>78</xdr:row>
          <xdr:rowOff>1104900</xdr:rowOff>
        </xdr:to>
        <xdr:sp macro="" textlink="">
          <xdr:nvSpPr>
            <xdr:cNvPr id="2243" name="Option Button 195" hidden="1">
              <a:extLst>
                <a:ext uri="{63B3BB69-23CF-44E3-9099-C40C66FF867C}">
                  <a14:compatExt spid="_x0000_s2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78</xdr:row>
          <xdr:rowOff>895350</xdr:rowOff>
        </xdr:from>
        <xdr:to>
          <xdr:col>23</xdr:col>
          <xdr:colOff>257175</xdr:colOff>
          <xdr:row>78</xdr:row>
          <xdr:rowOff>1104900</xdr:rowOff>
        </xdr:to>
        <xdr:sp macro="" textlink="">
          <xdr:nvSpPr>
            <xdr:cNvPr id="2246" name="Option Button 198" hidden="1">
              <a:extLst>
                <a:ext uri="{63B3BB69-23CF-44E3-9099-C40C66FF867C}">
                  <a14:compatExt spid="_x0000_s2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78</xdr:row>
          <xdr:rowOff>9525</xdr:rowOff>
        </xdr:from>
        <xdr:to>
          <xdr:col>25</xdr:col>
          <xdr:colOff>0</xdr:colOff>
          <xdr:row>79</xdr:row>
          <xdr:rowOff>0</xdr:rowOff>
        </xdr:to>
        <xdr:sp macro="" textlink="">
          <xdr:nvSpPr>
            <xdr:cNvPr id="2231" name="Group Box 183" hidden="1">
              <a:extLst>
                <a:ext uri="{63B3BB69-23CF-44E3-9099-C40C66FF867C}">
                  <a14:compatExt spid="_x0000_s2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19050</xdr:colOff>
          <xdr:row>78</xdr:row>
          <xdr:rowOff>895350</xdr:rowOff>
        </xdr:from>
        <xdr:to>
          <xdr:col>24</xdr:col>
          <xdr:colOff>257175</xdr:colOff>
          <xdr:row>78</xdr:row>
          <xdr:rowOff>1104900</xdr:rowOff>
        </xdr:to>
        <xdr:sp macro="" textlink="">
          <xdr:nvSpPr>
            <xdr:cNvPr id="3009" name="Option Button 961" hidden="1">
              <a:extLst>
                <a:ext uri="{63B3BB69-23CF-44E3-9099-C40C66FF867C}">
                  <a14:compatExt spid="_x0000_s30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79</xdr:row>
          <xdr:rowOff>895350</xdr:rowOff>
        </xdr:from>
        <xdr:to>
          <xdr:col>20</xdr:col>
          <xdr:colOff>257175</xdr:colOff>
          <xdr:row>79</xdr:row>
          <xdr:rowOff>1104900</xdr:rowOff>
        </xdr:to>
        <xdr:sp macro="" textlink="">
          <xdr:nvSpPr>
            <xdr:cNvPr id="2238" name="Option Button 190" hidden="1">
              <a:extLst>
                <a:ext uri="{63B3BB69-23CF-44E3-9099-C40C66FF867C}">
                  <a14:compatExt spid="_x0000_s2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79</xdr:row>
          <xdr:rowOff>895350</xdr:rowOff>
        </xdr:from>
        <xdr:to>
          <xdr:col>21</xdr:col>
          <xdr:colOff>257175</xdr:colOff>
          <xdr:row>79</xdr:row>
          <xdr:rowOff>1104900</xdr:rowOff>
        </xdr:to>
        <xdr:sp macro="" textlink="">
          <xdr:nvSpPr>
            <xdr:cNvPr id="2241" name="Option Button 193" hidden="1">
              <a:extLst>
                <a:ext uri="{63B3BB69-23CF-44E3-9099-C40C66FF867C}">
                  <a14:compatExt spid="_x0000_s2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79</xdr:row>
          <xdr:rowOff>895350</xdr:rowOff>
        </xdr:from>
        <xdr:to>
          <xdr:col>22</xdr:col>
          <xdr:colOff>257175</xdr:colOff>
          <xdr:row>79</xdr:row>
          <xdr:rowOff>1104900</xdr:rowOff>
        </xdr:to>
        <xdr:sp macro="" textlink="">
          <xdr:nvSpPr>
            <xdr:cNvPr id="2244" name="Option Button 196" hidden="1">
              <a:extLst>
                <a:ext uri="{63B3BB69-23CF-44E3-9099-C40C66FF867C}">
                  <a14:compatExt spid="_x0000_s2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79</xdr:row>
          <xdr:rowOff>895350</xdr:rowOff>
        </xdr:from>
        <xdr:to>
          <xdr:col>23</xdr:col>
          <xdr:colOff>257175</xdr:colOff>
          <xdr:row>79</xdr:row>
          <xdr:rowOff>1104900</xdr:rowOff>
        </xdr:to>
        <xdr:sp macro="" textlink="">
          <xdr:nvSpPr>
            <xdr:cNvPr id="2247" name="Option Button 199" hidden="1">
              <a:extLst>
                <a:ext uri="{63B3BB69-23CF-44E3-9099-C40C66FF867C}">
                  <a14:compatExt spid="_x0000_s2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79</xdr:row>
          <xdr:rowOff>9525</xdr:rowOff>
        </xdr:from>
        <xdr:to>
          <xdr:col>25</xdr:col>
          <xdr:colOff>0</xdr:colOff>
          <xdr:row>80</xdr:row>
          <xdr:rowOff>0</xdr:rowOff>
        </xdr:to>
        <xdr:sp macro="" textlink="">
          <xdr:nvSpPr>
            <xdr:cNvPr id="2232" name="Group Box 184" hidden="1">
              <a:extLst>
                <a:ext uri="{63B3BB69-23CF-44E3-9099-C40C66FF867C}">
                  <a14:compatExt spid="_x0000_s2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19050</xdr:colOff>
          <xdr:row>79</xdr:row>
          <xdr:rowOff>895350</xdr:rowOff>
        </xdr:from>
        <xdr:to>
          <xdr:col>24</xdr:col>
          <xdr:colOff>257175</xdr:colOff>
          <xdr:row>79</xdr:row>
          <xdr:rowOff>1104900</xdr:rowOff>
        </xdr:to>
        <xdr:sp macro="" textlink="">
          <xdr:nvSpPr>
            <xdr:cNvPr id="3010" name="Option Button 962" hidden="1">
              <a:extLst>
                <a:ext uri="{63B3BB69-23CF-44E3-9099-C40C66FF867C}">
                  <a14:compatExt spid="_x0000_s30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106</xdr:row>
          <xdr:rowOff>9525</xdr:rowOff>
        </xdr:from>
        <xdr:to>
          <xdr:col>25</xdr:col>
          <xdr:colOff>9525</xdr:colOff>
          <xdr:row>108</xdr:row>
          <xdr:rowOff>0</xdr:rowOff>
        </xdr:to>
        <xdr:sp macro="" textlink="">
          <xdr:nvSpPr>
            <xdr:cNvPr id="2267" name="Group Box 219" hidden="1">
              <a:extLst>
                <a:ext uri="{63B3BB69-23CF-44E3-9099-C40C66FF867C}">
                  <a14:compatExt spid="_x0000_s2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19050</xdr:colOff>
          <xdr:row>106</xdr:row>
          <xdr:rowOff>323850</xdr:rowOff>
        </xdr:from>
        <xdr:to>
          <xdr:col>20</xdr:col>
          <xdr:colOff>257175</xdr:colOff>
          <xdr:row>107</xdr:row>
          <xdr:rowOff>762000</xdr:rowOff>
        </xdr:to>
        <xdr:sp macro="" textlink="">
          <xdr:nvSpPr>
            <xdr:cNvPr id="2275" name="Option Button 227" hidden="1">
              <a:extLst>
                <a:ext uri="{63B3BB69-23CF-44E3-9099-C40C66FF867C}">
                  <a14:compatExt spid="_x0000_s2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19050</xdr:colOff>
          <xdr:row>106</xdr:row>
          <xdr:rowOff>333375</xdr:rowOff>
        </xdr:from>
        <xdr:to>
          <xdr:col>21</xdr:col>
          <xdr:colOff>257175</xdr:colOff>
          <xdr:row>107</xdr:row>
          <xdr:rowOff>762000</xdr:rowOff>
        </xdr:to>
        <xdr:sp macro="" textlink="">
          <xdr:nvSpPr>
            <xdr:cNvPr id="2279" name="Option Button 231" hidden="1">
              <a:extLst>
                <a:ext uri="{63B3BB69-23CF-44E3-9099-C40C66FF867C}">
                  <a14:compatExt spid="_x0000_s2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19050</xdr:colOff>
          <xdr:row>106</xdr:row>
          <xdr:rowOff>333375</xdr:rowOff>
        </xdr:from>
        <xdr:to>
          <xdr:col>22</xdr:col>
          <xdr:colOff>257175</xdr:colOff>
          <xdr:row>107</xdr:row>
          <xdr:rowOff>762000</xdr:rowOff>
        </xdr:to>
        <xdr:sp macro="" textlink="">
          <xdr:nvSpPr>
            <xdr:cNvPr id="2283" name="Option Button 235" hidden="1">
              <a:extLst>
                <a:ext uri="{63B3BB69-23CF-44E3-9099-C40C66FF867C}">
                  <a14:compatExt spid="_x0000_s2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19050</xdr:colOff>
          <xdr:row>106</xdr:row>
          <xdr:rowOff>352425</xdr:rowOff>
        </xdr:from>
        <xdr:to>
          <xdr:col>23</xdr:col>
          <xdr:colOff>257175</xdr:colOff>
          <xdr:row>107</xdr:row>
          <xdr:rowOff>762000</xdr:rowOff>
        </xdr:to>
        <xdr:sp macro="" textlink="">
          <xdr:nvSpPr>
            <xdr:cNvPr id="2287" name="Option Button 239" hidden="1">
              <a:extLst>
                <a:ext uri="{63B3BB69-23CF-44E3-9099-C40C66FF867C}">
                  <a14:compatExt spid="_x0000_s2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19050</xdr:colOff>
          <xdr:row>106</xdr:row>
          <xdr:rowOff>352425</xdr:rowOff>
        </xdr:from>
        <xdr:to>
          <xdr:col>24</xdr:col>
          <xdr:colOff>257175</xdr:colOff>
          <xdr:row>107</xdr:row>
          <xdr:rowOff>762000</xdr:rowOff>
        </xdr:to>
        <xdr:sp macro="" textlink="">
          <xdr:nvSpPr>
            <xdr:cNvPr id="3011" name="Option Button 963" hidden="1">
              <a:extLst>
                <a:ext uri="{63B3BB69-23CF-44E3-9099-C40C66FF867C}">
                  <a14:compatExt spid="_x0000_s3011"/>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11</xdr:col>
      <xdr:colOff>103095</xdr:colOff>
      <xdr:row>18</xdr:row>
      <xdr:rowOff>1285875</xdr:rowOff>
    </xdr:to>
    <xdr:sp macro="" textlink="">
      <xdr:nvSpPr>
        <xdr:cNvPr id="1093807"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3808"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809"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810"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11"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812" name="Option Button 38"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813" name="Option Button 44"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14"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815" name="Option Button 50"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16"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817" name="Option Button 68"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514350</xdr:rowOff>
    </xdr:from>
    <xdr:to>
      <xdr:col>7</xdr:col>
      <xdr:colOff>257175</xdr:colOff>
      <xdr:row>18</xdr:row>
      <xdr:rowOff>704850</xdr:rowOff>
    </xdr:to>
    <xdr:sp macro="" textlink="">
      <xdr:nvSpPr>
        <xdr:cNvPr id="1093818" name="Option Button 74" hidden="1"/>
        <xdr:cNvSpPr>
          <a:spLocks noChangeArrowheads="1"/>
        </xdr:cNvSpPr>
      </xdr:nvSpPr>
      <xdr:spPr bwMode="auto">
        <a:xfrm>
          <a:off x="9010650" y="1368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19"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20"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21"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22"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23"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24"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25"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26"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27"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28"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29"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30"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31"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32"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33"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34"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35"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36"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37"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38"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39"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40"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41"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42"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43"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44"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45"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46"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47"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48"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49"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50"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51"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52"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53"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54"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55"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56"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57"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58"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59"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60"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61"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62"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63"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64"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65"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66"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67"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68"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69"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70"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71"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72"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73"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74"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75"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76"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77"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78"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79"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80"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81"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82"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83"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84"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85"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86"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87"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88"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89"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90"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891"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92"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93"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894"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895"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96"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97"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898"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899"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00"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01"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02"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03"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04"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05"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06"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07"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08"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09"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10"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11"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12"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13"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14"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15"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16"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17"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18"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19"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20"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21"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22"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23"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24"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25"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26"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27"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28"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29"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30"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31"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32"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33"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34"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35"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36"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37"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38"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39"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40"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41"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42"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43"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44"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45"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46"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47"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48"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49"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50"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51"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52"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53"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54"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55"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56"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57"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58"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59"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60"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3961"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62"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63"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64"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65"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66"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67"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68"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69"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70"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71"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72"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3973"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74"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75"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76"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77"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78"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79"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80"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81"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82"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83"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84"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3985"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86"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87"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88" name="Group Box 8"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89" name="Group Box 37"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1276350</xdr:rowOff>
    </xdr:to>
    <xdr:sp macro="" textlink="">
      <xdr:nvSpPr>
        <xdr:cNvPr id="1093990" name="Group Box 49" hidden="1"/>
        <xdr:cNvSpPr>
          <a:spLocks noChangeArrowheads="1"/>
        </xdr:cNvSpPr>
      </xdr:nvSpPr>
      <xdr:spPr bwMode="auto">
        <a:xfrm>
          <a:off x="8991600" y="13173075"/>
          <a:ext cx="13144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103095</xdr:colOff>
      <xdr:row>18</xdr:row>
      <xdr:rowOff>1285875</xdr:rowOff>
    </xdr:to>
    <xdr:sp macro="" textlink="">
      <xdr:nvSpPr>
        <xdr:cNvPr id="1093991" name="Group Box 61" hidden="1"/>
        <xdr:cNvSpPr>
          <a:spLocks noChangeArrowheads="1"/>
        </xdr:cNvSpPr>
      </xdr:nvSpPr>
      <xdr:spPr bwMode="auto">
        <a:xfrm>
          <a:off x="8991600" y="13173075"/>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103095</xdr:colOff>
      <xdr:row>20</xdr:row>
      <xdr:rowOff>0</xdr:rowOff>
    </xdr:to>
    <xdr:sp macro="" textlink="">
      <xdr:nvSpPr>
        <xdr:cNvPr id="1093992" name="Group Box 80" hidden="1"/>
        <xdr:cNvSpPr>
          <a:spLocks noChangeArrowheads="1"/>
        </xdr:cNvSpPr>
      </xdr:nvSpPr>
      <xdr:spPr bwMode="auto">
        <a:xfrm>
          <a:off x="8991600" y="14554200"/>
          <a:ext cx="13144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93" name="Group Box 86"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94" name="Group Box 98"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103095</xdr:colOff>
      <xdr:row>22</xdr:row>
      <xdr:rowOff>590550</xdr:rowOff>
    </xdr:to>
    <xdr:sp macro="" textlink="">
      <xdr:nvSpPr>
        <xdr:cNvPr id="1093995" name="Group Box 104" hidden="1"/>
        <xdr:cNvSpPr>
          <a:spLocks noChangeArrowheads="1"/>
        </xdr:cNvSpPr>
      </xdr:nvSpPr>
      <xdr:spPr bwMode="auto">
        <a:xfrm>
          <a:off x="8991600" y="15840075"/>
          <a:ext cx="13144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3996"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3997"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98"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3999"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00" name="Group Box 8"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01" name="Group Box 37"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1276350</xdr:rowOff>
    </xdr:to>
    <xdr:sp macro="" textlink="">
      <xdr:nvSpPr>
        <xdr:cNvPr id="1094002" name="Group Box 49" hidden="1"/>
        <xdr:cNvSpPr>
          <a:spLocks noChangeArrowheads="1"/>
        </xdr:cNvSpPr>
      </xdr:nvSpPr>
      <xdr:spPr bwMode="auto">
        <a:xfrm>
          <a:off x="8991600" y="13173075"/>
          <a:ext cx="132397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03" name="Group Box 61"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112620</xdr:colOff>
      <xdr:row>20</xdr:row>
      <xdr:rowOff>0</xdr:rowOff>
    </xdr:to>
    <xdr:sp macro="" textlink="">
      <xdr:nvSpPr>
        <xdr:cNvPr id="1094004" name="Group Box 80" hidden="1"/>
        <xdr:cNvSpPr>
          <a:spLocks noChangeArrowheads="1"/>
        </xdr:cNvSpPr>
      </xdr:nvSpPr>
      <xdr:spPr bwMode="auto">
        <a:xfrm>
          <a:off x="8991600" y="14554200"/>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05" name="Group Box 86"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06" name="Group Box 98"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07" name="Group Box 104"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4008"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4009"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10"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11"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12" name="Group Box 8"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13" name="Group Box 37"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1276350</xdr:rowOff>
    </xdr:to>
    <xdr:sp macro="" textlink="">
      <xdr:nvSpPr>
        <xdr:cNvPr id="1094014" name="Group Box 49" hidden="1"/>
        <xdr:cNvSpPr>
          <a:spLocks noChangeArrowheads="1"/>
        </xdr:cNvSpPr>
      </xdr:nvSpPr>
      <xdr:spPr bwMode="auto">
        <a:xfrm>
          <a:off x="8991600" y="13173075"/>
          <a:ext cx="132397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15" name="Group Box 61"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112620</xdr:colOff>
      <xdr:row>20</xdr:row>
      <xdr:rowOff>0</xdr:rowOff>
    </xdr:to>
    <xdr:sp macro="" textlink="">
      <xdr:nvSpPr>
        <xdr:cNvPr id="1094016" name="Group Box 80" hidden="1"/>
        <xdr:cNvSpPr>
          <a:spLocks noChangeArrowheads="1"/>
        </xdr:cNvSpPr>
      </xdr:nvSpPr>
      <xdr:spPr bwMode="auto">
        <a:xfrm>
          <a:off x="8991600" y="14554200"/>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17" name="Group Box 86"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18" name="Group Box 98"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19" name="Group Box 104"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4020"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4021"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22"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23"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24" name="Group Box 8"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25" name="Group Box 37"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1276350</xdr:rowOff>
    </xdr:to>
    <xdr:sp macro="" textlink="">
      <xdr:nvSpPr>
        <xdr:cNvPr id="1094026" name="Group Box 49" hidden="1"/>
        <xdr:cNvSpPr>
          <a:spLocks noChangeArrowheads="1"/>
        </xdr:cNvSpPr>
      </xdr:nvSpPr>
      <xdr:spPr bwMode="auto">
        <a:xfrm>
          <a:off x="8991600" y="13173075"/>
          <a:ext cx="132397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27" name="Group Box 61"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112620</xdr:colOff>
      <xdr:row>20</xdr:row>
      <xdr:rowOff>0</xdr:rowOff>
    </xdr:to>
    <xdr:sp macro="" textlink="">
      <xdr:nvSpPr>
        <xdr:cNvPr id="1094028" name="Group Box 80" hidden="1"/>
        <xdr:cNvSpPr>
          <a:spLocks noChangeArrowheads="1"/>
        </xdr:cNvSpPr>
      </xdr:nvSpPr>
      <xdr:spPr bwMode="auto">
        <a:xfrm>
          <a:off x="8991600" y="14554200"/>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29" name="Group Box 86"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30" name="Group Box 98"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31" name="Group Box 104"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4032"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4033"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34"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35"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36" name="Group Box 8"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37" name="Group Box 37"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1276350</xdr:rowOff>
    </xdr:to>
    <xdr:sp macro="" textlink="">
      <xdr:nvSpPr>
        <xdr:cNvPr id="1094038" name="Group Box 49" hidden="1"/>
        <xdr:cNvSpPr>
          <a:spLocks noChangeArrowheads="1"/>
        </xdr:cNvSpPr>
      </xdr:nvSpPr>
      <xdr:spPr bwMode="auto">
        <a:xfrm>
          <a:off x="8991600" y="13173075"/>
          <a:ext cx="132397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39" name="Group Box 61"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112620</xdr:colOff>
      <xdr:row>20</xdr:row>
      <xdr:rowOff>0</xdr:rowOff>
    </xdr:to>
    <xdr:sp macro="" textlink="">
      <xdr:nvSpPr>
        <xdr:cNvPr id="1094040" name="Group Box 80" hidden="1"/>
        <xdr:cNvSpPr>
          <a:spLocks noChangeArrowheads="1"/>
        </xdr:cNvSpPr>
      </xdr:nvSpPr>
      <xdr:spPr bwMode="auto">
        <a:xfrm>
          <a:off x="8991600" y="14554200"/>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41" name="Group Box 86"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42" name="Group Box 98"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043" name="Group Box 104"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4044"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4045"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46"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047"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48" name="Group Box 8"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49" name="Group Box 8"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50" name="Group Box 8"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51" name="Group Box 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52" name="Group Box 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53" name="Group Box 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54" name="Group Box 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55" name="Group Box 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56" name="Group Box 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57" name="Group Box 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58" name="Group Box 37"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59" name="Group Box 37"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60" name="Group Box 37"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61" name="Group Box 37"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62" name="Group Box 37"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63" name="Group Box 37"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64" name="Group Box 37"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65" name="Group Box 37"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66" name="Group Box 37"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67" name="Group Box 37"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68" name="Group Box 61"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69" name="Group Box 61"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175373</xdr:colOff>
      <xdr:row>18</xdr:row>
      <xdr:rowOff>1285875</xdr:rowOff>
    </xdr:to>
    <xdr:sp macro="" textlink="">
      <xdr:nvSpPr>
        <xdr:cNvPr id="1094070" name="Group Box 61" hidden="1"/>
        <xdr:cNvSpPr>
          <a:spLocks noChangeArrowheads="1"/>
        </xdr:cNvSpPr>
      </xdr:nvSpPr>
      <xdr:spPr bwMode="auto">
        <a:xfrm>
          <a:off x="8991600" y="13173075"/>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71" name="Group Box 61"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72" name="Group Box 61"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73" name="Group Box 61"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74" name="Group Box 61"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75" name="Group Box 61"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76" name="Group Box 61"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077" name="Group Box 61"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175373</xdr:colOff>
      <xdr:row>20</xdr:row>
      <xdr:rowOff>0</xdr:rowOff>
    </xdr:to>
    <xdr:sp macro="" textlink="">
      <xdr:nvSpPr>
        <xdr:cNvPr id="1094078" name="Group Box 80" hidden="1"/>
        <xdr:cNvSpPr>
          <a:spLocks noChangeArrowheads="1"/>
        </xdr:cNvSpPr>
      </xdr:nvSpPr>
      <xdr:spPr bwMode="auto">
        <a:xfrm>
          <a:off x="8991600" y="14554200"/>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175373</xdr:colOff>
      <xdr:row>20</xdr:row>
      <xdr:rowOff>0</xdr:rowOff>
    </xdr:to>
    <xdr:sp macro="" textlink="">
      <xdr:nvSpPr>
        <xdr:cNvPr id="1094079" name="Group Box 80" hidden="1"/>
        <xdr:cNvSpPr>
          <a:spLocks noChangeArrowheads="1"/>
        </xdr:cNvSpPr>
      </xdr:nvSpPr>
      <xdr:spPr bwMode="auto">
        <a:xfrm>
          <a:off x="8991600" y="14554200"/>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175373</xdr:colOff>
      <xdr:row>20</xdr:row>
      <xdr:rowOff>0</xdr:rowOff>
    </xdr:to>
    <xdr:sp macro="" textlink="">
      <xdr:nvSpPr>
        <xdr:cNvPr id="1094080" name="Group Box 80" hidden="1"/>
        <xdr:cNvSpPr>
          <a:spLocks noChangeArrowheads="1"/>
        </xdr:cNvSpPr>
      </xdr:nvSpPr>
      <xdr:spPr bwMode="auto">
        <a:xfrm>
          <a:off x="8991600" y="14554200"/>
          <a:ext cx="10858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081" name="Group Box 80"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082" name="Group Box 80"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083" name="Group Box 80"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084" name="Group Box 80"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085" name="Group Box 80"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086" name="Group Box 80"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087" name="Group Box 80"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175373</xdr:colOff>
      <xdr:row>22</xdr:row>
      <xdr:rowOff>590550</xdr:rowOff>
    </xdr:to>
    <xdr:sp macro="" textlink="">
      <xdr:nvSpPr>
        <xdr:cNvPr id="1094088" name="Group Box 104" hidden="1"/>
        <xdr:cNvSpPr>
          <a:spLocks noChangeArrowheads="1"/>
        </xdr:cNvSpPr>
      </xdr:nvSpPr>
      <xdr:spPr bwMode="auto">
        <a:xfrm>
          <a:off x="8991600" y="15840075"/>
          <a:ext cx="10858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175373</xdr:colOff>
      <xdr:row>22</xdr:row>
      <xdr:rowOff>590550</xdr:rowOff>
    </xdr:to>
    <xdr:sp macro="" textlink="">
      <xdr:nvSpPr>
        <xdr:cNvPr id="1094089" name="Group Box 104" hidden="1"/>
        <xdr:cNvSpPr>
          <a:spLocks noChangeArrowheads="1"/>
        </xdr:cNvSpPr>
      </xdr:nvSpPr>
      <xdr:spPr bwMode="auto">
        <a:xfrm>
          <a:off x="8991600" y="15840075"/>
          <a:ext cx="10858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175373</xdr:colOff>
      <xdr:row>22</xdr:row>
      <xdr:rowOff>590550</xdr:rowOff>
    </xdr:to>
    <xdr:sp macro="" textlink="">
      <xdr:nvSpPr>
        <xdr:cNvPr id="1094090" name="Group Box 104" hidden="1"/>
        <xdr:cNvSpPr>
          <a:spLocks noChangeArrowheads="1"/>
        </xdr:cNvSpPr>
      </xdr:nvSpPr>
      <xdr:spPr bwMode="auto">
        <a:xfrm>
          <a:off x="8991600" y="15840075"/>
          <a:ext cx="10858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091" name="Group Box 104"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092" name="Group Box 104"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093" name="Group Box 104"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094" name="Group Box 104"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095" name="Group Box 104"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096" name="Group Box 104"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097" name="Group Box 104"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98" name="Group Box 8"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099" name="Group Box 37"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1276350</xdr:rowOff>
    </xdr:to>
    <xdr:sp macro="" textlink="">
      <xdr:nvSpPr>
        <xdr:cNvPr id="1094100" name="Group Box 49" hidden="1"/>
        <xdr:cNvSpPr>
          <a:spLocks noChangeArrowheads="1"/>
        </xdr:cNvSpPr>
      </xdr:nvSpPr>
      <xdr:spPr bwMode="auto">
        <a:xfrm>
          <a:off x="8991600" y="13173075"/>
          <a:ext cx="132397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101" name="Group Box 61"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112620</xdr:colOff>
      <xdr:row>20</xdr:row>
      <xdr:rowOff>0</xdr:rowOff>
    </xdr:to>
    <xdr:sp macro="" textlink="">
      <xdr:nvSpPr>
        <xdr:cNvPr id="1094102" name="Group Box 80" hidden="1"/>
        <xdr:cNvSpPr>
          <a:spLocks noChangeArrowheads="1"/>
        </xdr:cNvSpPr>
      </xdr:nvSpPr>
      <xdr:spPr bwMode="auto">
        <a:xfrm>
          <a:off x="8991600" y="14554200"/>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103" name="Group Box 86"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104" name="Group Box 98"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105" name="Group Box 104"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4106"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4107"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08"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09"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110" name="AutoShape 142"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111" name="AutoShape 144"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112" name="AutoShape 14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113" name="AutoShape 152"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114" name="AutoShape 155"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115" name="Group Box 8"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116" name="Group Box 37"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1276350</xdr:rowOff>
    </xdr:to>
    <xdr:sp macro="" textlink="">
      <xdr:nvSpPr>
        <xdr:cNvPr id="1094117" name="Group Box 49" hidden="1"/>
        <xdr:cNvSpPr>
          <a:spLocks noChangeArrowheads="1"/>
        </xdr:cNvSpPr>
      </xdr:nvSpPr>
      <xdr:spPr bwMode="auto">
        <a:xfrm>
          <a:off x="8991600" y="13173075"/>
          <a:ext cx="132397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112620</xdr:colOff>
      <xdr:row>18</xdr:row>
      <xdr:rowOff>1285875</xdr:rowOff>
    </xdr:to>
    <xdr:sp macro="" textlink="">
      <xdr:nvSpPr>
        <xdr:cNvPr id="1094118" name="Group Box 61" hidden="1"/>
        <xdr:cNvSpPr>
          <a:spLocks noChangeArrowheads="1"/>
        </xdr:cNvSpPr>
      </xdr:nvSpPr>
      <xdr:spPr bwMode="auto">
        <a:xfrm>
          <a:off x="8991600" y="13173075"/>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112620</xdr:colOff>
      <xdr:row>20</xdr:row>
      <xdr:rowOff>0</xdr:rowOff>
    </xdr:to>
    <xdr:sp macro="" textlink="">
      <xdr:nvSpPr>
        <xdr:cNvPr id="1094119" name="Group Box 80" hidden="1"/>
        <xdr:cNvSpPr>
          <a:spLocks noChangeArrowheads="1"/>
        </xdr:cNvSpPr>
      </xdr:nvSpPr>
      <xdr:spPr bwMode="auto">
        <a:xfrm>
          <a:off x="8991600" y="14554200"/>
          <a:ext cx="13239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120" name="Group Box 86"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121" name="Group Box 98"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112620</xdr:colOff>
      <xdr:row>22</xdr:row>
      <xdr:rowOff>590550</xdr:rowOff>
    </xdr:to>
    <xdr:sp macro="" textlink="">
      <xdr:nvSpPr>
        <xdr:cNvPr id="1094122" name="Group Box 104" hidden="1"/>
        <xdr:cNvSpPr>
          <a:spLocks noChangeArrowheads="1"/>
        </xdr:cNvSpPr>
      </xdr:nvSpPr>
      <xdr:spPr bwMode="auto">
        <a:xfrm>
          <a:off x="8991600" y="15840075"/>
          <a:ext cx="13239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200025</xdr:rowOff>
    </xdr:to>
    <xdr:sp macro="" textlink="">
      <xdr:nvSpPr>
        <xdr:cNvPr id="1094123" name="Option Button 123" hidden="1"/>
        <xdr:cNvSpPr>
          <a:spLocks noChangeArrowheads="1"/>
        </xdr:cNvSpPr>
      </xdr:nvSpPr>
      <xdr:spPr bwMode="auto">
        <a:xfrm>
          <a:off x="9010650" y="15840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4124" name="Option Button 10" hidden="1"/>
        <xdr:cNvSpPr>
          <a:spLocks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25" name="Option Button 2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26" name="Option Button 32"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127" name="AutoShape 142"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128" name="AutoShape 144"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165848</xdr:colOff>
      <xdr:row>18</xdr:row>
      <xdr:rowOff>1285875</xdr:rowOff>
    </xdr:to>
    <xdr:sp macro="" textlink="">
      <xdr:nvSpPr>
        <xdr:cNvPr id="1094129" name="AutoShape 148" hidden="1"/>
        <xdr:cNvSpPr>
          <a:spLocks noChangeArrowheads="1"/>
        </xdr:cNvSpPr>
      </xdr:nvSpPr>
      <xdr:spPr bwMode="auto">
        <a:xfrm>
          <a:off x="8991600" y="13173075"/>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165848</xdr:colOff>
      <xdr:row>20</xdr:row>
      <xdr:rowOff>0</xdr:rowOff>
    </xdr:to>
    <xdr:sp macro="" textlink="">
      <xdr:nvSpPr>
        <xdr:cNvPr id="1094130" name="AutoShape 152" hidden="1"/>
        <xdr:cNvSpPr>
          <a:spLocks noChangeArrowheads="1"/>
        </xdr:cNvSpPr>
      </xdr:nvSpPr>
      <xdr:spPr bwMode="auto">
        <a:xfrm>
          <a:off x="8991600" y="14554200"/>
          <a:ext cx="10763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165848</xdr:colOff>
      <xdr:row>22</xdr:row>
      <xdr:rowOff>590550</xdr:rowOff>
    </xdr:to>
    <xdr:sp macro="" textlink="">
      <xdr:nvSpPr>
        <xdr:cNvPr id="1094131" name="AutoShape 155" hidden="1"/>
        <xdr:cNvSpPr>
          <a:spLocks noChangeArrowheads="1"/>
        </xdr:cNvSpPr>
      </xdr:nvSpPr>
      <xdr:spPr bwMode="auto">
        <a:xfrm>
          <a:off x="8991600" y="15840075"/>
          <a:ext cx="10763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32" name="AutoShape 156"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33" name="AutoShape 157"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34" name="Option Button 38"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35" name="Option Button 44"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36" name="Option Button 50"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37" name="Option Button 68" hidden="1"/>
        <xdr:cNvSpPr>
          <a:spLocks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514350</xdr:rowOff>
    </xdr:from>
    <xdr:to>
      <xdr:col>7</xdr:col>
      <xdr:colOff>257175</xdr:colOff>
      <xdr:row>18</xdr:row>
      <xdr:rowOff>704850</xdr:rowOff>
    </xdr:to>
    <xdr:sp macro="" textlink="">
      <xdr:nvSpPr>
        <xdr:cNvPr id="1094138" name="Option Button 74" hidden="1"/>
        <xdr:cNvSpPr>
          <a:spLocks noChangeArrowheads="1"/>
        </xdr:cNvSpPr>
      </xdr:nvSpPr>
      <xdr:spPr bwMode="auto">
        <a:xfrm>
          <a:off x="9010650" y="1368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74520</xdr:colOff>
      <xdr:row>18</xdr:row>
      <xdr:rowOff>1285875</xdr:rowOff>
    </xdr:to>
    <xdr:sp macro="" textlink="">
      <xdr:nvSpPr>
        <xdr:cNvPr id="1094139" name="Group Box 8" hidden="1"/>
        <xdr:cNvSpPr>
          <a:spLocks noChangeAspect="1" noChangeArrowheads="1"/>
        </xdr:cNvSpPr>
      </xdr:nvSpPr>
      <xdr:spPr bwMode="auto">
        <a:xfrm>
          <a:off x="8991600" y="13173075"/>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74520</xdr:colOff>
      <xdr:row>18</xdr:row>
      <xdr:rowOff>1285875</xdr:rowOff>
    </xdr:to>
    <xdr:sp macro="" textlink="">
      <xdr:nvSpPr>
        <xdr:cNvPr id="1094140" name="Group Box 37" hidden="1"/>
        <xdr:cNvSpPr>
          <a:spLocks noChangeAspect="1" noChangeArrowheads="1"/>
        </xdr:cNvSpPr>
      </xdr:nvSpPr>
      <xdr:spPr bwMode="auto">
        <a:xfrm>
          <a:off x="8991600" y="13173075"/>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74520</xdr:colOff>
      <xdr:row>18</xdr:row>
      <xdr:rowOff>1285875</xdr:rowOff>
    </xdr:to>
    <xdr:sp macro="" textlink="">
      <xdr:nvSpPr>
        <xdr:cNvPr id="1094141" name="Group Box 49" hidden="1"/>
        <xdr:cNvSpPr>
          <a:spLocks noChangeAspect="1" noChangeArrowheads="1"/>
        </xdr:cNvSpPr>
      </xdr:nvSpPr>
      <xdr:spPr bwMode="auto">
        <a:xfrm>
          <a:off x="8991600" y="13173075"/>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11</xdr:col>
      <xdr:colOff>74520</xdr:colOff>
      <xdr:row>18</xdr:row>
      <xdr:rowOff>1285875</xdr:rowOff>
    </xdr:to>
    <xdr:sp macro="" textlink="">
      <xdr:nvSpPr>
        <xdr:cNvPr id="1094142" name="Group Box 61" hidden="1"/>
        <xdr:cNvSpPr>
          <a:spLocks noChangeAspect="1" noChangeArrowheads="1"/>
        </xdr:cNvSpPr>
      </xdr:nvSpPr>
      <xdr:spPr bwMode="auto">
        <a:xfrm>
          <a:off x="8991600" y="13173075"/>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11</xdr:col>
      <xdr:colOff>74520</xdr:colOff>
      <xdr:row>20</xdr:row>
      <xdr:rowOff>0</xdr:rowOff>
    </xdr:to>
    <xdr:sp macro="" textlink="">
      <xdr:nvSpPr>
        <xdr:cNvPr id="1094143" name="Group Box 80" hidden="1"/>
        <xdr:cNvSpPr>
          <a:spLocks noChangeAspect="1" noChangeArrowheads="1"/>
        </xdr:cNvSpPr>
      </xdr:nvSpPr>
      <xdr:spPr bwMode="auto">
        <a:xfrm>
          <a:off x="8991600" y="14554200"/>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74520</xdr:colOff>
      <xdr:row>22</xdr:row>
      <xdr:rowOff>581025</xdr:rowOff>
    </xdr:to>
    <xdr:sp macro="" textlink="">
      <xdr:nvSpPr>
        <xdr:cNvPr id="1094144" name="Group Box 86" hidden="1"/>
        <xdr:cNvSpPr>
          <a:spLocks noChangeAspect="1" noChangeArrowheads="1"/>
        </xdr:cNvSpPr>
      </xdr:nvSpPr>
      <xdr:spPr bwMode="auto">
        <a:xfrm>
          <a:off x="8991600" y="15840075"/>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74520</xdr:colOff>
      <xdr:row>22</xdr:row>
      <xdr:rowOff>581025</xdr:rowOff>
    </xdr:to>
    <xdr:sp macro="" textlink="">
      <xdr:nvSpPr>
        <xdr:cNvPr id="1094145" name="Group Box 98" hidden="1"/>
        <xdr:cNvSpPr>
          <a:spLocks noChangeAspect="1" noChangeArrowheads="1"/>
        </xdr:cNvSpPr>
      </xdr:nvSpPr>
      <xdr:spPr bwMode="auto">
        <a:xfrm>
          <a:off x="8991600" y="15840075"/>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11</xdr:col>
      <xdr:colOff>74520</xdr:colOff>
      <xdr:row>22</xdr:row>
      <xdr:rowOff>590550</xdr:rowOff>
    </xdr:to>
    <xdr:sp macro="" textlink="">
      <xdr:nvSpPr>
        <xdr:cNvPr id="1094146" name="Group Box 104" hidden="1"/>
        <xdr:cNvSpPr>
          <a:spLocks noChangeAspect="1" noChangeArrowheads="1"/>
        </xdr:cNvSpPr>
      </xdr:nvSpPr>
      <xdr:spPr bwMode="auto">
        <a:xfrm>
          <a:off x="8991600" y="15840075"/>
          <a:ext cx="12858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20</xdr:row>
      <xdr:rowOff>0</xdr:rowOff>
    </xdr:from>
    <xdr:to>
      <xdr:col>7</xdr:col>
      <xdr:colOff>257175</xdr:colOff>
      <xdr:row>20</xdr:row>
      <xdr:rowOff>180975</xdr:rowOff>
    </xdr:to>
    <xdr:sp macro="" textlink="">
      <xdr:nvSpPr>
        <xdr:cNvPr id="1094147" name="Option Button 123" hidden="1"/>
        <xdr:cNvSpPr>
          <a:spLocks noChangeAspect="1" noChangeArrowheads="1"/>
        </xdr:cNvSpPr>
      </xdr:nvSpPr>
      <xdr:spPr bwMode="auto">
        <a:xfrm>
          <a:off x="9010650" y="15840075"/>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17</xdr:row>
      <xdr:rowOff>561975</xdr:rowOff>
    </xdr:from>
    <xdr:to>
      <xdr:col>7</xdr:col>
      <xdr:colOff>257175</xdr:colOff>
      <xdr:row>17</xdr:row>
      <xdr:rowOff>752475</xdr:rowOff>
    </xdr:to>
    <xdr:sp macro="" textlink="">
      <xdr:nvSpPr>
        <xdr:cNvPr id="1094148" name="Option Button 10" hidden="1"/>
        <xdr:cNvSpPr>
          <a:spLocks noChangeAspect="1" noChangeArrowheads="1"/>
        </xdr:cNvSpPr>
      </xdr:nvSpPr>
      <xdr:spPr bwMode="auto">
        <a:xfrm>
          <a:off x="9010650" y="12449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49" name="Option Button 26" hidden="1"/>
        <xdr:cNvSpPr>
          <a:spLocks noChangeAspect="1"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180975</xdr:rowOff>
    </xdr:to>
    <xdr:sp macro="" textlink="">
      <xdr:nvSpPr>
        <xdr:cNvPr id="1094150" name="Option Button 32" hidden="1"/>
        <xdr:cNvSpPr>
          <a:spLocks noChangeAspect="1" noChangeArrowheads="1"/>
        </xdr:cNvSpPr>
      </xdr:nvSpPr>
      <xdr:spPr bwMode="auto">
        <a:xfrm>
          <a:off x="9010650" y="13173075"/>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137273</xdr:colOff>
      <xdr:row>18</xdr:row>
      <xdr:rowOff>1285875</xdr:rowOff>
    </xdr:to>
    <xdr:sp macro="" textlink="">
      <xdr:nvSpPr>
        <xdr:cNvPr id="1094151" name="AutoShape 142" hidden="1"/>
        <xdr:cNvSpPr>
          <a:spLocks noChangeAspect="1" noChangeArrowheads="1"/>
        </xdr:cNvSpPr>
      </xdr:nvSpPr>
      <xdr:spPr bwMode="auto">
        <a:xfrm>
          <a:off x="8991600" y="13173075"/>
          <a:ext cx="10477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137273</xdr:colOff>
      <xdr:row>18</xdr:row>
      <xdr:rowOff>1285875</xdr:rowOff>
    </xdr:to>
    <xdr:sp macro="" textlink="">
      <xdr:nvSpPr>
        <xdr:cNvPr id="1094152" name="AutoShape 144" hidden="1"/>
        <xdr:cNvSpPr>
          <a:spLocks noChangeAspect="1" noChangeArrowheads="1"/>
        </xdr:cNvSpPr>
      </xdr:nvSpPr>
      <xdr:spPr bwMode="auto">
        <a:xfrm>
          <a:off x="8991600" y="13173075"/>
          <a:ext cx="10477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18</xdr:row>
      <xdr:rowOff>0</xdr:rowOff>
    </xdr:from>
    <xdr:to>
      <xdr:col>10</xdr:col>
      <xdr:colOff>137273</xdr:colOff>
      <xdr:row>18</xdr:row>
      <xdr:rowOff>1285875</xdr:rowOff>
    </xdr:to>
    <xdr:sp macro="" textlink="">
      <xdr:nvSpPr>
        <xdr:cNvPr id="1094153" name="AutoShape 148" hidden="1"/>
        <xdr:cNvSpPr>
          <a:spLocks noChangeAspect="1" noChangeArrowheads="1"/>
        </xdr:cNvSpPr>
      </xdr:nvSpPr>
      <xdr:spPr bwMode="auto">
        <a:xfrm>
          <a:off x="8991600" y="13173075"/>
          <a:ext cx="10477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10</xdr:col>
      <xdr:colOff>137273</xdr:colOff>
      <xdr:row>20</xdr:row>
      <xdr:rowOff>0</xdr:rowOff>
    </xdr:to>
    <xdr:sp macro="" textlink="">
      <xdr:nvSpPr>
        <xdr:cNvPr id="1094154" name="AutoShape 152" hidden="1"/>
        <xdr:cNvSpPr>
          <a:spLocks noChangeAspect="1" noChangeArrowheads="1"/>
        </xdr:cNvSpPr>
      </xdr:nvSpPr>
      <xdr:spPr bwMode="auto">
        <a:xfrm>
          <a:off x="8991600" y="14554200"/>
          <a:ext cx="104775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20</xdr:row>
      <xdr:rowOff>0</xdr:rowOff>
    </xdr:from>
    <xdr:to>
      <xdr:col>10</xdr:col>
      <xdr:colOff>137273</xdr:colOff>
      <xdr:row>22</xdr:row>
      <xdr:rowOff>590550</xdr:rowOff>
    </xdr:to>
    <xdr:sp macro="" textlink="">
      <xdr:nvSpPr>
        <xdr:cNvPr id="1094155" name="AutoShape 155" hidden="1"/>
        <xdr:cNvSpPr>
          <a:spLocks noChangeAspect="1" noChangeArrowheads="1"/>
        </xdr:cNvSpPr>
      </xdr:nvSpPr>
      <xdr:spPr bwMode="auto">
        <a:xfrm>
          <a:off x="8991600" y="15840075"/>
          <a:ext cx="104775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56" name="AutoShape 156" hidden="1"/>
        <xdr:cNvSpPr>
          <a:spLocks noChangeAspect="1"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180975</xdr:rowOff>
    </xdr:to>
    <xdr:sp macro="" textlink="">
      <xdr:nvSpPr>
        <xdr:cNvPr id="1094157" name="AutoShape 157" hidden="1"/>
        <xdr:cNvSpPr>
          <a:spLocks noChangeAspect="1" noChangeArrowheads="1"/>
        </xdr:cNvSpPr>
      </xdr:nvSpPr>
      <xdr:spPr bwMode="auto">
        <a:xfrm>
          <a:off x="9010650" y="13173075"/>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58" name="Option Button 38" hidden="1"/>
        <xdr:cNvSpPr>
          <a:spLocks noChangeAspect="1"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59" name="Option Button 44" hidden="1"/>
        <xdr:cNvSpPr>
          <a:spLocks noChangeAspect="1"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60" name="Option Button 50" hidden="1"/>
        <xdr:cNvSpPr>
          <a:spLocks noChangeAspect="1"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0</xdr:rowOff>
    </xdr:from>
    <xdr:to>
      <xdr:col>7</xdr:col>
      <xdr:colOff>257175</xdr:colOff>
      <xdr:row>18</xdr:row>
      <xdr:rowOff>190500</xdr:rowOff>
    </xdr:to>
    <xdr:sp macro="" textlink="">
      <xdr:nvSpPr>
        <xdr:cNvPr id="1094161" name="Option Button 68" hidden="1"/>
        <xdr:cNvSpPr>
          <a:spLocks noChangeAspect="1" noChangeArrowheads="1"/>
        </xdr:cNvSpPr>
      </xdr:nvSpPr>
      <xdr:spPr bwMode="auto">
        <a:xfrm>
          <a:off x="9010650" y="13173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18</xdr:row>
      <xdr:rowOff>514350</xdr:rowOff>
    </xdr:from>
    <xdr:to>
      <xdr:col>7</xdr:col>
      <xdr:colOff>257175</xdr:colOff>
      <xdr:row>18</xdr:row>
      <xdr:rowOff>704850</xdr:rowOff>
    </xdr:to>
    <xdr:sp macro="" textlink="">
      <xdr:nvSpPr>
        <xdr:cNvPr id="1094162" name="Option Button 74" hidden="1"/>
        <xdr:cNvSpPr>
          <a:spLocks noChangeAspect="1" noChangeArrowheads="1"/>
        </xdr:cNvSpPr>
      </xdr:nvSpPr>
      <xdr:spPr bwMode="auto">
        <a:xfrm>
          <a:off x="9010650" y="1368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10</xdr:row>
          <xdr:rowOff>9525</xdr:rowOff>
        </xdr:from>
        <xdr:to>
          <xdr:col>12</xdr:col>
          <xdr:colOff>0</xdr:colOff>
          <xdr:row>10</xdr:row>
          <xdr:rowOff>1295400</xdr:rowOff>
        </xdr:to>
        <xdr:sp macro="" textlink="">
          <xdr:nvSpPr>
            <xdr:cNvPr id="3079" name="Group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17</xdr:row>
          <xdr:rowOff>561975</xdr:rowOff>
        </xdr:from>
        <xdr:to>
          <xdr:col>7</xdr:col>
          <xdr:colOff>257175</xdr:colOff>
          <xdr:row>17</xdr:row>
          <xdr:rowOff>752475</xdr:rowOff>
        </xdr:to>
        <xdr:sp macro="" textlink="">
          <xdr:nvSpPr>
            <xdr:cNvPr id="3083" name="Option Button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17</xdr:row>
          <xdr:rowOff>561975</xdr:rowOff>
        </xdr:from>
        <xdr:to>
          <xdr:col>8</xdr:col>
          <xdr:colOff>238125</xdr:colOff>
          <xdr:row>17</xdr:row>
          <xdr:rowOff>752475</xdr:rowOff>
        </xdr:to>
        <xdr:sp macro="" textlink="">
          <xdr:nvSpPr>
            <xdr:cNvPr id="3084" name="Option Button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17</xdr:row>
          <xdr:rowOff>561975</xdr:rowOff>
        </xdr:from>
        <xdr:to>
          <xdr:col>9</xdr:col>
          <xdr:colOff>266700</xdr:colOff>
          <xdr:row>17</xdr:row>
          <xdr:rowOff>752475</xdr:rowOff>
        </xdr:to>
        <xdr:sp macro="" textlink="">
          <xdr:nvSpPr>
            <xdr:cNvPr id="3085" name="Option Button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17</xdr:row>
          <xdr:rowOff>561975</xdr:rowOff>
        </xdr:from>
        <xdr:to>
          <xdr:col>10</xdr:col>
          <xdr:colOff>266700</xdr:colOff>
          <xdr:row>17</xdr:row>
          <xdr:rowOff>752475</xdr:rowOff>
        </xdr:to>
        <xdr:sp macro="" textlink="">
          <xdr:nvSpPr>
            <xdr:cNvPr id="3086" name="Option Button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18</xdr:row>
          <xdr:rowOff>9525</xdr:rowOff>
        </xdr:from>
        <xdr:to>
          <xdr:col>12</xdr:col>
          <xdr:colOff>0</xdr:colOff>
          <xdr:row>19</xdr:row>
          <xdr:rowOff>9525</xdr:rowOff>
        </xdr:to>
        <xdr:sp macro="" textlink="">
          <xdr:nvSpPr>
            <xdr:cNvPr id="3145" name="Group Box 73" hidden="1">
              <a:extLst>
                <a:ext uri="{63B3BB69-23CF-44E3-9099-C40C66FF867C}">
                  <a14:compatExt spid="_x0000_s3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18</xdr:row>
          <xdr:rowOff>514350</xdr:rowOff>
        </xdr:from>
        <xdr:to>
          <xdr:col>7</xdr:col>
          <xdr:colOff>257175</xdr:colOff>
          <xdr:row>18</xdr:row>
          <xdr:rowOff>704850</xdr:rowOff>
        </xdr:to>
        <xdr:sp macro="" textlink="">
          <xdr:nvSpPr>
            <xdr:cNvPr id="3147" name="Option Button 75" hidden="1">
              <a:extLst>
                <a:ext uri="{63B3BB69-23CF-44E3-9099-C40C66FF867C}">
                  <a14:compatExt spid="_x0000_s3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18</xdr:row>
          <xdr:rowOff>514350</xdr:rowOff>
        </xdr:from>
        <xdr:to>
          <xdr:col>8</xdr:col>
          <xdr:colOff>238125</xdr:colOff>
          <xdr:row>18</xdr:row>
          <xdr:rowOff>704850</xdr:rowOff>
        </xdr:to>
        <xdr:sp macro="" textlink="">
          <xdr:nvSpPr>
            <xdr:cNvPr id="3148" name="Option Button 76" hidden="1">
              <a:extLst>
                <a:ext uri="{63B3BB69-23CF-44E3-9099-C40C66FF867C}">
                  <a14:compatExt spid="_x0000_s3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18</xdr:row>
          <xdr:rowOff>514350</xdr:rowOff>
        </xdr:from>
        <xdr:to>
          <xdr:col>9</xdr:col>
          <xdr:colOff>257175</xdr:colOff>
          <xdr:row>18</xdr:row>
          <xdr:rowOff>704850</xdr:rowOff>
        </xdr:to>
        <xdr:sp macro="" textlink="">
          <xdr:nvSpPr>
            <xdr:cNvPr id="3149" name="Option Button 77" hidden="1">
              <a:extLst>
                <a:ext uri="{63B3BB69-23CF-44E3-9099-C40C66FF867C}">
                  <a14:compatExt spid="_x0000_s3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18</xdr:row>
          <xdr:rowOff>514350</xdr:rowOff>
        </xdr:from>
        <xdr:to>
          <xdr:col>10</xdr:col>
          <xdr:colOff>257175</xdr:colOff>
          <xdr:row>18</xdr:row>
          <xdr:rowOff>704850</xdr:rowOff>
        </xdr:to>
        <xdr:sp macro="" textlink="">
          <xdr:nvSpPr>
            <xdr:cNvPr id="3150" name="Option Button 78" hidden="1">
              <a:extLst>
                <a:ext uri="{63B3BB69-23CF-44E3-9099-C40C66FF867C}">
                  <a14:compatExt spid="_x0000_s3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17</xdr:row>
          <xdr:rowOff>561975</xdr:rowOff>
        </xdr:from>
        <xdr:to>
          <xdr:col>11</xdr:col>
          <xdr:colOff>247650</xdr:colOff>
          <xdr:row>17</xdr:row>
          <xdr:rowOff>752475</xdr:rowOff>
        </xdr:to>
        <xdr:sp macro="" textlink="">
          <xdr:nvSpPr>
            <xdr:cNvPr id="3907" name="Option Button 835" hidden="1">
              <a:extLst>
                <a:ext uri="{63B3BB69-23CF-44E3-9099-C40C66FF867C}">
                  <a14:compatExt spid="_x0000_s39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18</xdr:row>
          <xdr:rowOff>514350</xdr:rowOff>
        </xdr:from>
        <xdr:to>
          <xdr:col>11</xdr:col>
          <xdr:colOff>247650</xdr:colOff>
          <xdr:row>18</xdr:row>
          <xdr:rowOff>704850</xdr:rowOff>
        </xdr:to>
        <xdr:sp macro="" textlink="">
          <xdr:nvSpPr>
            <xdr:cNvPr id="3913" name="Option Button 841" hidden="1">
              <a:extLst>
                <a:ext uri="{63B3BB69-23CF-44E3-9099-C40C66FF867C}">
                  <a14:compatExt spid="_x0000_s39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10</xdr:row>
          <xdr:rowOff>561975</xdr:rowOff>
        </xdr:from>
        <xdr:to>
          <xdr:col>7</xdr:col>
          <xdr:colOff>257175</xdr:colOff>
          <xdr:row>10</xdr:row>
          <xdr:rowOff>752475</xdr:rowOff>
        </xdr:to>
        <xdr:sp macro="" textlink="">
          <xdr:nvSpPr>
            <xdr:cNvPr id="108540" name="Option Button 12284" hidden="1">
              <a:extLst>
                <a:ext uri="{63B3BB69-23CF-44E3-9099-C40C66FF867C}">
                  <a14:compatExt spid="_x0000_s1085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10</xdr:row>
          <xdr:rowOff>561975</xdr:rowOff>
        </xdr:from>
        <xdr:to>
          <xdr:col>8</xdr:col>
          <xdr:colOff>247650</xdr:colOff>
          <xdr:row>10</xdr:row>
          <xdr:rowOff>752475</xdr:rowOff>
        </xdr:to>
        <xdr:sp macro="" textlink="">
          <xdr:nvSpPr>
            <xdr:cNvPr id="108541" name="Option Button 12285" hidden="1">
              <a:extLst>
                <a:ext uri="{63B3BB69-23CF-44E3-9099-C40C66FF867C}">
                  <a14:compatExt spid="_x0000_s1085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10</xdr:row>
          <xdr:rowOff>561975</xdr:rowOff>
        </xdr:from>
        <xdr:to>
          <xdr:col>10</xdr:col>
          <xdr:colOff>0</xdr:colOff>
          <xdr:row>10</xdr:row>
          <xdr:rowOff>752475</xdr:rowOff>
        </xdr:to>
        <xdr:sp macro="" textlink="">
          <xdr:nvSpPr>
            <xdr:cNvPr id="108542" name="Option Button 12286" hidden="1">
              <a:extLst>
                <a:ext uri="{63B3BB69-23CF-44E3-9099-C40C66FF867C}">
                  <a14:compatExt spid="_x0000_s1085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10</xdr:row>
          <xdr:rowOff>561975</xdr:rowOff>
        </xdr:from>
        <xdr:to>
          <xdr:col>11</xdr:col>
          <xdr:colOff>9525</xdr:colOff>
          <xdr:row>10</xdr:row>
          <xdr:rowOff>752475</xdr:rowOff>
        </xdr:to>
        <xdr:sp macro="" textlink="">
          <xdr:nvSpPr>
            <xdr:cNvPr id="108543" name="Option Button 12287" hidden="1">
              <a:extLst>
                <a:ext uri="{63B3BB69-23CF-44E3-9099-C40C66FF867C}">
                  <a14:compatExt spid="_x0000_s1085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561975</xdr:rowOff>
        </xdr:from>
        <xdr:to>
          <xdr:col>11</xdr:col>
          <xdr:colOff>247650</xdr:colOff>
          <xdr:row>10</xdr:row>
          <xdr:rowOff>752475</xdr:rowOff>
        </xdr:to>
        <xdr:sp macro="" textlink="">
          <xdr:nvSpPr>
            <xdr:cNvPr id="117760" name="Option Button 12288" hidden="1">
              <a:extLst>
                <a:ext uri="{63B3BB69-23CF-44E3-9099-C40C66FF867C}">
                  <a14:compatExt spid="_x0000_s1177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771525</xdr:colOff>
          <xdr:row>11</xdr:row>
          <xdr:rowOff>0</xdr:rowOff>
        </xdr:from>
        <xdr:to>
          <xdr:col>11</xdr:col>
          <xdr:colOff>285750</xdr:colOff>
          <xdr:row>11</xdr:row>
          <xdr:rowOff>1295400</xdr:rowOff>
        </xdr:to>
        <xdr:sp macro="" textlink="">
          <xdr:nvSpPr>
            <xdr:cNvPr id="145707" name="Group Box 15659" hidden="1">
              <a:extLst>
                <a:ext uri="{63B3BB69-23CF-44E3-9099-C40C66FF867C}">
                  <a14:compatExt spid="_x0000_s1457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11</xdr:row>
          <xdr:rowOff>590550</xdr:rowOff>
        </xdr:from>
        <xdr:to>
          <xdr:col>7</xdr:col>
          <xdr:colOff>247650</xdr:colOff>
          <xdr:row>11</xdr:row>
          <xdr:rowOff>781050</xdr:rowOff>
        </xdr:to>
        <xdr:sp macro="" textlink="">
          <xdr:nvSpPr>
            <xdr:cNvPr id="145708" name="Option Button 15660" hidden="1">
              <a:extLst>
                <a:ext uri="{63B3BB69-23CF-44E3-9099-C40C66FF867C}">
                  <a14:compatExt spid="_x0000_s1457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11</xdr:row>
          <xdr:rowOff>590550</xdr:rowOff>
        </xdr:from>
        <xdr:to>
          <xdr:col>8</xdr:col>
          <xdr:colOff>228600</xdr:colOff>
          <xdr:row>11</xdr:row>
          <xdr:rowOff>781050</xdr:rowOff>
        </xdr:to>
        <xdr:sp macro="" textlink="">
          <xdr:nvSpPr>
            <xdr:cNvPr id="145709" name="Option Button 15661" hidden="1">
              <a:extLst>
                <a:ext uri="{63B3BB69-23CF-44E3-9099-C40C66FF867C}">
                  <a14:compatExt spid="_x0000_s1457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11</xdr:row>
          <xdr:rowOff>590550</xdr:rowOff>
        </xdr:from>
        <xdr:to>
          <xdr:col>9</xdr:col>
          <xdr:colOff>285750</xdr:colOff>
          <xdr:row>11</xdr:row>
          <xdr:rowOff>781050</xdr:rowOff>
        </xdr:to>
        <xdr:sp macro="" textlink="">
          <xdr:nvSpPr>
            <xdr:cNvPr id="145710" name="Option Button 15662" hidden="1">
              <a:extLst>
                <a:ext uri="{63B3BB69-23CF-44E3-9099-C40C66FF867C}">
                  <a14:compatExt spid="_x0000_s1457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11</xdr:row>
          <xdr:rowOff>590550</xdr:rowOff>
        </xdr:from>
        <xdr:to>
          <xdr:col>11</xdr:col>
          <xdr:colOff>0</xdr:colOff>
          <xdr:row>11</xdr:row>
          <xdr:rowOff>781050</xdr:rowOff>
        </xdr:to>
        <xdr:sp macro="" textlink="">
          <xdr:nvSpPr>
            <xdr:cNvPr id="145711" name="Option Button 15663" hidden="1">
              <a:extLst>
                <a:ext uri="{63B3BB69-23CF-44E3-9099-C40C66FF867C}">
                  <a14:compatExt spid="_x0000_s1457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11</xdr:row>
          <xdr:rowOff>590550</xdr:rowOff>
        </xdr:from>
        <xdr:to>
          <xdr:col>11</xdr:col>
          <xdr:colOff>228600</xdr:colOff>
          <xdr:row>11</xdr:row>
          <xdr:rowOff>781050</xdr:rowOff>
        </xdr:to>
        <xdr:sp macro="" textlink="">
          <xdr:nvSpPr>
            <xdr:cNvPr id="145712" name="Option Button 15664" hidden="1">
              <a:extLst>
                <a:ext uri="{63B3BB69-23CF-44E3-9099-C40C66FF867C}">
                  <a14:compatExt spid="_x0000_s1457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12</xdr:row>
          <xdr:rowOff>9525</xdr:rowOff>
        </xdr:from>
        <xdr:to>
          <xdr:col>12</xdr:col>
          <xdr:colOff>0</xdr:colOff>
          <xdr:row>12</xdr:row>
          <xdr:rowOff>1295400</xdr:rowOff>
        </xdr:to>
        <xdr:sp macro="" textlink="">
          <xdr:nvSpPr>
            <xdr:cNvPr id="163095" name="Group Box 17687" hidden="1">
              <a:extLst>
                <a:ext uri="{63B3BB69-23CF-44E3-9099-C40C66FF867C}">
                  <a14:compatExt spid="_x0000_s16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12</xdr:row>
          <xdr:rowOff>581025</xdr:rowOff>
        </xdr:from>
        <xdr:to>
          <xdr:col>7</xdr:col>
          <xdr:colOff>276225</xdr:colOff>
          <xdr:row>12</xdr:row>
          <xdr:rowOff>771525</xdr:rowOff>
        </xdr:to>
        <xdr:sp macro="" textlink="">
          <xdr:nvSpPr>
            <xdr:cNvPr id="163096" name="Option Button 17688" hidden="1">
              <a:extLst>
                <a:ext uri="{63B3BB69-23CF-44E3-9099-C40C66FF867C}">
                  <a14:compatExt spid="_x0000_s16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12</xdr:row>
          <xdr:rowOff>581025</xdr:rowOff>
        </xdr:from>
        <xdr:to>
          <xdr:col>8</xdr:col>
          <xdr:colOff>266700</xdr:colOff>
          <xdr:row>12</xdr:row>
          <xdr:rowOff>771525</xdr:rowOff>
        </xdr:to>
        <xdr:sp macro="" textlink="">
          <xdr:nvSpPr>
            <xdr:cNvPr id="163097" name="Option Button 17689" hidden="1">
              <a:extLst>
                <a:ext uri="{63B3BB69-23CF-44E3-9099-C40C66FF867C}">
                  <a14:compatExt spid="_x0000_s16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12</xdr:row>
          <xdr:rowOff>581025</xdr:rowOff>
        </xdr:from>
        <xdr:to>
          <xdr:col>10</xdr:col>
          <xdr:colOff>9525</xdr:colOff>
          <xdr:row>12</xdr:row>
          <xdr:rowOff>771525</xdr:rowOff>
        </xdr:to>
        <xdr:sp macro="" textlink="">
          <xdr:nvSpPr>
            <xdr:cNvPr id="163098" name="Option Button 17690" hidden="1">
              <a:extLst>
                <a:ext uri="{63B3BB69-23CF-44E3-9099-C40C66FF867C}">
                  <a14:compatExt spid="_x0000_s16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12</xdr:row>
          <xdr:rowOff>581025</xdr:rowOff>
        </xdr:from>
        <xdr:to>
          <xdr:col>11</xdr:col>
          <xdr:colOff>9525</xdr:colOff>
          <xdr:row>12</xdr:row>
          <xdr:rowOff>771525</xdr:rowOff>
        </xdr:to>
        <xdr:sp macro="" textlink="">
          <xdr:nvSpPr>
            <xdr:cNvPr id="163099" name="Option Button 17691" hidden="1">
              <a:extLst>
                <a:ext uri="{63B3BB69-23CF-44E3-9099-C40C66FF867C}">
                  <a14:compatExt spid="_x0000_s16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12</xdr:row>
          <xdr:rowOff>581025</xdr:rowOff>
        </xdr:from>
        <xdr:to>
          <xdr:col>11</xdr:col>
          <xdr:colOff>247650</xdr:colOff>
          <xdr:row>12</xdr:row>
          <xdr:rowOff>771525</xdr:rowOff>
        </xdr:to>
        <xdr:sp macro="" textlink="">
          <xdr:nvSpPr>
            <xdr:cNvPr id="163100" name="Option Button 17692" hidden="1">
              <a:extLst>
                <a:ext uri="{63B3BB69-23CF-44E3-9099-C40C66FF867C}">
                  <a14:compatExt spid="_x0000_s16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13</xdr:row>
          <xdr:rowOff>9525</xdr:rowOff>
        </xdr:from>
        <xdr:to>
          <xdr:col>12</xdr:col>
          <xdr:colOff>0</xdr:colOff>
          <xdr:row>13</xdr:row>
          <xdr:rowOff>1285875</xdr:rowOff>
        </xdr:to>
        <xdr:sp macro="" textlink="">
          <xdr:nvSpPr>
            <xdr:cNvPr id="163438" name="Group Box 18030" hidden="1">
              <a:extLst>
                <a:ext uri="{63B3BB69-23CF-44E3-9099-C40C66FF867C}">
                  <a14:compatExt spid="_x0000_s163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13</xdr:row>
          <xdr:rowOff>581025</xdr:rowOff>
        </xdr:from>
        <xdr:to>
          <xdr:col>7</xdr:col>
          <xdr:colOff>276225</xdr:colOff>
          <xdr:row>13</xdr:row>
          <xdr:rowOff>771525</xdr:rowOff>
        </xdr:to>
        <xdr:sp macro="" textlink="">
          <xdr:nvSpPr>
            <xdr:cNvPr id="163439" name="Option Button 18031" hidden="1">
              <a:extLst>
                <a:ext uri="{63B3BB69-23CF-44E3-9099-C40C66FF867C}">
                  <a14:compatExt spid="_x0000_s163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13</xdr:row>
          <xdr:rowOff>581025</xdr:rowOff>
        </xdr:from>
        <xdr:to>
          <xdr:col>8</xdr:col>
          <xdr:colOff>266700</xdr:colOff>
          <xdr:row>13</xdr:row>
          <xdr:rowOff>771525</xdr:rowOff>
        </xdr:to>
        <xdr:sp macro="" textlink="">
          <xdr:nvSpPr>
            <xdr:cNvPr id="163440" name="Option Button 18032" hidden="1">
              <a:extLst>
                <a:ext uri="{63B3BB69-23CF-44E3-9099-C40C66FF867C}">
                  <a14:compatExt spid="_x0000_s1634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13</xdr:row>
          <xdr:rowOff>581025</xdr:rowOff>
        </xdr:from>
        <xdr:to>
          <xdr:col>10</xdr:col>
          <xdr:colOff>9525</xdr:colOff>
          <xdr:row>13</xdr:row>
          <xdr:rowOff>771525</xdr:rowOff>
        </xdr:to>
        <xdr:sp macro="" textlink="">
          <xdr:nvSpPr>
            <xdr:cNvPr id="163441" name="Option Button 18033" hidden="1">
              <a:extLst>
                <a:ext uri="{63B3BB69-23CF-44E3-9099-C40C66FF867C}">
                  <a14:compatExt spid="_x0000_s163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13</xdr:row>
          <xdr:rowOff>581025</xdr:rowOff>
        </xdr:from>
        <xdr:to>
          <xdr:col>11</xdr:col>
          <xdr:colOff>9525</xdr:colOff>
          <xdr:row>13</xdr:row>
          <xdr:rowOff>771525</xdr:rowOff>
        </xdr:to>
        <xdr:sp macro="" textlink="">
          <xdr:nvSpPr>
            <xdr:cNvPr id="163442" name="Option Button 18034" hidden="1">
              <a:extLst>
                <a:ext uri="{63B3BB69-23CF-44E3-9099-C40C66FF867C}">
                  <a14:compatExt spid="_x0000_s163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13</xdr:row>
          <xdr:rowOff>581025</xdr:rowOff>
        </xdr:from>
        <xdr:to>
          <xdr:col>11</xdr:col>
          <xdr:colOff>247650</xdr:colOff>
          <xdr:row>13</xdr:row>
          <xdr:rowOff>771525</xdr:rowOff>
        </xdr:to>
        <xdr:sp macro="" textlink="">
          <xdr:nvSpPr>
            <xdr:cNvPr id="163443" name="Option Button 18035" hidden="1">
              <a:extLst>
                <a:ext uri="{63B3BB69-23CF-44E3-9099-C40C66FF867C}">
                  <a14:compatExt spid="_x0000_s163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13</xdr:row>
          <xdr:rowOff>1295400</xdr:rowOff>
        </xdr:from>
        <xdr:to>
          <xdr:col>12</xdr:col>
          <xdr:colOff>0</xdr:colOff>
          <xdr:row>15</xdr:row>
          <xdr:rowOff>9525</xdr:rowOff>
        </xdr:to>
        <xdr:sp macro="" textlink="">
          <xdr:nvSpPr>
            <xdr:cNvPr id="224456" name="Group Box 24776" hidden="1">
              <a:extLst>
                <a:ext uri="{63B3BB69-23CF-44E3-9099-C40C66FF867C}">
                  <a14:compatExt spid="_x0000_s224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14</xdr:row>
          <xdr:rowOff>581025</xdr:rowOff>
        </xdr:from>
        <xdr:to>
          <xdr:col>7</xdr:col>
          <xdr:colOff>276225</xdr:colOff>
          <xdr:row>14</xdr:row>
          <xdr:rowOff>771525</xdr:rowOff>
        </xdr:to>
        <xdr:sp macro="" textlink="">
          <xdr:nvSpPr>
            <xdr:cNvPr id="224457" name="Option Button 24777" hidden="1">
              <a:extLst>
                <a:ext uri="{63B3BB69-23CF-44E3-9099-C40C66FF867C}">
                  <a14:compatExt spid="_x0000_s224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14</xdr:row>
          <xdr:rowOff>581025</xdr:rowOff>
        </xdr:from>
        <xdr:to>
          <xdr:col>8</xdr:col>
          <xdr:colOff>266700</xdr:colOff>
          <xdr:row>14</xdr:row>
          <xdr:rowOff>771525</xdr:rowOff>
        </xdr:to>
        <xdr:sp macro="" textlink="">
          <xdr:nvSpPr>
            <xdr:cNvPr id="224458" name="Option Button 24778" hidden="1">
              <a:extLst>
                <a:ext uri="{63B3BB69-23CF-44E3-9099-C40C66FF867C}">
                  <a14:compatExt spid="_x0000_s224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14</xdr:row>
          <xdr:rowOff>581025</xdr:rowOff>
        </xdr:from>
        <xdr:to>
          <xdr:col>10</xdr:col>
          <xdr:colOff>9525</xdr:colOff>
          <xdr:row>14</xdr:row>
          <xdr:rowOff>771525</xdr:rowOff>
        </xdr:to>
        <xdr:sp macro="" textlink="">
          <xdr:nvSpPr>
            <xdr:cNvPr id="224459" name="Option Button 24779" hidden="1">
              <a:extLst>
                <a:ext uri="{63B3BB69-23CF-44E3-9099-C40C66FF867C}">
                  <a14:compatExt spid="_x0000_s224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14</xdr:row>
          <xdr:rowOff>581025</xdr:rowOff>
        </xdr:from>
        <xdr:to>
          <xdr:col>11</xdr:col>
          <xdr:colOff>9525</xdr:colOff>
          <xdr:row>14</xdr:row>
          <xdr:rowOff>771525</xdr:rowOff>
        </xdr:to>
        <xdr:sp macro="" textlink="">
          <xdr:nvSpPr>
            <xdr:cNvPr id="224460" name="Option Button 24780" hidden="1">
              <a:extLst>
                <a:ext uri="{63B3BB69-23CF-44E3-9099-C40C66FF867C}">
                  <a14:compatExt spid="_x0000_s224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14</xdr:row>
          <xdr:rowOff>581025</xdr:rowOff>
        </xdr:from>
        <xdr:to>
          <xdr:col>11</xdr:col>
          <xdr:colOff>247650</xdr:colOff>
          <xdr:row>14</xdr:row>
          <xdr:rowOff>771525</xdr:rowOff>
        </xdr:to>
        <xdr:sp macro="" textlink="">
          <xdr:nvSpPr>
            <xdr:cNvPr id="224461" name="Option Button 24781" hidden="1">
              <a:extLst>
                <a:ext uri="{63B3BB69-23CF-44E3-9099-C40C66FF867C}">
                  <a14:compatExt spid="_x0000_s224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15</xdr:row>
          <xdr:rowOff>0</xdr:rowOff>
        </xdr:from>
        <xdr:to>
          <xdr:col>12</xdr:col>
          <xdr:colOff>0</xdr:colOff>
          <xdr:row>15</xdr:row>
          <xdr:rowOff>1428750</xdr:rowOff>
        </xdr:to>
        <xdr:sp macro="" textlink="">
          <xdr:nvSpPr>
            <xdr:cNvPr id="224795" name="Group Box 25115" hidden="1">
              <a:extLst>
                <a:ext uri="{63B3BB69-23CF-44E3-9099-C40C66FF867C}">
                  <a14:compatExt spid="_x0000_s2247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15</xdr:row>
          <xdr:rowOff>581025</xdr:rowOff>
        </xdr:from>
        <xdr:to>
          <xdr:col>7</xdr:col>
          <xdr:colOff>276225</xdr:colOff>
          <xdr:row>15</xdr:row>
          <xdr:rowOff>771525</xdr:rowOff>
        </xdr:to>
        <xdr:sp macro="" textlink="">
          <xdr:nvSpPr>
            <xdr:cNvPr id="224796" name="Option Button 25116" hidden="1">
              <a:extLst>
                <a:ext uri="{63B3BB69-23CF-44E3-9099-C40C66FF867C}">
                  <a14:compatExt spid="_x0000_s2247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15</xdr:row>
          <xdr:rowOff>581025</xdr:rowOff>
        </xdr:from>
        <xdr:to>
          <xdr:col>8</xdr:col>
          <xdr:colOff>266700</xdr:colOff>
          <xdr:row>15</xdr:row>
          <xdr:rowOff>771525</xdr:rowOff>
        </xdr:to>
        <xdr:sp macro="" textlink="">
          <xdr:nvSpPr>
            <xdr:cNvPr id="224797" name="Option Button 25117" hidden="1">
              <a:extLst>
                <a:ext uri="{63B3BB69-23CF-44E3-9099-C40C66FF867C}">
                  <a14:compatExt spid="_x0000_s2247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15</xdr:row>
          <xdr:rowOff>581025</xdr:rowOff>
        </xdr:from>
        <xdr:to>
          <xdr:col>10</xdr:col>
          <xdr:colOff>9525</xdr:colOff>
          <xdr:row>15</xdr:row>
          <xdr:rowOff>771525</xdr:rowOff>
        </xdr:to>
        <xdr:sp macro="" textlink="">
          <xdr:nvSpPr>
            <xdr:cNvPr id="224798" name="Option Button 25118" hidden="1">
              <a:extLst>
                <a:ext uri="{63B3BB69-23CF-44E3-9099-C40C66FF867C}">
                  <a14:compatExt spid="_x0000_s2247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15</xdr:row>
          <xdr:rowOff>581025</xdr:rowOff>
        </xdr:from>
        <xdr:to>
          <xdr:col>11</xdr:col>
          <xdr:colOff>9525</xdr:colOff>
          <xdr:row>15</xdr:row>
          <xdr:rowOff>771525</xdr:rowOff>
        </xdr:to>
        <xdr:sp macro="" textlink="">
          <xdr:nvSpPr>
            <xdr:cNvPr id="224799" name="Option Button 25119" hidden="1">
              <a:extLst>
                <a:ext uri="{63B3BB69-23CF-44E3-9099-C40C66FF867C}">
                  <a14:compatExt spid="_x0000_s2247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15</xdr:row>
          <xdr:rowOff>581025</xdr:rowOff>
        </xdr:from>
        <xdr:to>
          <xdr:col>11</xdr:col>
          <xdr:colOff>247650</xdr:colOff>
          <xdr:row>15</xdr:row>
          <xdr:rowOff>771525</xdr:rowOff>
        </xdr:to>
        <xdr:sp macro="" textlink="">
          <xdr:nvSpPr>
            <xdr:cNvPr id="224800" name="Option Button 25120" hidden="1">
              <a:extLst>
                <a:ext uri="{63B3BB69-23CF-44E3-9099-C40C66FF867C}">
                  <a14:compatExt spid="_x0000_s2248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16</xdr:row>
          <xdr:rowOff>0</xdr:rowOff>
        </xdr:from>
        <xdr:to>
          <xdr:col>12</xdr:col>
          <xdr:colOff>0</xdr:colOff>
          <xdr:row>17</xdr:row>
          <xdr:rowOff>0</xdr:rowOff>
        </xdr:to>
        <xdr:sp macro="" textlink="">
          <xdr:nvSpPr>
            <xdr:cNvPr id="225134" name="Group Box 25454" hidden="1">
              <a:extLst>
                <a:ext uri="{63B3BB69-23CF-44E3-9099-C40C66FF867C}">
                  <a14:compatExt spid="_x0000_s22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16</xdr:row>
          <xdr:rowOff>581025</xdr:rowOff>
        </xdr:from>
        <xdr:to>
          <xdr:col>7</xdr:col>
          <xdr:colOff>276225</xdr:colOff>
          <xdr:row>16</xdr:row>
          <xdr:rowOff>771525</xdr:rowOff>
        </xdr:to>
        <xdr:sp macro="" textlink="">
          <xdr:nvSpPr>
            <xdr:cNvPr id="225135" name="Option Button 25455" hidden="1">
              <a:extLst>
                <a:ext uri="{63B3BB69-23CF-44E3-9099-C40C66FF867C}">
                  <a14:compatExt spid="_x0000_s225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16</xdr:row>
          <xdr:rowOff>581025</xdr:rowOff>
        </xdr:from>
        <xdr:to>
          <xdr:col>8</xdr:col>
          <xdr:colOff>266700</xdr:colOff>
          <xdr:row>16</xdr:row>
          <xdr:rowOff>771525</xdr:rowOff>
        </xdr:to>
        <xdr:sp macro="" textlink="">
          <xdr:nvSpPr>
            <xdr:cNvPr id="225136" name="Option Button 25456" hidden="1">
              <a:extLst>
                <a:ext uri="{63B3BB69-23CF-44E3-9099-C40C66FF867C}">
                  <a14:compatExt spid="_x0000_s225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16</xdr:row>
          <xdr:rowOff>581025</xdr:rowOff>
        </xdr:from>
        <xdr:to>
          <xdr:col>10</xdr:col>
          <xdr:colOff>9525</xdr:colOff>
          <xdr:row>16</xdr:row>
          <xdr:rowOff>771525</xdr:rowOff>
        </xdr:to>
        <xdr:sp macro="" textlink="">
          <xdr:nvSpPr>
            <xdr:cNvPr id="225137" name="Option Button 25457" hidden="1">
              <a:extLst>
                <a:ext uri="{63B3BB69-23CF-44E3-9099-C40C66FF867C}">
                  <a14:compatExt spid="_x0000_s225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16</xdr:row>
          <xdr:rowOff>581025</xdr:rowOff>
        </xdr:from>
        <xdr:to>
          <xdr:col>11</xdr:col>
          <xdr:colOff>9525</xdr:colOff>
          <xdr:row>16</xdr:row>
          <xdr:rowOff>771525</xdr:rowOff>
        </xdr:to>
        <xdr:sp macro="" textlink="">
          <xdr:nvSpPr>
            <xdr:cNvPr id="225138" name="Option Button 25458" hidden="1">
              <a:extLst>
                <a:ext uri="{63B3BB69-23CF-44E3-9099-C40C66FF867C}">
                  <a14:compatExt spid="_x0000_s225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16</xdr:row>
          <xdr:rowOff>581025</xdr:rowOff>
        </xdr:from>
        <xdr:to>
          <xdr:col>11</xdr:col>
          <xdr:colOff>247650</xdr:colOff>
          <xdr:row>16</xdr:row>
          <xdr:rowOff>771525</xdr:rowOff>
        </xdr:to>
        <xdr:sp macro="" textlink="">
          <xdr:nvSpPr>
            <xdr:cNvPr id="225139" name="Option Button 25459" hidden="1">
              <a:extLst>
                <a:ext uri="{63B3BB69-23CF-44E3-9099-C40C66FF867C}">
                  <a14:compatExt spid="_x0000_s225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19</xdr:row>
          <xdr:rowOff>514350</xdr:rowOff>
        </xdr:from>
        <xdr:to>
          <xdr:col>7</xdr:col>
          <xdr:colOff>257175</xdr:colOff>
          <xdr:row>19</xdr:row>
          <xdr:rowOff>704850</xdr:rowOff>
        </xdr:to>
        <xdr:sp macro="" textlink="">
          <xdr:nvSpPr>
            <xdr:cNvPr id="314989" name="Option Button 35437" hidden="1">
              <a:extLst>
                <a:ext uri="{63B3BB69-23CF-44E3-9099-C40C66FF867C}">
                  <a14:compatExt spid="_x0000_s3149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19</xdr:row>
          <xdr:rowOff>514350</xdr:rowOff>
        </xdr:from>
        <xdr:to>
          <xdr:col>8</xdr:col>
          <xdr:colOff>257175</xdr:colOff>
          <xdr:row>19</xdr:row>
          <xdr:rowOff>704850</xdr:rowOff>
        </xdr:to>
        <xdr:sp macro="" textlink="">
          <xdr:nvSpPr>
            <xdr:cNvPr id="314990" name="Option Button 35438" hidden="1">
              <a:extLst>
                <a:ext uri="{63B3BB69-23CF-44E3-9099-C40C66FF867C}">
                  <a14:compatExt spid="_x0000_s3149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19</xdr:row>
          <xdr:rowOff>514350</xdr:rowOff>
        </xdr:from>
        <xdr:to>
          <xdr:col>9</xdr:col>
          <xdr:colOff>257175</xdr:colOff>
          <xdr:row>19</xdr:row>
          <xdr:rowOff>704850</xdr:rowOff>
        </xdr:to>
        <xdr:sp macro="" textlink="">
          <xdr:nvSpPr>
            <xdr:cNvPr id="314991" name="Option Button 35439" hidden="1">
              <a:extLst>
                <a:ext uri="{63B3BB69-23CF-44E3-9099-C40C66FF867C}">
                  <a14:compatExt spid="_x0000_s3149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19</xdr:row>
          <xdr:rowOff>514350</xdr:rowOff>
        </xdr:from>
        <xdr:to>
          <xdr:col>10</xdr:col>
          <xdr:colOff>257175</xdr:colOff>
          <xdr:row>19</xdr:row>
          <xdr:rowOff>704850</xdr:rowOff>
        </xdr:to>
        <xdr:sp macro="" textlink="">
          <xdr:nvSpPr>
            <xdr:cNvPr id="314992" name="Option Button 35440" hidden="1">
              <a:extLst>
                <a:ext uri="{63B3BB69-23CF-44E3-9099-C40C66FF867C}">
                  <a14:compatExt spid="_x0000_s3149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19</xdr:row>
          <xdr:rowOff>9525</xdr:rowOff>
        </xdr:from>
        <xdr:to>
          <xdr:col>12</xdr:col>
          <xdr:colOff>0</xdr:colOff>
          <xdr:row>20</xdr:row>
          <xdr:rowOff>9525</xdr:rowOff>
        </xdr:to>
        <xdr:sp macro="" textlink="">
          <xdr:nvSpPr>
            <xdr:cNvPr id="314993" name="Group Box 35441" hidden="1">
              <a:extLst>
                <a:ext uri="{63B3BB69-23CF-44E3-9099-C40C66FF867C}">
                  <a14:compatExt spid="_x0000_s3149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19</xdr:row>
          <xdr:rowOff>514350</xdr:rowOff>
        </xdr:from>
        <xdr:to>
          <xdr:col>11</xdr:col>
          <xdr:colOff>257175</xdr:colOff>
          <xdr:row>19</xdr:row>
          <xdr:rowOff>704850</xdr:rowOff>
        </xdr:to>
        <xdr:sp macro="" textlink="">
          <xdr:nvSpPr>
            <xdr:cNvPr id="314994" name="Option Button 35442" hidden="1">
              <a:extLst>
                <a:ext uri="{63B3BB69-23CF-44E3-9099-C40C66FF867C}">
                  <a14:compatExt spid="_x0000_s314994"/>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19</xdr:col>
      <xdr:colOff>0</xdr:colOff>
      <xdr:row>23</xdr:row>
      <xdr:rowOff>0</xdr:rowOff>
    </xdr:from>
    <xdr:to>
      <xdr:col>24</xdr:col>
      <xdr:colOff>9525</xdr:colOff>
      <xdr:row>24</xdr:row>
      <xdr:rowOff>9525</xdr:rowOff>
    </xdr:to>
    <xdr:sp macro="" textlink="">
      <xdr:nvSpPr>
        <xdr:cNvPr id="1096374"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6375"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6376"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6377"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6378"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6379"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6380"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6381"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6382"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6383"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6384"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6385"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6386"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6387"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6388"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6389"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6390"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6391"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6392"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6393"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6394"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6395"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6396"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6397"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398"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399"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6400"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6401"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402"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403"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404"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405"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6406"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6407"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6408"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6409"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6410"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6411"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6412"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6413"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6414"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6415"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6416"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6417"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6418"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6419"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6420"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6421"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6422"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6423"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6424"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6425"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6426"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6427"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6428"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6429"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6430"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6431"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6432"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6433"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6434"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6435"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6436"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6437"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6438"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6439"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6440"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6441"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6442"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6443"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6444"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445"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446"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6447"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6448"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6449"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6450"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6451"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6452"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6453"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6454"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6455"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6456"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6457"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6458"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6459"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6460"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6461"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6462"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6463"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6464"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6465"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6466"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6467"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6468"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6469"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6470"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6471"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6472"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6473"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6474"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6475"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6476"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6477"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6478"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6479"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6480"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6481"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6482"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6483"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484"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485"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6486"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6487"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488"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489"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490"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491"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6492"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6493"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6494"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6495"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6496"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6497"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6498"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6499"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6500"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6501"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6502"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6503"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6504"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6505"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6506"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6507"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6508"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6509"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6510"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6511"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6512"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6513"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6514"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6515"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6516"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6517"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6518"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6519"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6520"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6521"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522"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523"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6524"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6525"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6526"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6527"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6528"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6529"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6530"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6531"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6532"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6533"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6534"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6535"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6536"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6537"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6538"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6539"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6540"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6541"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6542"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6543"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6544"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6545"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6546"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6547"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6548"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6549"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6550"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6551"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6552"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6553"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6554"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555"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556"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6557"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6558"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559"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560"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561"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562"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6563"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6564"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6565"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6566"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6567"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6568"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6569"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6570"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6571"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6572"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6573"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6574"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6575"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6576"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6577"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6578"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6579"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6580"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6581"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6582"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6583"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6584"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6585"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6586"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6587"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6588"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6589"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6590"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6591"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6592"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593"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594"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6595"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6596"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6597"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6598"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6599"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6600"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6601"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6602"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6603"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6604"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6605"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6606"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6607"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6608"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6609"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6610"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6611"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6612"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6613"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6614"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6615"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6616"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6617"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6618"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6619"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6620"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6621"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6622"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6623"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6624"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6625"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626"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627"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6628"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6629"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630"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631"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632"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633"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6634"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6635"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6636"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6637"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6638"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6639"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6640"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6641"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6642"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6643"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6644"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6645"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6646"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6647"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6648"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6649"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6650"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6651"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6652"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6653"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6654"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6655"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6656"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6657"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6658"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6659"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6660"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6661"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6662"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6663"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664"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6665"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6666"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6667"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6668"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6669"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6670"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6671"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6672"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6673"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6674"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6675"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6676"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6677"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6678"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6679"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6680"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6681"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6682"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6683"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6684"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6685"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6686"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6687"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6688"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6689"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6690"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6691"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6692"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6693"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6694"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6695"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6696"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697"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6698"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6699"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6700"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701"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6702"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6703"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7728"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7729"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7730"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7731"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7732"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7733"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7734"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7735"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7736"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7737"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7738"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7739"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7740"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7741"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7742"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7743"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7744"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7745"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7746"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7747"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7748"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7749"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7750"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7751"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7752"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7753"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7754"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7755"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7756"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7757"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7758"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759"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760"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7761"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7762"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7763"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7764"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7765"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7766"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7767"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7768"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7769"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7770"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7771"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7772"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7773"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7774"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7775"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7776"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7777"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7778"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7779"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7780"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7781"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7782"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7783"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7784"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7785"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7786"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7787"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7788"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7789"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7790"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7791"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7792"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7793"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7794"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7795"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7796"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7797"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7798"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7799"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7800"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7801"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7802"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7803"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7804"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7805"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7806"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7807"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7808"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7809"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7810"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7811"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7812"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7813"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7814"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7815"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7816"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7817"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7818"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7819"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7820"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7821"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7822"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7823"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7824"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7825"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7826"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7827"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7828"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7829"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830"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831"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7832"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7833"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7834"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7835"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7836"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7837"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7838"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7839"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7840"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7841"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7842"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7843"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7844"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7845"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7846"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7847"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7848"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7849"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7850"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7851"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7852"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7853"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7854"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7855"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7856"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7857"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7858"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7859"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7860"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7861"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7862"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7863"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7864"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7865"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7866"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7867"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7868"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7869"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7870"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7871"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7872"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7873"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7874"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7875"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7876"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7877"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7878"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7879"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7880"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7881"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7882"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7883"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7884"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7885"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7886"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7887"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7888"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7889"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7890"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7891"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7892"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7893"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7894"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7895"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7896"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7897"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7898"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7899"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7900"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901"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902"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7903"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7904"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7905"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7906"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7907"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7908"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7909"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7910"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7911"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7912"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7913"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7914"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7915"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7916"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7917"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7918"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7919"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7920"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7921"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7922"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7923"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7924"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7925"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7926"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7927"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7928"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7929"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7930"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7931"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7932"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7933"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7934"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7935"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7936"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7937"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7938"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7939"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7940"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7941"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7942"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7943"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7944"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7945"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7946"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7947"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7948"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7949"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7950"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7951"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7952"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7953"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7954"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7955"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7956"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7957"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7958"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7959"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7960"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7961"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7962"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7963"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7964"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7965"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7966"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7967"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7968"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7969"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7970"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7971"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972"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7973"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7974"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7975"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7976"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7977"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7978"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7979"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7980"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7981"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7982"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7983"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7984"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7985"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7986"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7987"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7988"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7989"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7990"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7991"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7992"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7993"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7994"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7995"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7996"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7997"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7998"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7999"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000"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001"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002"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003"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004"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005"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006"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007"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008"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009"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010"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011"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012"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013"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014"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015"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016"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017"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018"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019"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020"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021"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022"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023"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024"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025"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026"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027"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028"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029"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030"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031"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032"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8033"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034"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035"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036"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8037"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038"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039"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040"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041"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042"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043"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044"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045"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046"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047"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048"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049"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050"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051"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052"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053"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054"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055"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056"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057"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058"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059"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060"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061"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062"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063"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064"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065"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066"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067"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068"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069"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070"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071"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072"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073"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074"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075"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076"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077"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078"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079"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080"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081"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082"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083"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084"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085"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086"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087"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088"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089"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090"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091"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092"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093"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094"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095"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096"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097"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098"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099"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100"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101"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102"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103"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8104"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105"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106"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107"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8108"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109"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110"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111"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112"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113"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114"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115"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116"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117"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118"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119"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120"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121"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122"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123"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124"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125"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126"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127"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128"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129"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130"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131"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132"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133"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134"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135"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136"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137"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138"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139"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140"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141"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142"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143"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144"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145"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146"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147"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148"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149"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150"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151"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152"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153"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154"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155"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156"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157"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158"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159"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160"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161"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162"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163"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164"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165"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166"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167"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168"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169"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170"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171"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172"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173"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174"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351</xdr:row>
      <xdr:rowOff>0</xdr:rowOff>
    </xdr:to>
    <xdr:sp macro="" textlink="">
      <xdr:nvSpPr>
        <xdr:cNvPr id="1098175" name="Group Box 393" hidden="1"/>
        <xdr:cNvSpPr>
          <a:spLocks noChangeArrowheads="1"/>
        </xdr:cNvSpPr>
      </xdr:nvSpPr>
      <xdr:spPr bwMode="auto">
        <a:xfrm>
          <a:off x="16278225" y="107756325"/>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176"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177"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178"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976313</xdr:rowOff>
    </xdr:to>
    <xdr:sp macro="" textlink="">
      <xdr:nvSpPr>
        <xdr:cNvPr id="1098179" name="Group Box 406" hidden="1"/>
        <xdr:cNvSpPr>
          <a:spLocks noChangeArrowheads="1"/>
        </xdr:cNvSpPr>
      </xdr:nvSpPr>
      <xdr:spPr bwMode="auto">
        <a:xfrm>
          <a:off x="16278225" y="118967250"/>
          <a:ext cx="14573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180"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181"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182"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183"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184"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185"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186"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187"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188"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189"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190"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191"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192"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193"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194"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195"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196"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197"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198"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199"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200"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201"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202"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203"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204"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205"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206"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207"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208"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209"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210"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211"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212"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213"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214"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215"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216"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217"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218"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219"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220"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221"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222"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223"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224"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225"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226"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227"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228"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229"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230"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231"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232"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233"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234"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235"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236"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237"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238"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239"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240"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241"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242"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243"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244"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245"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351</xdr:row>
      <xdr:rowOff>0</xdr:rowOff>
    </xdr:to>
    <xdr:sp macro="" textlink="">
      <xdr:nvSpPr>
        <xdr:cNvPr id="1098246" name="Group Box 393" hidden="1"/>
        <xdr:cNvSpPr>
          <a:spLocks noChangeArrowheads="1"/>
        </xdr:cNvSpPr>
      </xdr:nvSpPr>
      <xdr:spPr bwMode="auto">
        <a:xfrm>
          <a:off x="16278225" y="107756325"/>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247"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248"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249"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8250"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251"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252"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253"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254"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255"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256"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257"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258"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259"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260"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261"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262"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263"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264"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265"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266"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267"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268"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269"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270"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271"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272"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273"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274"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275"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276"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277"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278"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279"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280"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281"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282"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283"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284"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285"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286"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287"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288"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289"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290"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291"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292"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293"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294"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295"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296"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297"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298"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299"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300"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301"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302"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303"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304"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305"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306"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307"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308"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309"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310"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311"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312"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313"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314"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315"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316"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351</xdr:row>
      <xdr:rowOff>0</xdr:rowOff>
    </xdr:to>
    <xdr:sp macro="" textlink="">
      <xdr:nvSpPr>
        <xdr:cNvPr id="1098317" name="Group Box 393" hidden="1"/>
        <xdr:cNvSpPr>
          <a:spLocks noChangeArrowheads="1"/>
        </xdr:cNvSpPr>
      </xdr:nvSpPr>
      <xdr:spPr bwMode="auto">
        <a:xfrm>
          <a:off x="16278225" y="107756325"/>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318"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319"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320"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8321"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322"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323"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324"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325"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326"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327"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328"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329"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330"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331"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332"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333"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334"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335"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336"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337"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338"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339"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340"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341"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342"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343"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344"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345"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346"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347"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348"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349"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350"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351"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352"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353"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354"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355"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356"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357"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358"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359"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360"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361"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362"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363"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364"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365"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366"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367"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368"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369"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370"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371"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372"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373"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374"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375"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376"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377"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378"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379"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380"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381"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382"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383"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384"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385"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386"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387"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351</xdr:row>
      <xdr:rowOff>0</xdr:rowOff>
    </xdr:to>
    <xdr:sp macro="" textlink="">
      <xdr:nvSpPr>
        <xdr:cNvPr id="1098388" name="Group Box 393" hidden="1"/>
        <xdr:cNvSpPr>
          <a:spLocks noChangeArrowheads="1"/>
        </xdr:cNvSpPr>
      </xdr:nvSpPr>
      <xdr:spPr bwMode="auto">
        <a:xfrm>
          <a:off x="16278225" y="107756325"/>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389"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390"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391"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8392"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393"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394"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395"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396"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397"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398"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399"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400"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401"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402"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403"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404"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405"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406"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407"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408"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409"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410"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411"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412"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413"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414"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415"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416"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417"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418"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419"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420"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421"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422"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423"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424"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425"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426"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427"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428"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429"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430"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431"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432"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433"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434"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435"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436"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437"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438"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439"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440"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441"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442"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443"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444"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445"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446"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447"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448"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449"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450"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451"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452"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453"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454"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455"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456"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457"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458"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351</xdr:row>
      <xdr:rowOff>0</xdr:rowOff>
    </xdr:to>
    <xdr:sp macro="" textlink="">
      <xdr:nvSpPr>
        <xdr:cNvPr id="1098459" name="Group Box 393" hidden="1"/>
        <xdr:cNvSpPr>
          <a:spLocks noChangeArrowheads="1"/>
        </xdr:cNvSpPr>
      </xdr:nvSpPr>
      <xdr:spPr bwMode="auto">
        <a:xfrm>
          <a:off x="16278225" y="107756325"/>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460"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461"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462"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8463"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464"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465"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466"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467"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468"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469"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470"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471"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472"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473"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474"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475"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476"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477"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478"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479"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480"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481"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482"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483"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484"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485"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486"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487"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488"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489"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490"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491"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492"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493"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494"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495"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496"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497"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498"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499"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500"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501"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502"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503"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28575</xdr:rowOff>
    </xdr:to>
    <xdr:sp macro="" textlink="">
      <xdr:nvSpPr>
        <xdr:cNvPr id="1098504" name="Group Box 195" hidden="1"/>
        <xdr:cNvSpPr>
          <a:spLocks noChangeArrowheads="1"/>
        </xdr:cNvSpPr>
      </xdr:nvSpPr>
      <xdr:spPr bwMode="auto">
        <a:xfrm>
          <a:off x="11744325" y="5724525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47626</xdr:rowOff>
    </xdr:to>
    <xdr:sp macro="" textlink="">
      <xdr:nvSpPr>
        <xdr:cNvPr id="1098505" name="Group Box 197" hidden="1"/>
        <xdr:cNvSpPr>
          <a:spLocks noChangeArrowheads="1"/>
        </xdr:cNvSpPr>
      </xdr:nvSpPr>
      <xdr:spPr bwMode="auto">
        <a:xfrm>
          <a:off x="11744325" y="59512200"/>
          <a:ext cx="32480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506"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507"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508"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509"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510"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511"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512"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513"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514"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515"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516"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517"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518"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519"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520"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521"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522"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523"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524"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525"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526"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527"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528"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9525</xdr:rowOff>
    </xdr:to>
    <xdr:sp macro="" textlink="">
      <xdr:nvSpPr>
        <xdr:cNvPr id="1098529" name="Group Box 389" hidden="1"/>
        <xdr:cNvSpPr>
          <a:spLocks noChangeArrowheads="1"/>
        </xdr:cNvSpPr>
      </xdr:nvSpPr>
      <xdr:spPr bwMode="auto">
        <a:xfrm>
          <a:off x="16278225" y="102831900"/>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351</xdr:row>
      <xdr:rowOff>0</xdr:rowOff>
    </xdr:to>
    <xdr:sp macro="" textlink="">
      <xdr:nvSpPr>
        <xdr:cNvPr id="1098530" name="Group Box 393" hidden="1"/>
        <xdr:cNvSpPr>
          <a:spLocks noChangeArrowheads="1"/>
        </xdr:cNvSpPr>
      </xdr:nvSpPr>
      <xdr:spPr bwMode="auto">
        <a:xfrm>
          <a:off x="16278225" y="107756325"/>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531"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532"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533"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962025</xdr:rowOff>
    </xdr:to>
    <xdr:sp macro="" textlink="">
      <xdr:nvSpPr>
        <xdr:cNvPr id="1098534" name="Group Box 406" hidden="1"/>
        <xdr:cNvSpPr>
          <a:spLocks noChangeArrowheads="1"/>
        </xdr:cNvSpPr>
      </xdr:nvSpPr>
      <xdr:spPr bwMode="auto">
        <a:xfrm>
          <a:off x="16278225" y="118967250"/>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535"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536"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537"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538"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539"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540"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541"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542"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543"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544"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545"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546"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547"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548"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549"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550"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551"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552"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553"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8554"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8555"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8556"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8557"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558"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8559"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8560"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8561"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8562"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8563"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564"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565"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566"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567"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568"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569"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570"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571"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572"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573"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574"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575"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576"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577"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578"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579"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580"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581"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582"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583"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584"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585"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586"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587"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588"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589"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590"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8591"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592"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593"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594"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595"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596"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597"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598"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599"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600"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601"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602"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603"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604"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605"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606"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607"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608"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609"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610"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611"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612"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613"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614"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8615"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8616"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617"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618"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619"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8620"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621"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622"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623"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624"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625"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626"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627"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628"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629"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630"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631"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632"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633"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634"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635"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636"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637"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638"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639"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8640"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8641"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8642"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8643"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644"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8645"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8646"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8647"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8648"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8649"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650"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651"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652"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653"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654"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655"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656"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657"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658"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659"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660"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661"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662"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663"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664"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665"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666"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667"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668"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669"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670"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671"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672"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673"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674"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675"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676"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8677"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678"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679"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680"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681"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682"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683"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684"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685"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686"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687"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688"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689"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690"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691"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692"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693"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694"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695"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696"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697"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698"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699"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700"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8701"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8702"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703"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704"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705"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8706"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707"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708"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709"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710"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711"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712"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713"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714"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715"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716"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717"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718"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719"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720"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721"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722"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723"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724"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725"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8726"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8727"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8728"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8729"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730"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8731"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8732"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8733"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8734"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8735"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736"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737"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738"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739"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740"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741"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742"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743"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744"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745"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746"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747"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748"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749"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750"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751"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752"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753"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754"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755"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756"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757"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758"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759"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760"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761"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762"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8763"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764"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765"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766"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767"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768"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769"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770"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771"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772"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773"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774"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775"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776"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777"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778"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779"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780"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781"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782"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783"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784"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785"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786"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8787"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8788"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789"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790"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791"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8792"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793"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794"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795"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796"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797"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798"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799"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800"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801"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802"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803"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804"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805"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806"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807"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808"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809"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810"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811"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8812"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8813"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8814"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8815"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816"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8817"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8818"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8819"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8820"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8821"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822"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823"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824"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825"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826"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827"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828"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829"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830"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831"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832"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833"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834"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835"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836"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837"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838"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839"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840"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841"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842"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843"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844"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845"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846"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847"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848"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8849"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850"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851"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852"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853"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854"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855"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856"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857"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858"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859"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860"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861"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862"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863"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864"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865"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866"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867"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868"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869"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870"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871"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872"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8873"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8874"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875"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876"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877"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8878"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879"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880"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881"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882"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883"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884"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885"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886"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887"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888"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889"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890"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891"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892"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893"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894"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895"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896"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897"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8898"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8899"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8900"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8901"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902"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8903"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8904"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8905"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8906"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8907"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908"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909"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910"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911"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912"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913"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8914"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8915"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8916"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8917"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8918"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8919"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8920"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921"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922"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923"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924"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925"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8926"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8927"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8928"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8929"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8930"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8931"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932"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933"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8934"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8935"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936"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8937"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938"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8939"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8940"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8941"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8942"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8943"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8944"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8945"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8946"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8947"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8948"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8949"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8950"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8951"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8952"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8953"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8954"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8955"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8956"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957"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8958"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8959"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8960"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8961"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8962"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8963"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8964"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8965"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8966"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8967"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8968"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8969"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970"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8971"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8972"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8973"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8974"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8975"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8976"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8977"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8978"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8979"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8980"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8981"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8982"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8983"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8984"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8985"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8986"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8987"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8988"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8989"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8990"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8991"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8992"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8993"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8994"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8995"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8996"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8997"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8998"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8999"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9000"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9001"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9002"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9003"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9004"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9005"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9006"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007"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008"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009"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010"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011"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9012"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9013"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9014"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9015"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9016"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9017"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018"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019"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020"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9021"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022"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023"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024"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025"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9026"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9027"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9028"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9029"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9030"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9031"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9032"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9033"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9034"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9035"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9036"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9037"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9038"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9039"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9040"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9041"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9042"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043"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9044"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9045"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9046"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9047"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9048"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9049"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9050"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9051"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9052"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9053"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9054"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9055"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056"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057"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9058"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9059"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9060"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9061"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9062"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9063"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9064"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065"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066"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067"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068"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069"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9070"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9071"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9072"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9073"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074"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9075"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9076"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9077"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9078"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9079"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9080"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9081"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9082"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9083"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9084"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9085"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9086"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9087"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9088"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9089"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9090"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9091"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9092"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093"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094"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095"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096"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097"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9098"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9099"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9100"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9101"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9102"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9103"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104"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105"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106"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9107"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108"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109"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110"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111"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9112"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9113"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9114"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9115"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9116"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9117"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17</xdr:col>
      <xdr:colOff>714375</xdr:colOff>
      <xdr:row>239</xdr:row>
      <xdr:rowOff>9525</xdr:rowOff>
    </xdr:from>
    <xdr:to>
      <xdr:col>22</xdr:col>
      <xdr:colOff>0</xdr:colOff>
      <xdr:row>245</xdr:row>
      <xdr:rowOff>9525</xdr:rowOff>
    </xdr:to>
    <xdr:sp macro="" textlink="">
      <xdr:nvSpPr>
        <xdr:cNvPr id="1099118" name="Group Box 296" hidden="1"/>
        <xdr:cNvSpPr>
          <a:spLocks noChangeArrowheads="1"/>
        </xdr:cNvSpPr>
      </xdr:nvSpPr>
      <xdr:spPr bwMode="auto">
        <a:xfrm>
          <a:off x="15668625" y="81419700"/>
          <a:ext cx="14954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9119"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9120"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9121"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9122"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9123"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9124"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9125"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9126"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9127"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9128"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129"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9130"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9131"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9132"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9133"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9134"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9135"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9136"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9137"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9138"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9139"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9140"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9141"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142"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143"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9144"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9145"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9146"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9147"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9148"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9149"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9150"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151"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152"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153"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154"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155"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9156"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9157"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9158"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9159"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160"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9161"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9162"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9163"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9164"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9165"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9166"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9167"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9168"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9169"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9170"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9171"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9172"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9173"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9174"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9175"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9176"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9177"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9178"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179"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180"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181"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182"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183"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9184"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9185"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9186"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9187"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9188"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9189"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190"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191"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192"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9193"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194"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195"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196"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197"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9198"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9199"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9200"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9201"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9202"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9203"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239</xdr:row>
      <xdr:rowOff>9525</xdr:rowOff>
    </xdr:from>
    <xdr:to>
      <xdr:col>24</xdr:col>
      <xdr:colOff>0</xdr:colOff>
      <xdr:row>245</xdr:row>
      <xdr:rowOff>9525</xdr:rowOff>
    </xdr:to>
    <xdr:sp macro="" textlink="">
      <xdr:nvSpPr>
        <xdr:cNvPr id="1099204" name="Group Box 296" hidden="1"/>
        <xdr:cNvSpPr>
          <a:spLocks noChangeArrowheads="1"/>
        </xdr:cNvSpPr>
      </xdr:nvSpPr>
      <xdr:spPr bwMode="auto">
        <a:xfrm>
          <a:off x="16278225" y="814197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9205"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9206"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9207"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9208"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9209"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9210"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9211"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9212"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9213"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9214"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215"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9216"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9217"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9218"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9219"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9220"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9221"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9222"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9223"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9224"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9225"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9226"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9227"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228"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229"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9230"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9231"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9232"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9233"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9234"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9235"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9236"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237"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238"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239"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240"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241"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9242"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9243"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9244"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9245"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246"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9247"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9248"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9249"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9250"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9251"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9252" name="Group Box 28" hidden="1"/>
        <xdr:cNvSpPr>
          <a:spLocks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9253" name="Group Box 30" hidden="1"/>
        <xdr:cNvSpPr>
          <a:spLocks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9254" name="Group Box 33" hidden="1"/>
        <xdr:cNvSpPr>
          <a:spLocks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9255" name="Group Box 35" hidden="1"/>
        <xdr:cNvSpPr>
          <a:spLocks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9256" name="Group Box 36" hidden="1"/>
        <xdr:cNvSpPr>
          <a:spLocks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9257" name="Group Box 38" hidden="1"/>
        <xdr:cNvSpPr>
          <a:spLocks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266700</xdr:colOff>
      <xdr:row>23</xdr:row>
      <xdr:rowOff>276225</xdr:rowOff>
    </xdr:to>
    <xdr:sp macro="" textlink="">
      <xdr:nvSpPr>
        <xdr:cNvPr id="1099258" name="Option Button 41" hidden="1"/>
        <xdr:cNvSpPr>
          <a:spLocks noChangeArrowheads="1"/>
        </xdr:cNvSpPr>
      </xdr:nvSpPr>
      <xdr:spPr bwMode="auto">
        <a:xfrm>
          <a:off x="16306800" y="49815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266700</xdr:colOff>
      <xdr:row>24</xdr:row>
      <xdr:rowOff>276225</xdr:rowOff>
    </xdr:to>
    <xdr:sp macro="" textlink="">
      <xdr:nvSpPr>
        <xdr:cNvPr id="1099259" name="Option Button 42" hidden="1"/>
        <xdr:cNvSpPr>
          <a:spLocks noChangeArrowheads="1"/>
        </xdr:cNvSpPr>
      </xdr:nvSpPr>
      <xdr:spPr bwMode="auto">
        <a:xfrm>
          <a:off x="16306800" y="5343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266700</xdr:colOff>
      <xdr:row>25</xdr:row>
      <xdr:rowOff>276225</xdr:rowOff>
    </xdr:to>
    <xdr:sp macro="" textlink="">
      <xdr:nvSpPr>
        <xdr:cNvPr id="1099260" name="Option Button 43" hidden="1"/>
        <xdr:cNvSpPr>
          <a:spLocks noChangeArrowheads="1"/>
        </xdr:cNvSpPr>
      </xdr:nvSpPr>
      <xdr:spPr bwMode="auto">
        <a:xfrm>
          <a:off x="16306800" y="57054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266700</xdr:colOff>
      <xdr:row>26</xdr:row>
      <xdr:rowOff>276225</xdr:rowOff>
    </xdr:to>
    <xdr:sp macro="" textlink="">
      <xdr:nvSpPr>
        <xdr:cNvPr id="1099261" name="Option Button 45" hidden="1"/>
        <xdr:cNvSpPr>
          <a:spLocks noChangeArrowheads="1"/>
        </xdr:cNvSpPr>
      </xdr:nvSpPr>
      <xdr:spPr bwMode="auto">
        <a:xfrm>
          <a:off x="16306800" y="60674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266700</xdr:colOff>
      <xdr:row>27</xdr:row>
      <xdr:rowOff>276225</xdr:rowOff>
    </xdr:to>
    <xdr:sp macro="" textlink="">
      <xdr:nvSpPr>
        <xdr:cNvPr id="1099262" name="Option Button 46" hidden="1"/>
        <xdr:cNvSpPr>
          <a:spLocks noChangeArrowheads="1"/>
        </xdr:cNvSpPr>
      </xdr:nvSpPr>
      <xdr:spPr bwMode="auto">
        <a:xfrm>
          <a:off x="16306800" y="6429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266700</xdr:colOff>
      <xdr:row>28</xdr:row>
      <xdr:rowOff>276225</xdr:rowOff>
    </xdr:to>
    <xdr:sp macro="" textlink="">
      <xdr:nvSpPr>
        <xdr:cNvPr id="1099263" name="Option Button 47" hidden="1"/>
        <xdr:cNvSpPr>
          <a:spLocks noChangeArrowheads="1"/>
        </xdr:cNvSpPr>
      </xdr:nvSpPr>
      <xdr:spPr bwMode="auto">
        <a:xfrm>
          <a:off x="16306800" y="6791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266700</xdr:colOff>
      <xdr:row>29</xdr:row>
      <xdr:rowOff>276225</xdr:rowOff>
    </xdr:to>
    <xdr:sp macro="" textlink="">
      <xdr:nvSpPr>
        <xdr:cNvPr id="1099264" name="Option Button 48" hidden="1"/>
        <xdr:cNvSpPr>
          <a:spLocks noChangeArrowheads="1"/>
        </xdr:cNvSpPr>
      </xdr:nvSpPr>
      <xdr:spPr bwMode="auto">
        <a:xfrm>
          <a:off x="16306800" y="71532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265" name="Option Button 49"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266" name="Option Button 50"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267" name="Option Button 51"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268" name="Option Button 52"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269" name="Option Button 53"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266700</xdr:colOff>
      <xdr:row>35</xdr:row>
      <xdr:rowOff>276225</xdr:rowOff>
    </xdr:to>
    <xdr:sp macro="" textlink="">
      <xdr:nvSpPr>
        <xdr:cNvPr id="1099270" name="Option Button 54" hidden="1"/>
        <xdr:cNvSpPr>
          <a:spLocks noChangeArrowheads="1"/>
        </xdr:cNvSpPr>
      </xdr:nvSpPr>
      <xdr:spPr bwMode="auto">
        <a:xfrm>
          <a:off x="16306800" y="93249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9271" name="Group Box 121" hidden="1"/>
        <xdr:cNvSpPr>
          <a:spLocks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9272" name="Group Box 128" hidden="1"/>
        <xdr:cNvSpPr>
          <a:spLocks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9273" name="Group Box 129" hidden="1"/>
        <xdr:cNvSpPr>
          <a:spLocks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9525</xdr:colOff>
      <xdr:row>171</xdr:row>
      <xdr:rowOff>647700</xdr:rowOff>
    </xdr:to>
    <xdr:sp macro="" textlink="">
      <xdr:nvSpPr>
        <xdr:cNvPr id="1099274" name="Group Box 168" hidden="1"/>
        <xdr:cNvSpPr>
          <a:spLocks noChangeArrowheads="1"/>
        </xdr:cNvSpPr>
      </xdr:nvSpPr>
      <xdr:spPr bwMode="auto">
        <a:xfrm>
          <a:off x="11744325" y="50444400"/>
          <a:ext cx="32480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647700</xdr:rowOff>
    </xdr:to>
    <xdr:sp macro="" textlink="">
      <xdr:nvSpPr>
        <xdr:cNvPr id="1099275" name="Group Box 169" hidden="1"/>
        <xdr:cNvSpPr>
          <a:spLocks noChangeArrowheads="1"/>
        </xdr:cNvSpPr>
      </xdr:nvSpPr>
      <xdr:spPr bwMode="auto">
        <a:xfrm>
          <a:off x="11744325" y="51577875"/>
          <a:ext cx="3276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276" name="Group Box 192"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277" name="Group Box 194"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9525</xdr:colOff>
      <xdr:row>178</xdr:row>
      <xdr:rowOff>38100</xdr:rowOff>
    </xdr:to>
    <xdr:sp macro="" textlink="">
      <xdr:nvSpPr>
        <xdr:cNvPr id="1099278" name="Group Box 195" hidden="1"/>
        <xdr:cNvSpPr>
          <a:spLocks noChangeArrowheads="1"/>
        </xdr:cNvSpPr>
      </xdr:nvSpPr>
      <xdr:spPr bwMode="auto">
        <a:xfrm>
          <a:off x="11744325" y="5724525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9525</xdr:colOff>
      <xdr:row>181</xdr:row>
      <xdr:rowOff>57151</xdr:rowOff>
    </xdr:to>
    <xdr:sp macro="" textlink="">
      <xdr:nvSpPr>
        <xdr:cNvPr id="1099279" name="Group Box 197" hidden="1"/>
        <xdr:cNvSpPr>
          <a:spLocks noChangeArrowheads="1"/>
        </xdr:cNvSpPr>
      </xdr:nvSpPr>
      <xdr:spPr bwMode="auto">
        <a:xfrm>
          <a:off x="11744325" y="59512200"/>
          <a:ext cx="3248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280" name="Group Box 244"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9525</xdr:colOff>
      <xdr:row>188</xdr:row>
      <xdr:rowOff>57150</xdr:rowOff>
    </xdr:to>
    <xdr:sp macro="" textlink="">
      <xdr:nvSpPr>
        <xdr:cNvPr id="1099281" name="Group Box 245" hidden="1"/>
        <xdr:cNvSpPr>
          <a:spLocks noChangeArrowheads="1"/>
        </xdr:cNvSpPr>
      </xdr:nvSpPr>
      <xdr:spPr bwMode="auto">
        <a:xfrm>
          <a:off x="11744325" y="62103000"/>
          <a:ext cx="32480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282" name="Option Button 246"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184</xdr:row>
      <xdr:rowOff>0</xdr:rowOff>
    </xdr:to>
    <xdr:sp macro="" textlink="">
      <xdr:nvSpPr>
        <xdr:cNvPr id="1099283" name="Option Button 247" hidden="1"/>
        <xdr:cNvSpPr>
          <a:spLocks noChangeArrowheads="1"/>
        </xdr:cNvSpPr>
      </xdr:nvSpPr>
      <xdr:spPr bwMode="auto">
        <a:xfrm>
          <a:off x="11925300" y="621030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9284" name="Group Box 271" hidden="1"/>
        <xdr:cNvSpPr>
          <a:spLocks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9526</xdr:rowOff>
    </xdr:to>
    <xdr:sp macro="" textlink="">
      <xdr:nvSpPr>
        <xdr:cNvPr id="1099285" name="Group Box 272" hidden="1"/>
        <xdr:cNvSpPr>
          <a:spLocks noChangeArrowheads="1"/>
        </xdr:cNvSpPr>
      </xdr:nvSpPr>
      <xdr:spPr bwMode="auto">
        <a:xfrm>
          <a:off x="16278225" y="63426975"/>
          <a:ext cx="1485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266700</xdr:colOff>
      <xdr:row>188</xdr:row>
      <xdr:rowOff>28575</xdr:rowOff>
    </xdr:to>
    <xdr:sp macro="" textlink="">
      <xdr:nvSpPr>
        <xdr:cNvPr id="1099286" name="Option Button 276" hidden="1"/>
        <xdr:cNvSpPr>
          <a:spLocks noChangeArrowheads="1"/>
        </xdr:cNvSpPr>
      </xdr:nvSpPr>
      <xdr:spPr bwMode="auto">
        <a:xfrm>
          <a:off x="16316325" y="630364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266700</xdr:colOff>
      <xdr:row>190</xdr:row>
      <xdr:rowOff>95251</xdr:rowOff>
    </xdr:to>
    <xdr:sp macro="" textlink="">
      <xdr:nvSpPr>
        <xdr:cNvPr id="1099287" name="Option Button 277" hidden="1"/>
        <xdr:cNvSpPr>
          <a:spLocks noChangeArrowheads="1"/>
        </xdr:cNvSpPr>
      </xdr:nvSpPr>
      <xdr:spPr bwMode="auto">
        <a:xfrm>
          <a:off x="16316325" y="636365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266700</xdr:colOff>
      <xdr:row>192</xdr:row>
      <xdr:rowOff>28575</xdr:rowOff>
    </xdr:to>
    <xdr:sp macro="" textlink="">
      <xdr:nvSpPr>
        <xdr:cNvPr id="1099288" name="Option Button 278" hidden="1"/>
        <xdr:cNvSpPr>
          <a:spLocks noChangeArrowheads="1"/>
        </xdr:cNvSpPr>
      </xdr:nvSpPr>
      <xdr:spPr bwMode="auto">
        <a:xfrm>
          <a:off x="16316325" y="641032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266700</xdr:colOff>
      <xdr:row>194</xdr:row>
      <xdr:rowOff>28575</xdr:rowOff>
    </xdr:to>
    <xdr:sp macro="" textlink="">
      <xdr:nvSpPr>
        <xdr:cNvPr id="1099289" name="Option Button 279" hidden="1"/>
        <xdr:cNvSpPr>
          <a:spLocks noChangeArrowheads="1"/>
        </xdr:cNvSpPr>
      </xdr:nvSpPr>
      <xdr:spPr bwMode="auto">
        <a:xfrm>
          <a:off x="16316325" y="646366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239</xdr:row>
      <xdr:rowOff>9525</xdr:rowOff>
    </xdr:from>
    <xdr:to>
      <xdr:col>24</xdr:col>
      <xdr:colOff>0</xdr:colOff>
      <xdr:row>245</xdr:row>
      <xdr:rowOff>9525</xdr:rowOff>
    </xdr:to>
    <xdr:sp macro="" textlink="">
      <xdr:nvSpPr>
        <xdr:cNvPr id="1099290" name="Group Box 296" hidden="1"/>
        <xdr:cNvSpPr>
          <a:spLocks noChangeArrowheads="1"/>
        </xdr:cNvSpPr>
      </xdr:nvSpPr>
      <xdr:spPr bwMode="auto">
        <a:xfrm>
          <a:off x="16278225" y="814197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9291" name="Group Box 298" hidden="1"/>
        <xdr:cNvSpPr>
          <a:spLocks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9292" name="Group Box 299" hidden="1"/>
        <xdr:cNvSpPr>
          <a:spLocks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9293" name="Group Box 301" hidden="1"/>
        <xdr:cNvSpPr>
          <a:spLocks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9294" name="Group Box 302" hidden="1"/>
        <xdr:cNvSpPr>
          <a:spLocks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9295" name="Group Box 303" hidden="1"/>
        <xdr:cNvSpPr>
          <a:spLocks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9296" name="Group Box 304" hidden="1"/>
        <xdr:cNvSpPr>
          <a:spLocks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266700</xdr:colOff>
      <xdr:row>254</xdr:row>
      <xdr:rowOff>95250</xdr:rowOff>
    </xdr:to>
    <xdr:sp macro="" textlink="">
      <xdr:nvSpPr>
        <xdr:cNvPr id="1099297" name="Option Button 308" hidden="1"/>
        <xdr:cNvSpPr>
          <a:spLocks noChangeArrowheads="1"/>
        </xdr:cNvSpPr>
      </xdr:nvSpPr>
      <xdr:spPr bwMode="auto">
        <a:xfrm>
          <a:off x="16316325" y="84315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266700</xdr:colOff>
      <xdr:row>260</xdr:row>
      <xdr:rowOff>123825</xdr:rowOff>
    </xdr:to>
    <xdr:sp macro="" textlink="">
      <xdr:nvSpPr>
        <xdr:cNvPr id="1099298" name="Option Button 309" hidden="1"/>
        <xdr:cNvSpPr>
          <a:spLocks noChangeArrowheads="1"/>
        </xdr:cNvSpPr>
      </xdr:nvSpPr>
      <xdr:spPr bwMode="auto">
        <a:xfrm>
          <a:off x="16316325" y="855440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9299" name="Group Box 348" hidden="1"/>
        <xdr:cNvSpPr>
          <a:spLocks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9300" name="Group Box 350" hidden="1"/>
        <xdr:cNvSpPr>
          <a:spLocks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301" name="Option Button 353"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326</xdr:row>
      <xdr:rowOff>171451</xdr:rowOff>
    </xdr:to>
    <xdr:sp macro="" textlink="">
      <xdr:nvSpPr>
        <xdr:cNvPr id="1099302" name="Group Box 388" hidden="1"/>
        <xdr:cNvSpPr>
          <a:spLocks noChangeArrowheads="1"/>
        </xdr:cNvSpPr>
      </xdr:nvSpPr>
      <xdr:spPr bwMode="auto">
        <a:xfrm>
          <a:off x="16278225" y="101746050"/>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9303" name="Group Box 389" hidden="1"/>
        <xdr:cNvSpPr>
          <a:spLocks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350</xdr:row>
      <xdr:rowOff>171449</xdr:rowOff>
    </xdr:to>
    <xdr:sp macro="" textlink="">
      <xdr:nvSpPr>
        <xdr:cNvPr id="1099304" name="Group Box 393" hidden="1"/>
        <xdr:cNvSpPr>
          <a:spLocks noChangeArrowheads="1"/>
        </xdr:cNvSpPr>
      </xdr:nvSpPr>
      <xdr:spPr bwMode="auto">
        <a:xfrm>
          <a:off x="16278225" y="10775632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9305" name="Group Box 394" hidden="1"/>
        <xdr:cNvSpPr>
          <a:spLocks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9306" name="Group Box 404" hidden="1"/>
        <xdr:cNvSpPr>
          <a:spLocks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9307" name="Group Box 405" hidden="1"/>
        <xdr:cNvSpPr>
          <a:spLocks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9308" name="Group Box 406" hidden="1"/>
        <xdr:cNvSpPr>
          <a:spLocks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9309" name="Group Box 427" hidden="1"/>
        <xdr:cNvSpPr>
          <a:spLocks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9310" name="Group Box 428" hidden="1"/>
        <xdr:cNvSpPr>
          <a:spLocks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9311" name="Group Box 431" hidden="1"/>
        <xdr:cNvSpPr>
          <a:spLocks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9312" name="Group Box 432" hidden="1"/>
        <xdr:cNvSpPr>
          <a:spLocks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9313" name="Group Box 433" hidden="1"/>
        <xdr:cNvSpPr>
          <a:spLocks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314" name="Group Box 439"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19051</xdr:rowOff>
    </xdr:to>
    <xdr:sp macro="" textlink="">
      <xdr:nvSpPr>
        <xdr:cNvPr id="1099315" name="Group Box 440" hidden="1"/>
        <xdr:cNvSpPr>
          <a:spLocks noChangeArrowheads="1"/>
        </xdr:cNvSpPr>
      </xdr:nvSpPr>
      <xdr:spPr bwMode="auto">
        <a:xfrm>
          <a:off x="16278225" y="132788025"/>
          <a:ext cx="145732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9316" name="Group Box 553" hidden="1"/>
        <xdr:cNvSpPr>
          <a:spLocks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9317" name="Group Box 555" hidden="1"/>
        <xdr:cNvSpPr>
          <a:spLocks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9318" name="Group Box 557" hidden="1"/>
        <xdr:cNvSpPr>
          <a:spLocks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9319" name="Group Box 560" hidden="1"/>
        <xdr:cNvSpPr>
          <a:spLocks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142876</xdr:rowOff>
    </xdr:to>
    <xdr:sp macro="" textlink="">
      <xdr:nvSpPr>
        <xdr:cNvPr id="1099320" name="Group Box 562" hidden="1"/>
        <xdr:cNvSpPr>
          <a:spLocks noChangeArrowheads="1"/>
        </xdr:cNvSpPr>
      </xdr:nvSpPr>
      <xdr:spPr bwMode="auto">
        <a:xfrm>
          <a:off x="16278225" y="160677225"/>
          <a:ext cx="1457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9321" name="Group Box 565" hidden="1"/>
        <xdr:cNvSpPr>
          <a:spLocks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9322" name="Group Box 567" hidden="1"/>
        <xdr:cNvSpPr>
          <a:spLocks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266700</xdr:colOff>
      <xdr:row>30</xdr:row>
      <xdr:rowOff>276225</xdr:rowOff>
    </xdr:to>
    <xdr:sp macro="" textlink="">
      <xdr:nvSpPr>
        <xdr:cNvPr id="1099323" name="AutoShape 947" hidden="1"/>
        <xdr:cNvSpPr>
          <a:spLocks noChangeArrowheads="1"/>
        </xdr:cNvSpPr>
      </xdr:nvSpPr>
      <xdr:spPr bwMode="auto">
        <a:xfrm>
          <a:off x="16306800" y="75152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266700</xdr:colOff>
      <xdr:row>31</xdr:row>
      <xdr:rowOff>276225</xdr:rowOff>
    </xdr:to>
    <xdr:sp macro="" textlink="">
      <xdr:nvSpPr>
        <xdr:cNvPr id="1099324" name="AutoShape 948" hidden="1"/>
        <xdr:cNvSpPr>
          <a:spLocks noChangeArrowheads="1"/>
        </xdr:cNvSpPr>
      </xdr:nvSpPr>
      <xdr:spPr bwMode="auto">
        <a:xfrm>
          <a:off x="16306800" y="78771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266700</xdr:colOff>
      <xdr:row>32</xdr:row>
      <xdr:rowOff>276225</xdr:rowOff>
    </xdr:to>
    <xdr:sp macro="" textlink="">
      <xdr:nvSpPr>
        <xdr:cNvPr id="1099325" name="AutoShape 949" hidden="1"/>
        <xdr:cNvSpPr>
          <a:spLocks noChangeArrowheads="1"/>
        </xdr:cNvSpPr>
      </xdr:nvSpPr>
      <xdr:spPr bwMode="auto">
        <a:xfrm>
          <a:off x="16306800" y="82391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266700</xdr:colOff>
      <xdr:row>33</xdr:row>
      <xdr:rowOff>276225</xdr:rowOff>
    </xdr:to>
    <xdr:sp macro="" textlink="">
      <xdr:nvSpPr>
        <xdr:cNvPr id="1099326" name="AutoShape 950" hidden="1"/>
        <xdr:cNvSpPr>
          <a:spLocks noChangeArrowheads="1"/>
        </xdr:cNvSpPr>
      </xdr:nvSpPr>
      <xdr:spPr bwMode="auto">
        <a:xfrm>
          <a:off x="16306800" y="86010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266700</xdr:colOff>
      <xdr:row>34</xdr:row>
      <xdr:rowOff>276225</xdr:rowOff>
    </xdr:to>
    <xdr:sp macro="" textlink="">
      <xdr:nvSpPr>
        <xdr:cNvPr id="1099327" name="AutoShape 951" hidden="1"/>
        <xdr:cNvSpPr>
          <a:spLocks noChangeArrowheads="1"/>
        </xdr:cNvSpPr>
      </xdr:nvSpPr>
      <xdr:spPr bwMode="auto">
        <a:xfrm>
          <a:off x="16306800" y="8963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266700</xdr:colOff>
      <xdr:row>266</xdr:row>
      <xdr:rowOff>133350</xdr:rowOff>
    </xdr:to>
    <xdr:sp macro="" textlink="">
      <xdr:nvSpPr>
        <xdr:cNvPr id="1099328" name="Option Button 310" hidden="1"/>
        <xdr:cNvSpPr>
          <a:spLocks noChangeArrowheads="1"/>
        </xdr:cNvSpPr>
      </xdr:nvSpPr>
      <xdr:spPr bwMode="auto">
        <a:xfrm>
          <a:off x="16316325" y="867537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266700</xdr:colOff>
      <xdr:row>272</xdr:row>
      <xdr:rowOff>123826</xdr:rowOff>
    </xdr:to>
    <xdr:sp macro="" textlink="">
      <xdr:nvSpPr>
        <xdr:cNvPr id="1099329" name="Option Button 311" hidden="1"/>
        <xdr:cNvSpPr>
          <a:spLocks noChangeArrowheads="1"/>
        </xdr:cNvSpPr>
      </xdr:nvSpPr>
      <xdr:spPr bwMode="auto">
        <a:xfrm>
          <a:off x="16316325" y="87944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266700</xdr:colOff>
      <xdr:row>276</xdr:row>
      <xdr:rowOff>0</xdr:rowOff>
    </xdr:to>
    <xdr:sp macro="" textlink="">
      <xdr:nvSpPr>
        <xdr:cNvPr id="1099330" name="Option Button 312" hidden="1"/>
        <xdr:cNvSpPr>
          <a:spLocks noChangeArrowheads="1"/>
        </xdr:cNvSpPr>
      </xdr:nvSpPr>
      <xdr:spPr bwMode="auto">
        <a:xfrm>
          <a:off x="16316325" y="88611075"/>
          <a:ext cx="2286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266700</xdr:colOff>
      <xdr:row>278</xdr:row>
      <xdr:rowOff>85724</xdr:rowOff>
    </xdr:to>
    <xdr:sp macro="" textlink="">
      <xdr:nvSpPr>
        <xdr:cNvPr id="1099331" name="Option Button 313" hidden="1"/>
        <xdr:cNvSpPr>
          <a:spLocks noChangeArrowheads="1"/>
        </xdr:cNvSpPr>
      </xdr:nvSpPr>
      <xdr:spPr bwMode="auto">
        <a:xfrm>
          <a:off x="16316325" y="8910637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266700</xdr:colOff>
      <xdr:row>290</xdr:row>
      <xdr:rowOff>85725</xdr:rowOff>
    </xdr:to>
    <xdr:sp macro="" textlink="">
      <xdr:nvSpPr>
        <xdr:cNvPr id="1099332" name="AutoShape 956" hidden="1"/>
        <xdr:cNvSpPr>
          <a:spLocks noChangeArrowheads="1"/>
        </xdr:cNvSpPr>
      </xdr:nvSpPr>
      <xdr:spPr bwMode="auto">
        <a:xfrm>
          <a:off x="16316325" y="931164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266700</xdr:colOff>
      <xdr:row>296</xdr:row>
      <xdr:rowOff>104775</xdr:rowOff>
    </xdr:to>
    <xdr:sp macro="" textlink="">
      <xdr:nvSpPr>
        <xdr:cNvPr id="1099333" name="Option Button 354" hidden="1"/>
        <xdr:cNvSpPr>
          <a:spLocks noChangeArrowheads="1"/>
        </xdr:cNvSpPr>
      </xdr:nvSpPr>
      <xdr:spPr bwMode="auto">
        <a:xfrm>
          <a:off x="16316325" y="9422130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266700</xdr:colOff>
      <xdr:row>312</xdr:row>
      <xdr:rowOff>152400</xdr:rowOff>
    </xdr:to>
    <xdr:sp macro="" textlink="">
      <xdr:nvSpPr>
        <xdr:cNvPr id="1099334" name="Option Button 358" hidden="1"/>
        <xdr:cNvSpPr>
          <a:spLocks noChangeArrowheads="1"/>
        </xdr:cNvSpPr>
      </xdr:nvSpPr>
      <xdr:spPr bwMode="auto">
        <a:xfrm>
          <a:off x="16316325" y="986123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266700</xdr:colOff>
      <xdr:row>315</xdr:row>
      <xdr:rowOff>190500</xdr:rowOff>
    </xdr:to>
    <xdr:sp macro="" textlink="">
      <xdr:nvSpPr>
        <xdr:cNvPr id="1099335" name="Option Button 359" hidden="1"/>
        <xdr:cNvSpPr>
          <a:spLocks noChangeArrowheads="1"/>
        </xdr:cNvSpPr>
      </xdr:nvSpPr>
      <xdr:spPr bwMode="auto">
        <a:xfrm>
          <a:off x="16316325" y="991933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266700</xdr:colOff>
      <xdr:row>324</xdr:row>
      <xdr:rowOff>76199</xdr:rowOff>
    </xdr:to>
    <xdr:sp macro="" textlink="">
      <xdr:nvSpPr>
        <xdr:cNvPr id="1099336" name="Option Button 397" hidden="1"/>
        <xdr:cNvSpPr>
          <a:spLocks noChangeArrowheads="1"/>
        </xdr:cNvSpPr>
      </xdr:nvSpPr>
      <xdr:spPr bwMode="auto">
        <a:xfrm>
          <a:off x="16316325" y="102165150"/>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266700</xdr:colOff>
      <xdr:row>333</xdr:row>
      <xdr:rowOff>190500</xdr:rowOff>
    </xdr:to>
    <xdr:sp macro="" textlink="">
      <xdr:nvSpPr>
        <xdr:cNvPr id="1099337" name="Option Button 399" hidden="1"/>
        <xdr:cNvSpPr>
          <a:spLocks noChangeArrowheads="1"/>
        </xdr:cNvSpPr>
      </xdr:nvSpPr>
      <xdr:spPr bwMode="auto">
        <a:xfrm>
          <a:off x="16316325" y="103908225"/>
          <a:ext cx="228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xdr:row>
      <xdr:rowOff>0</xdr:rowOff>
    </xdr:from>
    <xdr:to>
      <xdr:col>24</xdr:col>
      <xdr:colOff>9525</xdr:colOff>
      <xdr:row>24</xdr:row>
      <xdr:rowOff>9525</xdr:rowOff>
    </xdr:to>
    <xdr:sp macro="" textlink="">
      <xdr:nvSpPr>
        <xdr:cNvPr id="1099338" name="Group Box 28" hidden="1"/>
        <xdr:cNvSpPr>
          <a:spLocks noChangeAspect="1" noChangeArrowheads="1"/>
        </xdr:cNvSpPr>
      </xdr:nvSpPr>
      <xdr:spPr bwMode="auto">
        <a:xfrm>
          <a:off x="16278225" y="48958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xdr:row>
      <xdr:rowOff>0</xdr:rowOff>
    </xdr:from>
    <xdr:to>
      <xdr:col>24</xdr:col>
      <xdr:colOff>9525</xdr:colOff>
      <xdr:row>26</xdr:row>
      <xdr:rowOff>9525</xdr:rowOff>
    </xdr:to>
    <xdr:sp macro="" textlink="">
      <xdr:nvSpPr>
        <xdr:cNvPr id="1099339" name="Group Box 30" hidden="1"/>
        <xdr:cNvSpPr>
          <a:spLocks noChangeAspect="1" noChangeArrowheads="1"/>
        </xdr:cNvSpPr>
      </xdr:nvSpPr>
      <xdr:spPr bwMode="auto">
        <a:xfrm>
          <a:off x="16278225" y="56197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24</xdr:col>
      <xdr:colOff>9525</xdr:colOff>
      <xdr:row>29</xdr:row>
      <xdr:rowOff>9525</xdr:rowOff>
    </xdr:to>
    <xdr:sp macro="" textlink="">
      <xdr:nvSpPr>
        <xdr:cNvPr id="1099340" name="Group Box 33" hidden="1"/>
        <xdr:cNvSpPr>
          <a:spLocks noChangeAspect="1" noChangeArrowheads="1"/>
        </xdr:cNvSpPr>
      </xdr:nvSpPr>
      <xdr:spPr bwMode="auto">
        <a:xfrm>
          <a:off x="16278225" y="67056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xdr:row>
      <xdr:rowOff>0</xdr:rowOff>
    </xdr:from>
    <xdr:to>
      <xdr:col>24</xdr:col>
      <xdr:colOff>9525</xdr:colOff>
      <xdr:row>31</xdr:row>
      <xdr:rowOff>9525</xdr:rowOff>
    </xdr:to>
    <xdr:sp macro="" textlink="">
      <xdr:nvSpPr>
        <xdr:cNvPr id="1099341" name="Group Box 35" hidden="1"/>
        <xdr:cNvSpPr>
          <a:spLocks noChangeAspect="1" noChangeArrowheads="1"/>
        </xdr:cNvSpPr>
      </xdr:nvSpPr>
      <xdr:spPr bwMode="auto">
        <a:xfrm>
          <a:off x="16278225" y="74295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31</xdr:row>
      <xdr:rowOff>0</xdr:rowOff>
    </xdr:from>
    <xdr:to>
      <xdr:col>24</xdr:col>
      <xdr:colOff>9525</xdr:colOff>
      <xdr:row>32</xdr:row>
      <xdr:rowOff>9525</xdr:rowOff>
    </xdr:to>
    <xdr:sp macro="" textlink="">
      <xdr:nvSpPr>
        <xdr:cNvPr id="1099342" name="Group Box 36" hidden="1"/>
        <xdr:cNvSpPr>
          <a:spLocks noChangeAspect="1" noChangeArrowheads="1"/>
        </xdr:cNvSpPr>
      </xdr:nvSpPr>
      <xdr:spPr bwMode="auto">
        <a:xfrm>
          <a:off x="16278225" y="77914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33</xdr:row>
      <xdr:rowOff>0</xdr:rowOff>
    </xdr:from>
    <xdr:to>
      <xdr:col>24</xdr:col>
      <xdr:colOff>9525</xdr:colOff>
      <xdr:row>34</xdr:row>
      <xdr:rowOff>9525</xdr:rowOff>
    </xdr:to>
    <xdr:sp macro="" textlink="">
      <xdr:nvSpPr>
        <xdr:cNvPr id="1099343" name="Group Box 38" hidden="1"/>
        <xdr:cNvSpPr>
          <a:spLocks noChangeAspect="1" noChangeArrowheads="1"/>
        </xdr:cNvSpPr>
      </xdr:nvSpPr>
      <xdr:spPr bwMode="auto">
        <a:xfrm>
          <a:off x="16278225" y="851535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23</xdr:row>
      <xdr:rowOff>85725</xdr:rowOff>
    </xdr:from>
    <xdr:to>
      <xdr:col>19</xdr:col>
      <xdr:colOff>276225</xdr:colOff>
      <xdr:row>23</xdr:row>
      <xdr:rowOff>276225</xdr:rowOff>
    </xdr:to>
    <xdr:sp macro="" textlink="">
      <xdr:nvSpPr>
        <xdr:cNvPr id="1099344" name="Option Button 41" hidden="1"/>
        <xdr:cNvSpPr>
          <a:spLocks noChangeAspect="1" noChangeArrowheads="1"/>
        </xdr:cNvSpPr>
      </xdr:nvSpPr>
      <xdr:spPr bwMode="auto">
        <a:xfrm>
          <a:off x="16306800" y="49815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24</xdr:row>
      <xdr:rowOff>85725</xdr:rowOff>
    </xdr:from>
    <xdr:to>
      <xdr:col>19</xdr:col>
      <xdr:colOff>276225</xdr:colOff>
      <xdr:row>24</xdr:row>
      <xdr:rowOff>276225</xdr:rowOff>
    </xdr:to>
    <xdr:sp macro="" textlink="">
      <xdr:nvSpPr>
        <xdr:cNvPr id="1099345" name="Option Button 42" hidden="1"/>
        <xdr:cNvSpPr>
          <a:spLocks noChangeAspect="1" noChangeArrowheads="1"/>
        </xdr:cNvSpPr>
      </xdr:nvSpPr>
      <xdr:spPr bwMode="auto">
        <a:xfrm>
          <a:off x="16306800" y="53435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25</xdr:row>
      <xdr:rowOff>85725</xdr:rowOff>
    </xdr:from>
    <xdr:to>
      <xdr:col>19</xdr:col>
      <xdr:colOff>276225</xdr:colOff>
      <xdr:row>25</xdr:row>
      <xdr:rowOff>276225</xdr:rowOff>
    </xdr:to>
    <xdr:sp macro="" textlink="">
      <xdr:nvSpPr>
        <xdr:cNvPr id="1099346" name="Option Button 43" hidden="1"/>
        <xdr:cNvSpPr>
          <a:spLocks noChangeAspect="1" noChangeArrowheads="1"/>
        </xdr:cNvSpPr>
      </xdr:nvSpPr>
      <xdr:spPr bwMode="auto">
        <a:xfrm>
          <a:off x="16306800" y="57054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26</xdr:row>
      <xdr:rowOff>85725</xdr:rowOff>
    </xdr:from>
    <xdr:to>
      <xdr:col>19</xdr:col>
      <xdr:colOff>276225</xdr:colOff>
      <xdr:row>26</xdr:row>
      <xdr:rowOff>276225</xdr:rowOff>
    </xdr:to>
    <xdr:sp macro="" textlink="">
      <xdr:nvSpPr>
        <xdr:cNvPr id="1099347" name="Option Button 45" hidden="1"/>
        <xdr:cNvSpPr>
          <a:spLocks noChangeAspect="1" noChangeArrowheads="1"/>
        </xdr:cNvSpPr>
      </xdr:nvSpPr>
      <xdr:spPr bwMode="auto">
        <a:xfrm>
          <a:off x="16306800" y="60674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27</xdr:row>
      <xdr:rowOff>85725</xdr:rowOff>
    </xdr:from>
    <xdr:to>
      <xdr:col>19</xdr:col>
      <xdr:colOff>276225</xdr:colOff>
      <xdr:row>27</xdr:row>
      <xdr:rowOff>276225</xdr:rowOff>
    </xdr:to>
    <xdr:sp macro="" textlink="">
      <xdr:nvSpPr>
        <xdr:cNvPr id="1099348" name="Option Button 46" hidden="1"/>
        <xdr:cNvSpPr>
          <a:spLocks noChangeAspect="1" noChangeArrowheads="1"/>
        </xdr:cNvSpPr>
      </xdr:nvSpPr>
      <xdr:spPr bwMode="auto">
        <a:xfrm>
          <a:off x="16306800" y="64293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28</xdr:row>
      <xdr:rowOff>85725</xdr:rowOff>
    </xdr:from>
    <xdr:to>
      <xdr:col>19</xdr:col>
      <xdr:colOff>276225</xdr:colOff>
      <xdr:row>28</xdr:row>
      <xdr:rowOff>276225</xdr:rowOff>
    </xdr:to>
    <xdr:sp macro="" textlink="">
      <xdr:nvSpPr>
        <xdr:cNvPr id="1099349" name="Option Button 47" hidden="1"/>
        <xdr:cNvSpPr>
          <a:spLocks noChangeAspect="1" noChangeArrowheads="1"/>
        </xdr:cNvSpPr>
      </xdr:nvSpPr>
      <xdr:spPr bwMode="auto">
        <a:xfrm>
          <a:off x="16306800" y="67913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29</xdr:row>
      <xdr:rowOff>85725</xdr:rowOff>
    </xdr:from>
    <xdr:to>
      <xdr:col>19</xdr:col>
      <xdr:colOff>276225</xdr:colOff>
      <xdr:row>29</xdr:row>
      <xdr:rowOff>276225</xdr:rowOff>
    </xdr:to>
    <xdr:sp macro="" textlink="">
      <xdr:nvSpPr>
        <xdr:cNvPr id="1099350" name="Option Button 48" hidden="1"/>
        <xdr:cNvSpPr>
          <a:spLocks noChangeAspect="1" noChangeArrowheads="1"/>
        </xdr:cNvSpPr>
      </xdr:nvSpPr>
      <xdr:spPr bwMode="auto">
        <a:xfrm>
          <a:off x="16306800" y="71532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276225</xdr:colOff>
      <xdr:row>30</xdr:row>
      <xdr:rowOff>276225</xdr:rowOff>
    </xdr:to>
    <xdr:sp macro="" textlink="">
      <xdr:nvSpPr>
        <xdr:cNvPr id="1099351" name="Option Button 49" hidden="1"/>
        <xdr:cNvSpPr>
          <a:spLocks noChangeAspect="1" noChangeArrowheads="1"/>
        </xdr:cNvSpPr>
      </xdr:nvSpPr>
      <xdr:spPr bwMode="auto">
        <a:xfrm>
          <a:off x="16306800" y="75152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276225</xdr:colOff>
      <xdr:row>31</xdr:row>
      <xdr:rowOff>276225</xdr:rowOff>
    </xdr:to>
    <xdr:sp macro="" textlink="">
      <xdr:nvSpPr>
        <xdr:cNvPr id="1099352" name="Option Button 50" hidden="1"/>
        <xdr:cNvSpPr>
          <a:spLocks noChangeAspect="1" noChangeArrowheads="1"/>
        </xdr:cNvSpPr>
      </xdr:nvSpPr>
      <xdr:spPr bwMode="auto">
        <a:xfrm>
          <a:off x="16306800" y="78771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276225</xdr:colOff>
      <xdr:row>32</xdr:row>
      <xdr:rowOff>276225</xdr:rowOff>
    </xdr:to>
    <xdr:sp macro="" textlink="">
      <xdr:nvSpPr>
        <xdr:cNvPr id="1099353" name="Option Button 51" hidden="1"/>
        <xdr:cNvSpPr>
          <a:spLocks noChangeAspect="1" noChangeArrowheads="1"/>
        </xdr:cNvSpPr>
      </xdr:nvSpPr>
      <xdr:spPr bwMode="auto">
        <a:xfrm>
          <a:off x="16306800" y="82391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276225</xdr:colOff>
      <xdr:row>33</xdr:row>
      <xdr:rowOff>276225</xdr:rowOff>
    </xdr:to>
    <xdr:sp macro="" textlink="">
      <xdr:nvSpPr>
        <xdr:cNvPr id="1099354" name="Option Button 52" hidden="1"/>
        <xdr:cNvSpPr>
          <a:spLocks noChangeAspect="1" noChangeArrowheads="1"/>
        </xdr:cNvSpPr>
      </xdr:nvSpPr>
      <xdr:spPr bwMode="auto">
        <a:xfrm>
          <a:off x="16306800" y="86010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276225</xdr:colOff>
      <xdr:row>34</xdr:row>
      <xdr:rowOff>276225</xdr:rowOff>
    </xdr:to>
    <xdr:sp macro="" textlink="">
      <xdr:nvSpPr>
        <xdr:cNvPr id="1099355" name="Option Button 53" hidden="1"/>
        <xdr:cNvSpPr>
          <a:spLocks noChangeAspect="1" noChangeArrowheads="1"/>
        </xdr:cNvSpPr>
      </xdr:nvSpPr>
      <xdr:spPr bwMode="auto">
        <a:xfrm>
          <a:off x="16306800" y="89630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35</xdr:row>
      <xdr:rowOff>85725</xdr:rowOff>
    </xdr:from>
    <xdr:to>
      <xdr:col>19</xdr:col>
      <xdr:colOff>276225</xdr:colOff>
      <xdr:row>35</xdr:row>
      <xdr:rowOff>276225</xdr:rowOff>
    </xdr:to>
    <xdr:sp macro="" textlink="">
      <xdr:nvSpPr>
        <xdr:cNvPr id="1099356" name="Option Button 54" hidden="1"/>
        <xdr:cNvSpPr>
          <a:spLocks noChangeAspect="1" noChangeArrowheads="1"/>
        </xdr:cNvSpPr>
      </xdr:nvSpPr>
      <xdr:spPr bwMode="auto">
        <a:xfrm>
          <a:off x="16306800" y="93249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36</xdr:row>
      <xdr:rowOff>0</xdr:rowOff>
    </xdr:from>
    <xdr:to>
      <xdr:col>24</xdr:col>
      <xdr:colOff>9525</xdr:colOff>
      <xdr:row>37</xdr:row>
      <xdr:rowOff>9525</xdr:rowOff>
    </xdr:to>
    <xdr:sp macro="" textlink="">
      <xdr:nvSpPr>
        <xdr:cNvPr id="1099357" name="Group Box 121" hidden="1"/>
        <xdr:cNvSpPr>
          <a:spLocks noChangeAspect="1" noChangeArrowheads="1"/>
        </xdr:cNvSpPr>
      </xdr:nvSpPr>
      <xdr:spPr bwMode="auto">
        <a:xfrm>
          <a:off x="16278225" y="9601200"/>
          <a:ext cx="1485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48</xdr:row>
      <xdr:rowOff>0</xdr:rowOff>
    </xdr:from>
    <xdr:to>
      <xdr:col>24</xdr:col>
      <xdr:colOff>9525</xdr:colOff>
      <xdr:row>49</xdr:row>
      <xdr:rowOff>9525</xdr:rowOff>
    </xdr:to>
    <xdr:sp macro="" textlink="">
      <xdr:nvSpPr>
        <xdr:cNvPr id="1099358" name="Group Box 128" hidden="1"/>
        <xdr:cNvSpPr>
          <a:spLocks noChangeAspect="1" noChangeArrowheads="1"/>
        </xdr:cNvSpPr>
      </xdr:nvSpPr>
      <xdr:spPr bwMode="auto">
        <a:xfrm>
          <a:off x="16278225" y="14830425"/>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49</xdr:row>
      <xdr:rowOff>0</xdr:rowOff>
    </xdr:from>
    <xdr:to>
      <xdr:col>24</xdr:col>
      <xdr:colOff>9525</xdr:colOff>
      <xdr:row>50</xdr:row>
      <xdr:rowOff>9525</xdr:rowOff>
    </xdr:to>
    <xdr:sp macro="" textlink="">
      <xdr:nvSpPr>
        <xdr:cNvPr id="1099359" name="Group Box 129" hidden="1"/>
        <xdr:cNvSpPr>
          <a:spLocks noChangeAspect="1" noChangeArrowheads="1"/>
        </xdr:cNvSpPr>
      </xdr:nvSpPr>
      <xdr:spPr bwMode="auto">
        <a:xfrm>
          <a:off x="16278225" y="15544800"/>
          <a:ext cx="1485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171</xdr:row>
      <xdr:rowOff>0</xdr:rowOff>
    </xdr:from>
    <xdr:to>
      <xdr:col>17</xdr:col>
      <xdr:colOff>28575</xdr:colOff>
      <xdr:row>171</xdr:row>
      <xdr:rowOff>657225</xdr:rowOff>
    </xdr:to>
    <xdr:sp macro="" textlink="">
      <xdr:nvSpPr>
        <xdr:cNvPr id="1099360" name="Group Box 168" hidden="1"/>
        <xdr:cNvSpPr>
          <a:spLocks noChangeAspect="1" noChangeArrowheads="1"/>
        </xdr:cNvSpPr>
      </xdr:nvSpPr>
      <xdr:spPr bwMode="auto">
        <a:xfrm>
          <a:off x="11744325" y="50444400"/>
          <a:ext cx="3267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172</xdr:row>
      <xdr:rowOff>0</xdr:rowOff>
    </xdr:from>
    <xdr:to>
      <xdr:col>17</xdr:col>
      <xdr:colOff>38100</xdr:colOff>
      <xdr:row>172</xdr:row>
      <xdr:rowOff>657225</xdr:rowOff>
    </xdr:to>
    <xdr:sp macro="" textlink="">
      <xdr:nvSpPr>
        <xdr:cNvPr id="1099361" name="Group Box 169" hidden="1"/>
        <xdr:cNvSpPr>
          <a:spLocks noChangeAspect="1" noChangeArrowheads="1"/>
        </xdr:cNvSpPr>
      </xdr:nvSpPr>
      <xdr:spPr bwMode="auto">
        <a:xfrm>
          <a:off x="11744325" y="51577875"/>
          <a:ext cx="32766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28575</xdr:colOff>
      <xdr:row>178</xdr:row>
      <xdr:rowOff>38100</xdr:rowOff>
    </xdr:to>
    <xdr:sp macro="" textlink="">
      <xdr:nvSpPr>
        <xdr:cNvPr id="1099362" name="Group Box 192" hidden="1"/>
        <xdr:cNvSpPr>
          <a:spLocks noChangeAspect="1" noChangeArrowheads="1"/>
        </xdr:cNvSpPr>
      </xdr:nvSpPr>
      <xdr:spPr bwMode="auto">
        <a:xfrm>
          <a:off x="11744325" y="57245250"/>
          <a:ext cx="326707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28575</xdr:colOff>
      <xdr:row>178</xdr:row>
      <xdr:rowOff>38100</xdr:rowOff>
    </xdr:to>
    <xdr:sp macro="" textlink="">
      <xdr:nvSpPr>
        <xdr:cNvPr id="1099363" name="Group Box 194" hidden="1"/>
        <xdr:cNvSpPr>
          <a:spLocks noChangeAspect="1" noChangeArrowheads="1"/>
        </xdr:cNvSpPr>
      </xdr:nvSpPr>
      <xdr:spPr bwMode="auto">
        <a:xfrm>
          <a:off x="11744325" y="57245250"/>
          <a:ext cx="326707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28575</xdr:colOff>
      <xdr:row>178</xdr:row>
      <xdr:rowOff>38100</xdr:rowOff>
    </xdr:to>
    <xdr:sp macro="" textlink="">
      <xdr:nvSpPr>
        <xdr:cNvPr id="1099364" name="Group Box 195" hidden="1"/>
        <xdr:cNvSpPr>
          <a:spLocks noChangeAspect="1" noChangeArrowheads="1"/>
        </xdr:cNvSpPr>
      </xdr:nvSpPr>
      <xdr:spPr bwMode="auto">
        <a:xfrm>
          <a:off x="11744325" y="57245250"/>
          <a:ext cx="326707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179</xdr:row>
      <xdr:rowOff>0</xdr:rowOff>
    </xdr:from>
    <xdr:to>
      <xdr:col>17</xdr:col>
      <xdr:colOff>28575</xdr:colOff>
      <xdr:row>181</xdr:row>
      <xdr:rowOff>57151</xdr:rowOff>
    </xdr:to>
    <xdr:sp macro="" textlink="">
      <xdr:nvSpPr>
        <xdr:cNvPr id="1099365" name="Group Box 197" hidden="1"/>
        <xdr:cNvSpPr>
          <a:spLocks noChangeAspect="1" noChangeArrowheads="1"/>
        </xdr:cNvSpPr>
      </xdr:nvSpPr>
      <xdr:spPr bwMode="auto">
        <a:xfrm>
          <a:off x="11744325" y="59512200"/>
          <a:ext cx="326707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181</xdr:row>
      <xdr:rowOff>0</xdr:rowOff>
    </xdr:from>
    <xdr:to>
      <xdr:col>17</xdr:col>
      <xdr:colOff>28575</xdr:colOff>
      <xdr:row>181</xdr:row>
      <xdr:rowOff>1143000</xdr:rowOff>
    </xdr:to>
    <xdr:sp macro="" textlink="">
      <xdr:nvSpPr>
        <xdr:cNvPr id="1099366" name="Group Box 244" hidden="1"/>
        <xdr:cNvSpPr>
          <a:spLocks noChangeAspect="1" noChangeArrowheads="1"/>
        </xdr:cNvSpPr>
      </xdr:nvSpPr>
      <xdr:spPr bwMode="auto">
        <a:xfrm>
          <a:off x="11744325" y="60626625"/>
          <a:ext cx="326707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183</xdr:row>
      <xdr:rowOff>0</xdr:rowOff>
    </xdr:from>
    <xdr:to>
      <xdr:col>17</xdr:col>
      <xdr:colOff>28575</xdr:colOff>
      <xdr:row>188</xdr:row>
      <xdr:rowOff>38100</xdr:rowOff>
    </xdr:to>
    <xdr:sp macro="" textlink="">
      <xdr:nvSpPr>
        <xdr:cNvPr id="1099367" name="Group Box 245" hidden="1"/>
        <xdr:cNvSpPr>
          <a:spLocks noChangeAspect="1" noChangeArrowheads="1"/>
        </xdr:cNvSpPr>
      </xdr:nvSpPr>
      <xdr:spPr bwMode="auto">
        <a:xfrm>
          <a:off x="11744325" y="62103000"/>
          <a:ext cx="326707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183</xdr:row>
      <xdr:rowOff>180975</xdr:rowOff>
    </xdr:to>
    <xdr:sp macro="" textlink="">
      <xdr:nvSpPr>
        <xdr:cNvPr id="1099368" name="Option Button 246" hidden="1"/>
        <xdr:cNvSpPr>
          <a:spLocks noChangeAspect="1" noChangeArrowheads="1"/>
        </xdr:cNvSpPr>
      </xdr:nvSpPr>
      <xdr:spPr bwMode="auto">
        <a:xfrm>
          <a:off x="11925300" y="62103000"/>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180975</xdr:colOff>
      <xdr:row>183</xdr:row>
      <xdr:rowOff>0</xdr:rowOff>
    </xdr:from>
    <xdr:to>
      <xdr:col>12</xdr:col>
      <xdr:colOff>419100</xdr:colOff>
      <xdr:row>183</xdr:row>
      <xdr:rowOff>180975</xdr:rowOff>
    </xdr:to>
    <xdr:sp macro="" textlink="">
      <xdr:nvSpPr>
        <xdr:cNvPr id="1099369" name="Option Button 247" hidden="1"/>
        <xdr:cNvSpPr>
          <a:spLocks noChangeAspect="1" noChangeArrowheads="1"/>
        </xdr:cNvSpPr>
      </xdr:nvSpPr>
      <xdr:spPr bwMode="auto">
        <a:xfrm>
          <a:off x="11925300" y="62103000"/>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187</xdr:row>
      <xdr:rowOff>0</xdr:rowOff>
    </xdr:from>
    <xdr:to>
      <xdr:col>24</xdr:col>
      <xdr:colOff>9525</xdr:colOff>
      <xdr:row>188</xdr:row>
      <xdr:rowOff>226218</xdr:rowOff>
    </xdr:to>
    <xdr:sp macro="" textlink="">
      <xdr:nvSpPr>
        <xdr:cNvPr id="1099370" name="Group Box 271" hidden="1"/>
        <xdr:cNvSpPr>
          <a:spLocks noChangeAspect="1" noChangeArrowheads="1"/>
        </xdr:cNvSpPr>
      </xdr:nvSpPr>
      <xdr:spPr bwMode="auto">
        <a:xfrm>
          <a:off x="16278225" y="628935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189</xdr:row>
      <xdr:rowOff>0</xdr:rowOff>
    </xdr:from>
    <xdr:to>
      <xdr:col>24</xdr:col>
      <xdr:colOff>9525</xdr:colOff>
      <xdr:row>191</xdr:row>
      <xdr:rowOff>1</xdr:rowOff>
    </xdr:to>
    <xdr:sp macro="" textlink="">
      <xdr:nvSpPr>
        <xdr:cNvPr id="1099371" name="Group Box 272" hidden="1"/>
        <xdr:cNvSpPr>
          <a:spLocks noChangeAspect="1" noChangeArrowheads="1"/>
        </xdr:cNvSpPr>
      </xdr:nvSpPr>
      <xdr:spPr bwMode="auto">
        <a:xfrm>
          <a:off x="16278225" y="63426975"/>
          <a:ext cx="14859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187</xdr:row>
      <xdr:rowOff>142875</xdr:rowOff>
    </xdr:from>
    <xdr:to>
      <xdr:col>19</xdr:col>
      <xdr:colOff>276225</xdr:colOff>
      <xdr:row>188</xdr:row>
      <xdr:rowOff>28575</xdr:rowOff>
    </xdr:to>
    <xdr:sp macro="" textlink="">
      <xdr:nvSpPr>
        <xdr:cNvPr id="1099372" name="Option Button 276" hidden="1"/>
        <xdr:cNvSpPr>
          <a:spLocks noChangeAspect="1" noChangeArrowheads="1"/>
        </xdr:cNvSpPr>
      </xdr:nvSpPr>
      <xdr:spPr bwMode="auto">
        <a:xfrm>
          <a:off x="16316325" y="630364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189</xdr:row>
      <xdr:rowOff>209550</xdr:rowOff>
    </xdr:from>
    <xdr:to>
      <xdr:col>19</xdr:col>
      <xdr:colOff>276225</xdr:colOff>
      <xdr:row>190</xdr:row>
      <xdr:rowOff>95251</xdr:rowOff>
    </xdr:to>
    <xdr:sp macro="" textlink="">
      <xdr:nvSpPr>
        <xdr:cNvPr id="1099373" name="Option Button 277" hidden="1"/>
        <xdr:cNvSpPr>
          <a:spLocks noChangeAspect="1" noChangeArrowheads="1"/>
        </xdr:cNvSpPr>
      </xdr:nvSpPr>
      <xdr:spPr bwMode="auto">
        <a:xfrm>
          <a:off x="16316325" y="636365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191</xdr:row>
      <xdr:rowOff>142875</xdr:rowOff>
    </xdr:from>
    <xdr:to>
      <xdr:col>19</xdr:col>
      <xdr:colOff>276225</xdr:colOff>
      <xdr:row>192</xdr:row>
      <xdr:rowOff>28575</xdr:rowOff>
    </xdr:to>
    <xdr:sp macro="" textlink="">
      <xdr:nvSpPr>
        <xdr:cNvPr id="1099374" name="Option Button 278" hidden="1"/>
        <xdr:cNvSpPr>
          <a:spLocks noChangeAspect="1" noChangeArrowheads="1"/>
        </xdr:cNvSpPr>
      </xdr:nvSpPr>
      <xdr:spPr bwMode="auto">
        <a:xfrm>
          <a:off x="16316325" y="64103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193</xdr:row>
      <xdr:rowOff>142875</xdr:rowOff>
    </xdr:from>
    <xdr:to>
      <xdr:col>19</xdr:col>
      <xdr:colOff>276225</xdr:colOff>
      <xdr:row>194</xdr:row>
      <xdr:rowOff>28575</xdr:rowOff>
    </xdr:to>
    <xdr:sp macro="" textlink="">
      <xdr:nvSpPr>
        <xdr:cNvPr id="1099375" name="Option Button 279" hidden="1"/>
        <xdr:cNvSpPr>
          <a:spLocks noChangeAspect="1" noChangeArrowheads="1"/>
        </xdr:cNvSpPr>
      </xdr:nvSpPr>
      <xdr:spPr bwMode="auto">
        <a:xfrm>
          <a:off x="16316325" y="646366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239</xdr:row>
      <xdr:rowOff>9525</xdr:rowOff>
    </xdr:from>
    <xdr:to>
      <xdr:col>24</xdr:col>
      <xdr:colOff>0</xdr:colOff>
      <xdr:row>245</xdr:row>
      <xdr:rowOff>9525</xdr:rowOff>
    </xdr:to>
    <xdr:sp macro="" textlink="">
      <xdr:nvSpPr>
        <xdr:cNvPr id="1099376" name="Group Box 296" hidden="1"/>
        <xdr:cNvSpPr>
          <a:spLocks noChangeAspect="1" noChangeArrowheads="1"/>
        </xdr:cNvSpPr>
      </xdr:nvSpPr>
      <xdr:spPr bwMode="auto">
        <a:xfrm>
          <a:off x="16278225" y="814197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245</xdr:row>
      <xdr:rowOff>9525</xdr:rowOff>
    </xdr:from>
    <xdr:to>
      <xdr:col>24</xdr:col>
      <xdr:colOff>0</xdr:colOff>
      <xdr:row>251</xdr:row>
      <xdr:rowOff>0</xdr:rowOff>
    </xdr:to>
    <xdr:sp macro="" textlink="">
      <xdr:nvSpPr>
        <xdr:cNvPr id="1099377" name="Group Box 298" hidden="1"/>
        <xdr:cNvSpPr>
          <a:spLocks noChangeAspect="1" noChangeArrowheads="1"/>
        </xdr:cNvSpPr>
      </xdr:nvSpPr>
      <xdr:spPr bwMode="auto">
        <a:xfrm>
          <a:off x="16278225" y="826198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251</xdr:row>
      <xdr:rowOff>9525</xdr:rowOff>
    </xdr:from>
    <xdr:to>
      <xdr:col>24</xdr:col>
      <xdr:colOff>0</xdr:colOff>
      <xdr:row>256</xdr:row>
      <xdr:rowOff>201705</xdr:rowOff>
    </xdr:to>
    <xdr:sp macro="" textlink="">
      <xdr:nvSpPr>
        <xdr:cNvPr id="1099378" name="Group Box 299" hidden="1"/>
        <xdr:cNvSpPr>
          <a:spLocks noChangeAspect="1" noChangeArrowheads="1"/>
        </xdr:cNvSpPr>
      </xdr:nvSpPr>
      <xdr:spPr bwMode="auto">
        <a:xfrm>
          <a:off x="16278225" y="838200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263</xdr:row>
      <xdr:rowOff>9525</xdr:rowOff>
    </xdr:from>
    <xdr:to>
      <xdr:col>24</xdr:col>
      <xdr:colOff>0</xdr:colOff>
      <xdr:row>269</xdr:row>
      <xdr:rowOff>9525</xdr:rowOff>
    </xdr:to>
    <xdr:sp macro="" textlink="">
      <xdr:nvSpPr>
        <xdr:cNvPr id="1099379" name="Group Box 301" hidden="1"/>
        <xdr:cNvSpPr>
          <a:spLocks noChangeAspect="1" noChangeArrowheads="1"/>
        </xdr:cNvSpPr>
      </xdr:nvSpPr>
      <xdr:spPr bwMode="auto">
        <a:xfrm>
          <a:off x="16278225" y="86220300"/>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269</xdr:row>
      <xdr:rowOff>9525</xdr:rowOff>
    </xdr:from>
    <xdr:to>
      <xdr:col>24</xdr:col>
      <xdr:colOff>0</xdr:colOff>
      <xdr:row>275</xdr:row>
      <xdr:rowOff>0</xdr:rowOff>
    </xdr:to>
    <xdr:sp macro="" textlink="">
      <xdr:nvSpPr>
        <xdr:cNvPr id="1099380" name="Group Box 302" hidden="1"/>
        <xdr:cNvSpPr>
          <a:spLocks noChangeAspect="1" noChangeArrowheads="1"/>
        </xdr:cNvSpPr>
      </xdr:nvSpPr>
      <xdr:spPr bwMode="auto">
        <a:xfrm>
          <a:off x="16278225" y="8742045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0</xdr:rowOff>
    </xdr:from>
    <xdr:to>
      <xdr:col>24</xdr:col>
      <xdr:colOff>0</xdr:colOff>
      <xdr:row>281</xdr:row>
      <xdr:rowOff>0</xdr:rowOff>
    </xdr:to>
    <xdr:sp macro="" textlink="">
      <xdr:nvSpPr>
        <xdr:cNvPr id="1099381" name="Group Box 303" hidden="1"/>
        <xdr:cNvSpPr>
          <a:spLocks noChangeAspect="1" noChangeArrowheads="1"/>
        </xdr:cNvSpPr>
      </xdr:nvSpPr>
      <xdr:spPr bwMode="auto">
        <a:xfrm>
          <a:off x="16278225" y="88611075"/>
          <a:ext cx="147637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275</xdr:row>
      <xdr:rowOff>9525</xdr:rowOff>
    </xdr:from>
    <xdr:to>
      <xdr:col>24</xdr:col>
      <xdr:colOff>0</xdr:colOff>
      <xdr:row>281</xdr:row>
      <xdr:rowOff>0</xdr:rowOff>
    </xdr:to>
    <xdr:sp macro="" textlink="">
      <xdr:nvSpPr>
        <xdr:cNvPr id="1099382" name="Group Box 304" hidden="1"/>
        <xdr:cNvSpPr>
          <a:spLocks noChangeAspect="1" noChangeArrowheads="1"/>
        </xdr:cNvSpPr>
      </xdr:nvSpPr>
      <xdr:spPr bwMode="auto">
        <a:xfrm>
          <a:off x="16278225" y="88620600"/>
          <a:ext cx="147637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253</xdr:row>
      <xdr:rowOff>104775</xdr:rowOff>
    </xdr:from>
    <xdr:to>
      <xdr:col>19</xdr:col>
      <xdr:colOff>276225</xdr:colOff>
      <xdr:row>254</xdr:row>
      <xdr:rowOff>95250</xdr:rowOff>
    </xdr:to>
    <xdr:sp macro="" textlink="">
      <xdr:nvSpPr>
        <xdr:cNvPr id="1099383" name="Option Button 308" hidden="1"/>
        <xdr:cNvSpPr>
          <a:spLocks noChangeAspect="1" noChangeArrowheads="1"/>
        </xdr:cNvSpPr>
      </xdr:nvSpPr>
      <xdr:spPr bwMode="auto">
        <a:xfrm>
          <a:off x="16316325" y="843153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259</xdr:row>
      <xdr:rowOff>133350</xdr:rowOff>
    </xdr:from>
    <xdr:to>
      <xdr:col>19</xdr:col>
      <xdr:colOff>276225</xdr:colOff>
      <xdr:row>260</xdr:row>
      <xdr:rowOff>123825</xdr:rowOff>
    </xdr:to>
    <xdr:sp macro="" textlink="">
      <xdr:nvSpPr>
        <xdr:cNvPr id="1099384" name="Option Button 309" hidden="1"/>
        <xdr:cNvSpPr>
          <a:spLocks noChangeAspect="1" noChangeArrowheads="1"/>
        </xdr:cNvSpPr>
      </xdr:nvSpPr>
      <xdr:spPr bwMode="auto">
        <a:xfrm>
          <a:off x="16316325" y="855440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299</xdr:row>
      <xdr:rowOff>9525</xdr:rowOff>
    </xdr:from>
    <xdr:to>
      <xdr:col>24</xdr:col>
      <xdr:colOff>0</xdr:colOff>
      <xdr:row>305</xdr:row>
      <xdr:rowOff>1</xdr:rowOff>
    </xdr:to>
    <xdr:sp macro="" textlink="">
      <xdr:nvSpPr>
        <xdr:cNvPr id="1099385" name="Group Box 348" hidden="1"/>
        <xdr:cNvSpPr>
          <a:spLocks noChangeAspect="1" noChangeArrowheads="1"/>
        </xdr:cNvSpPr>
      </xdr:nvSpPr>
      <xdr:spPr bwMode="auto">
        <a:xfrm>
          <a:off x="16278225" y="948594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306</xdr:row>
      <xdr:rowOff>9525</xdr:rowOff>
    </xdr:from>
    <xdr:to>
      <xdr:col>24</xdr:col>
      <xdr:colOff>0</xdr:colOff>
      <xdr:row>309</xdr:row>
      <xdr:rowOff>80</xdr:rowOff>
    </xdr:to>
    <xdr:sp macro="" textlink="">
      <xdr:nvSpPr>
        <xdr:cNvPr id="1099386" name="Group Box 350" hidden="1"/>
        <xdr:cNvSpPr>
          <a:spLocks noChangeAspect="1" noChangeArrowheads="1"/>
        </xdr:cNvSpPr>
      </xdr:nvSpPr>
      <xdr:spPr bwMode="auto">
        <a:xfrm>
          <a:off x="16278225" y="97031175"/>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276225</xdr:colOff>
      <xdr:row>290</xdr:row>
      <xdr:rowOff>85725</xdr:rowOff>
    </xdr:to>
    <xdr:sp macro="" textlink="">
      <xdr:nvSpPr>
        <xdr:cNvPr id="1099387" name="Option Button 353" hidden="1"/>
        <xdr:cNvSpPr>
          <a:spLocks noChangeAspect="1" noChangeArrowheads="1"/>
        </xdr:cNvSpPr>
      </xdr:nvSpPr>
      <xdr:spPr bwMode="auto">
        <a:xfrm>
          <a:off x="16316325" y="931164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321</xdr:row>
      <xdr:rowOff>9525</xdr:rowOff>
    </xdr:from>
    <xdr:to>
      <xdr:col>24</xdr:col>
      <xdr:colOff>0</xdr:colOff>
      <xdr:row>327</xdr:row>
      <xdr:rowOff>1</xdr:rowOff>
    </xdr:to>
    <xdr:sp macro="" textlink="">
      <xdr:nvSpPr>
        <xdr:cNvPr id="1099388" name="Group Box 388" hidden="1"/>
        <xdr:cNvSpPr>
          <a:spLocks noChangeAspect="1" noChangeArrowheads="1"/>
        </xdr:cNvSpPr>
      </xdr:nvSpPr>
      <xdr:spPr bwMode="auto">
        <a:xfrm>
          <a:off x="16278225" y="1017460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327</xdr:row>
      <xdr:rowOff>9525</xdr:rowOff>
    </xdr:from>
    <xdr:to>
      <xdr:col>24</xdr:col>
      <xdr:colOff>0</xdr:colOff>
      <xdr:row>333</xdr:row>
      <xdr:rowOff>0</xdr:rowOff>
    </xdr:to>
    <xdr:sp macro="" textlink="">
      <xdr:nvSpPr>
        <xdr:cNvPr id="1099389" name="Group Box 389" hidden="1"/>
        <xdr:cNvSpPr>
          <a:spLocks noChangeAspect="1" noChangeArrowheads="1"/>
        </xdr:cNvSpPr>
      </xdr:nvSpPr>
      <xdr:spPr bwMode="auto">
        <a:xfrm>
          <a:off x="16278225" y="10283190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0</xdr:rowOff>
    </xdr:from>
    <xdr:to>
      <xdr:col>24</xdr:col>
      <xdr:colOff>0</xdr:colOff>
      <xdr:row>351</xdr:row>
      <xdr:rowOff>0</xdr:rowOff>
    </xdr:to>
    <xdr:sp macro="" textlink="">
      <xdr:nvSpPr>
        <xdr:cNvPr id="1099390" name="Group Box 393" hidden="1"/>
        <xdr:cNvSpPr>
          <a:spLocks noChangeAspect="1" noChangeArrowheads="1"/>
        </xdr:cNvSpPr>
      </xdr:nvSpPr>
      <xdr:spPr bwMode="auto">
        <a:xfrm>
          <a:off x="16278225" y="107756325"/>
          <a:ext cx="14763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345</xdr:row>
      <xdr:rowOff>9525</xdr:rowOff>
    </xdr:from>
    <xdr:to>
      <xdr:col>24</xdr:col>
      <xdr:colOff>0</xdr:colOff>
      <xdr:row>351</xdr:row>
      <xdr:rowOff>0</xdr:rowOff>
    </xdr:to>
    <xdr:sp macro="" textlink="">
      <xdr:nvSpPr>
        <xdr:cNvPr id="1099391" name="Group Box 394" hidden="1"/>
        <xdr:cNvSpPr>
          <a:spLocks noChangeAspect="1" noChangeArrowheads="1"/>
        </xdr:cNvSpPr>
      </xdr:nvSpPr>
      <xdr:spPr bwMode="auto">
        <a:xfrm>
          <a:off x="16278225" y="107765850"/>
          <a:ext cx="1476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374</xdr:row>
      <xdr:rowOff>9525</xdr:rowOff>
    </xdr:from>
    <xdr:to>
      <xdr:col>23</xdr:col>
      <xdr:colOff>276225</xdr:colOff>
      <xdr:row>377</xdr:row>
      <xdr:rowOff>9526</xdr:rowOff>
    </xdr:to>
    <xdr:sp macro="" textlink="">
      <xdr:nvSpPr>
        <xdr:cNvPr id="1099392" name="Group Box 404" hidden="1"/>
        <xdr:cNvSpPr>
          <a:spLocks noChangeAspect="1" noChangeArrowheads="1"/>
        </xdr:cNvSpPr>
      </xdr:nvSpPr>
      <xdr:spPr bwMode="auto">
        <a:xfrm>
          <a:off x="16278225" y="116195475"/>
          <a:ext cx="145732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377</xdr:row>
      <xdr:rowOff>9525</xdr:rowOff>
    </xdr:from>
    <xdr:to>
      <xdr:col>23</xdr:col>
      <xdr:colOff>276225</xdr:colOff>
      <xdr:row>378</xdr:row>
      <xdr:rowOff>8803</xdr:rowOff>
    </xdr:to>
    <xdr:sp macro="" textlink="">
      <xdr:nvSpPr>
        <xdr:cNvPr id="1099393" name="Group Box 405" hidden="1"/>
        <xdr:cNvSpPr>
          <a:spLocks noChangeAspect="1" noChangeArrowheads="1"/>
        </xdr:cNvSpPr>
      </xdr:nvSpPr>
      <xdr:spPr bwMode="auto">
        <a:xfrm>
          <a:off x="16278225" y="11799570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378</xdr:row>
      <xdr:rowOff>9525</xdr:rowOff>
    </xdr:from>
    <xdr:to>
      <xdr:col>23</xdr:col>
      <xdr:colOff>276225</xdr:colOff>
      <xdr:row>378</xdr:row>
      <xdr:rowOff>971550</xdr:rowOff>
    </xdr:to>
    <xdr:sp macro="" textlink="">
      <xdr:nvSpPr>
        <xdr:cNvPr id="1099394" name="Group Box 406" hidden="1"/>
        <xdr:cNvSpPr>
          <a:spLocks noChangeAspect="1" noChangeArrowheads="1"/>
        </xdr:cNvSpPr>
      </xdr:nvSpPr>
      <xdr:spPr bwMode="auto">
        <a:xfrm>
          <a:off x="16278225" y="118967250"/>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385</xdr:row>
      <xdr:rowOff>9525</xdr:rowOff>
    </xdr:from>
    <xdr:to>
      <xdr:col>23</xdr:col>
      <xdr:colOff>276225</xdr:colOff>
      <xdr:row>392</xdr:row>
      <xdr:rowOff>0</xdr:rowOff>
    </xdr:to>
    <xdr:sp macro="" textlink="">
      <xdr:nvSpPr>
        <xdr:cNvPr id="1099395" name="Group Box 427" hidden="1"/>
        <xdr:cNvSpPr>
          <a:spLocks noChangeAspect="1" noChangeArrowheads="1"/>
        </xdr:cNvSpPr>
      </xdr:nvSpPr>
      <xdr:spPr bwMode="auto">
        <a:xfrm>
          <a:off x="16278225" y="122624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392</xdr:row>
      <xdr:rowOff>9525</xdr:rowOff>
    </xdr:from>
    <xdr:to>
      <xdr:col>23</xdr:col>
      <xdr:colOff>276225</xdr:colOff>
      <xdr:row>399</xdr:row>
      <xdr:rowOff>0</xdr:rowOff>
    </xdr:to>
    <xdr:sp macro="" textlink="">
      <xdr:nvSpPr>
        <xdr:cNvPr id="1099396" name="Group Box 428" hidden="1"/>
        <xdr:cNvSpPr>
          <a:spLocks noChangeAspect="1" noChangeArrowheads="1"/>
        </xdr:cNvSpPr>
      </xdr:nvSpPr>
      <xdr:spPr bwMode="auto">
        <a:xfrm>
          <a:off x="16278225" y="123958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406</xdr:row>
      <xdr:rowOff>9525</xdr:rowOff>
    </xdr:from>
    <xdr:to>
      <xdr:col>23</xdr:col>
      <xdr:colOff>276225</xdr:colOff>
      <xdr:row>413</xdr:row>
      <xdr:rowOff>0</xdr:rowOff>
    </xdr:to>
    <xdr:sp macro="" textlink="">
      <xdr:nvSpPr>
        <xdr:cNvPr id="1099397" name="Group Box 431" hidden="1"/>
        <xdr:cNvSpPr>
          <a:spLocks noChangeAspect="1" noChangeArrowheads="1"/>
        </xdr:cNvSpPr>
      </xdr:nvSpPr>
      <xdr:spPr bwMode="auto">
        <a:xfrm>
          <a:off x="16278225" y="126625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413</xdr:row>
      <xdr:rowOff>9525</xdr:rowOff>
    </xdr:from>
    <xdr:to>
      <xdr:col>23</xdr:col>
      <xdr:colOff>276225</xdr:colOff>
      <xdr:row>420</xdr:row>
      <xdr:rowOff>0</xdr:rowOff>
    </xdr:to>
    <xdr:sp macro="" textlink="">
      <xdr:nvSpPr>
        <xdr:cNvPr id="1099398" name="Group Box 432" hidden="1"/>
        <xdr:cNvSpPr>
          <a:spLocks noChangeAspect="1" noChangeArrowheads="1"/>
        </xdr:cNvSpPr>
      </xdr:nvSpPr>
      <xdr:spPr bwMode="auto">
        <a:xfrm>
          <a:off x="16278225" y="1279588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420</xdr:row>
      <xdr:rowOff>9525</xdr:rowOff>
    </xdr:from>
    <xdr:to>
      <xdr:col>23</xdr:col>
      <xdr:colOff>276225</xdr:colOff>
      <xdr:row>427</xdr:row>
      <xdr:rowOff>0</xdr:rowOff>
    </xdr:to>
    <xdr:sp macro="" textlink="">
      <xdr:nvSpPr>
        <xdr:cNvPr id="1099399" name="Group Box 433" hidden="1"/>
        <xdr:cNvSpPr>
          <a:spLocks noChangeAspect="1" noChangeArrowheads="1"/>
        </xdr:cNvSpPr>
      </xdr:nvSpPr>
      <xdr:spPr bwMode="auto">
        <a:xfrm>
          <a:off x="16278225" y="129292350"/>
          <a:ext cx="145732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47626</xdr:rowOff>
    </xdr:to>
    <xdr:sp macro="" textlink="">
      <xdr:nvSpPr>
        <xdr:cNvPr id="1099400" name="Group Box 439" hidden="1"/>
        <xdr:cNvSpPr>
          <a:spLocks noChangeAspect="1" noChangeArrowheads="1"/>
        </xdr:cNvSpPr>
      </xdr:nvSpPr>
      <xdr:spPr bwMode="auto">
        <a:xfrm>
          <a:off x="16278225" y="132788025"/>
          <a:ext cx="14573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431</xdr:row>
      <xdr:rowOff>0</xdr:rowOff>
    </xdr:from>
    <xdr:to>
      <xdr:col>23</xdr:col>
      <xdr:colOff>276225</xdr:colOff>
      <xdr:row>437</xdr:row>
      <xdr:rowOff>47626</xdr:rowOff>
    </xdr:to>
    <xdr:sp macro="" textlink="">
      <xdr:nvSpPr>
        <xdr:cNvPr id="1099401" name="Group Box 440" hidden="1"/>
        <xdr:cNvSpPr>
          <a:spLocks noChangeAspect="1" noChangeArrowheads="1"/>
        </xdr:cNvSpPr>
      </xdr:nvSpPr>
      <xdr:spPr bwMode="auto">
        <a:xfrm>
          <a:off x="16278225" y="132788025"/>
          <a:ext cx="14573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451</xdr:row>
      <xdr:rowOff>0</xdr:rowOff>
    </xdr:from>
    <xdr:to>
      <xdr:col>23</xdr:col>
      <xdr:colOff>276225</xdr:colOff>
      <xdr:row>452</xdr:row>
      <xdr:rowOff>9525</xdr:rowOff>
    </xdr:to>
    <xdr:sp macro="" textlink="">
      <xdr:nvSpPr>
        <xdr:cNvPr id="1099402" name="Group Box 553" hidden="1"/>
        <xdr:cNvSpPr>
          <a:spLocks noChangeAspect="1" noChangeArrowheads="1"/>
        </xdr:cNvSpPr>
      </xdr:nvSpPr>
      <xdr:spPr bwMode="auto">
        <a:xfrm>
          <a:off x="16278225" y="137922000"/>
          <a:ext cx="14573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460</xdr:row>
      <xdr:rowOff>0</xdr:rowOff>
    </xdr:from>
    <xdr:to>
      <xdr:col>23</xdr:col>
      <xdr:colOff>276225</xdr:colOff>
      <xdr:row>466</xdr:row>
      <xdr:rowOff>9525</xdr:rowOff>
    </xdr:to>
    <xdr:sp macro="" textlink="">
      <xdr:nvSpPr>
        <xdr:cNvPr id="1099403" name="Group Box 555" hidden="1"/>
        <xdr:cNvSpPr>
          <a:spLocks noChangeAspect="1" noChangeArrowheads="1"/>
        </xdr:cNvSpPr>
      </xdr:nvSpPr>
      <xdr:spPr bwMode="auto">
        <a:xfrm>
          <a:off x="16278225" y="1429035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472</xdr:row>
      <xdr:rowOff>0</xdr:rowOff>
    </xdr:from>
    <xdr:to>
      <xdr:col>23</xdr:col>
      <xdr:colOff>276225</xdr:colOff>
      <xdr:row>478</xdr:row>
      <xdr:rowOff>9525</xdr:rowOff>
    </xdr:to>
    <xdr:sp macro="" textlink="">
      <xdr:nvSpPr>
        <xdr:cNvPr id="1099404" name="Group Box 557" hidden="1"/>
        <xdr:cNvSpPr>
          <a:spLocks noChangeAspect="1" noChangeArrowheads="1"/>
        </xdr:cNvSpPr>
      </xdr:nvSpPr>
      <xdr:spPr bwMode="auto">
        <a:xfrm>
          <a:off x="16278225" y="145418175"/>
          <a:ext cx="14573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501</xdr:row>
      <xdr:rowOff>0</xdr:rowOff>
    </xdr:from>
    <xdr:to>
      <xdr:col>23</xdr:col>
      <xdr:colOff>276225</xdr:colOff>
      <xdr:row>503</xdr:row>
      <xdr:rowOff>9526</xdr:rowOff>
    </xdr:to>
    <xdr:sp macro="" textlink="">
      <xdr:nvSpPr>
        <xdr:cNvPr id="1099405" name="Group Box 560" hidden="1"/>
        <xdr:cNvSpPr>
          <a:spLocks noChangeAspect="1" noChangeArrowheads="1"/>
        </xdr:cNvSpPr>
      </xdr:nvSpPr>
      <xdr:spPr bwMode="auto">
        <a:xfrm>
          <a:off x="16278225" y="156105225"/>
          <a:ext cx="14573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516</xdr:row>
      <xdr:rowOff>0</xdr:rowOff>
    </xdr:from>
    <xdr:to>
      <xdr:col>23</xdr:col>
      <xdr:colOff>276225</xdr:colOff>
      <xdr:row>521</xdr:row>
      <xdr:rowOff>152401</xdr:rowOff>
    </xdr:to>
    <xdr:sp macro="" textlink="">
      <xdr:nvSpPr>
        <xdr:cNvPr id="1099406" name="Group Box 562" hidden="1"/>
        <xdr:cNvSpPr>
          <a:spLocks noChangeAspect="1" noChangeArrowheads="1"/>
        </xdr:cNvSpPr>
      </xdr:nvSpPr>
      <xdr:spPr bwMode="auto">
        <a:xfrm>
          <a:off x="16278225" y="160677225"/>
          <a:ext cx="1457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540</xdr:row>
      <xdr:rowOff>0</xdr:rowOff>
    </xdr:from>
    <xdr:to>
      <xdr:col>23</xdr:col>
      <xdr:colOff>276225</xdr:colOff>
      <xdr:row>546</xdr:row>
      <xdr:rowOff>0</xdr:rowOff>
    </xdr:to>
    <xdr:sp macro="" textlink="">
      <xdr:nvSpPr>
        <xdr:cNvPr id="1099407" name="Group Box 565" hidden="1"/>
        <xdr:cNvSpPr>
          <a:spLocks noChangeAspect="1" noChangeArrowheads="1"/>
        </xdr:cNvSpPr>
      </xdr:nvSpPr>
      <xdr:spPr bwMode="auto">
        <a:xfrm>
          <a:off x="16278225" y="1669065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552</xdr:row>
      <xdr:rowOff>0</xdr:rowOff>
    </xdr:from>
    <xdr:to>
      <xdr:col>23</xdr:col>
      <xdr:colOff>276225</xdr:colOff>
      <xdr:row>558</xdr:row>
      <xdr:rowOff>0</xdr:rowOff>
    </xdr:to>
    <xdr:sp macro="" textlink="">
      <xdr:nvSpPr>
        <xdr:cNvPr id="1099408" name="Group Box 567" hidden="1"/>
        <xdr:cNvSpPr>
          <a:spLocks noChangeAspect="1" noChangeArrowheads="1"/>
        </xdr:cNvSpPr>
      </xdr:nvSpPr>
      <xdr:spPr bwMode="auto">
        <a:xfrm>
          <a:off x="16278225" y="169306875"/>
          <a:ext cx="1457325"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30</xdr:row>
      <xdr:rowOff>85725</xdr:rowOff>
    </xdr:from>
    <xdr:to>
      <xdr:col>19</xdr:col>
      <xdr:colOff>276225</xdr:colOff>
      <xdr:row>30</xdr:row>
      <xdr:rowOff>276225</xdr:rowOff>
    </xdr:to>
    <xdr:sp macro="" textlink="">
      <xdr:nvSpPr>
        <xdr:cNvPr id="1099409" name="AutoShape 947" hidden="1"/>
        <xdr:cNvSpPr>
          <a:spLocks noChangeAspect="1" noChangeArrowheads="1"/>
        </xdr:cNvSpPr>
      </xdr:nvSpPr>
      <xdr:spPr bwMode="auto">
        <a:xfrm>
          <a:off x="16306800" y="75152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31</xdr:row>
      <xdr:rowOff>85725</xdr:rowOff>
    </xdr:from>
    <xdr:to>
      <xdr:col>19</xdr:col>
      <xdr:colOff>276225</xdr:colOff>
      <xdr:row>31</xdr:row>
      <xdr:rowOff>276225</xdr:rowOff>
    </xdr:to>
    <xdr:sp macro="" textlink="">
      <xdr:nvSpPr>
        <xdr:cNvPr id="1099410" name="AutoShape 948" hidden="1"/>
        <xdr:cNvSpPr>
          <a:spLocks noChangeAspect="1" noChangeArrowheads="1"/>
        </xdr:cNvSpPr>
      </xdr:nvSpPr>
      <xdr:spPr bwMode="auto">
        <a:xfrm>
          <a:off x="16306800" y="78771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32</xdr:row>
      <xdr:rowOff>85725</xdr:rowOff>
    </xdr:from>
    <xdr:to>
      <xdr:col>19</xdr:col>
      <xdr:colOff>276225</xdr:colOff>
      <xdr:row>32</xdr:row>
      <xdr:rowOff>276225</xdr:rowOff>
    </xdr:to>
    <xdr:sp macro="" textlink="">
      <xdr:nvSpPr>
        <xdr:cNvPr id="1099411" name="AutoShape 949" hidden="1"/>
        <xdr:cNvSpPr>
          <a:spLocks noChangeAspect="1" noChangeArrowheads="1"/>
        </xdr:cNvSpPr>
      </xdr:nvSpPr>
      <xdr:spPr bwMode="auto">
        <a:xfrm>
          <a:off x="16306800" y="82391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33</xdr:row>
      <xdr:rowOff>85725</xdr:rowOff>
    </xdr:from>
    <xdr:to>
      <xdr:col>19</xdr:col>
      <xdr:colOff>276225</xdr:colOff>
      <xdr:row>33</xdr:row>
      <xdr:rowOff>276225</xdr:rowOff>
    </xdr:to>
    <xdr:sp macro="" textlink="">
      <xdr:nvSpPr>
        <xdr:cNvPr id="1099412" name="AutoShape 950" hidden="1"/>
        <xdr:cNvSpPr>
          <a:spLocks noChangeAspect="1" noChangeArrowheads="1"/>
        </xdr:cNvSpPr>
      </xdr:nvSpPr>
      <xdr:spPr bwMode="auto">
        <a:xfrm>
          <a:off x="16306800" y="86010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28575</xdr:colOff>
      <xdr:row>34</xdr:row>
      <xdr:rowOff>85725</xdr:rowOff>
    </xdr:from>
    <xdr:to>
      <xdr:col>19</xdr:col>
      <xdr:colOff>276225</xdr:colOff>
      <xdr:row>34</xdr:row>
      <xdr:rowOff>276225</xdr:rowOff>
    </xdr:to>
    <xdr:sp macro="" textlink="">
      <xdr:nvSpPr>
        <xdr:cNvPr id="1099413" name="AutoShape 951" hidden="1"/>
        <xdr:cNvSpPr>
          <a:spLocks noChangeAspect="1" noChangeArrowheads="1"/>
        </xdr:cNvSpPr>
      </xdr:nvSpPr>
      <xdr:spPr bwMode="auto">
        <a:xfrm>
          <a:off x="16306800" y="896302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265</xdr:row>
      <xdr:rowOff>142875</xdr:rowOff>
    </xdr:from>
    <xdr:to>
      <xdr:col>19</xdr:col>
      <xdr:colOff>276225</xdr:colOff>
      <xdr:row>266</xdr:row>
      <xdr:rowOff>133350</xdr:rowOff>
    </xdr:to>
    <xdr:sp macro="" textlink="">
      <xdr:nvSpPr>
        <xdr:cNvPr id="1099414" name="Option Button 310" hidden="1"/>
        <xdr:cNvSpPr>
          <a:spLocks noChangeAspect="1" noChangeArrowheads="1"/>
        </xdr:cNvSpPr>
      </xdr:nvSpPr>
      <xdr:spPr bwMode="auto">
        <a:xfrm>
          <a:off x="16316325" y="867537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271</xdr:row>
      <xdr:rowOff>133350</xdr:rowOff>
    </xdr:from>
    <xdr:to>
      <xdr:col>19</xdr:col>
      <xdr:colOff>276225</xdr:colOff>
      <xdr:row>272</xdr:row>
      <xdr:rowOff>123826</xdr:rowOff>
    </xdr:to>
    <xdr:sp macro="" textlink="">
      <xdr:nvSpPr>
        <xdr:cNvPr id="1099415" name="Option Button 311" hidden="1"/>
        <xdr:cNvSpPr>
          <a:spLocks noChangeAspect="1" noChangeArrowheads="1"/>
        </xdr:cNvSpPr>
      </xdr:nvSpPr>
      <xdr:spPr bwMode="auto">
        <a:xfrm>
          <a:off x="16316325" y="87944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275</xdr:row>
      <xdr:rowOff>0</xdr:rowOff>
    </xdr:from>
    <xdr:to>
      <xdr:col>19</xdr:col>
      <xdr:colOff>276225</xdr:colOff>
      <xdr:row>276</xdr:row>
      <xdr:rowOff>0</xdr:rowOff>
    </xdr:to>
    <xdr:sp macro="" textlink="">
      <xdr:nvSpPr>
        <xdr:cNvPr id="1099416" name="Option Button 312" hidden="1"/>
        <xdr:cNvSpPr>
          <a:spLocks noChangeAspect="1" noChangeArrowheads="1"/>
        </xdr:cNvSpPr>
      </xdr:nvSpPr>
      <xdr:spPr bwMode="auto">
        <a:xfrm>
          <a:off x="16316325" y="8861107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277</xdr:row>
      <xdr:rowOff>95250</xdr:rowOff>
    </xdr:from>
    <xdr:to>
      <xdr:col>19</xdr:col>
      <xdr:colOff>276225</xdr:colOff>
      <xdr:row>278</xdr:row>
      <xdr:rowOff>85724</xdr:rowOff>
    </xdr:to>
    <xdr:sp macro="" textlink="">
      <xdr:nvSpPr>
        <xdr:cNvPr id="1099417" name="Option Button 313" hidden="1"/>
        <xdr:cNvSpPr>
          <a:spLocks noChangeAspect="1" noChangeArrowheads="1"/>
        </xdr:cNvSpPr>
      </xdr:nvSpPr>
      <xdr:spPr bwMode="auto">
        <a:xfrm>
          <a:off x="16316325" y="8910637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289</xdr:row>
      <xdr:rowOff>76200</xdr:rowOff>
    </xdr:from>
    <xdr:to>
      <xdr:col>19</xdr:col>
      <xdr:colOff>276225</xdr:colOff>
      <xdr:row>290</xdr:row>
      <xdr:rowOff>85725</xdr:rowOff>
    </xdr:to>
    <xdr:sp macro="" textlink="">
      <xdr:nvSpPr>
        <xdr:cNvPr id="1099418" name="AutoShape 956" hidden="1"/>
        <xdr:cNvSpPr>
          <a:spLocks noChangeAspect="1" noChangeArrowheads="1"/>
        </xdr:cNvSpPr>
      </xdr:nvSpPr>
      <xdr:spPr bwMode="auto">
        <a:xfrm>
          <a:off x="16316325" y="931164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295</xdr:row>
      <xdr:rowOff>95250</xdr:rowOff>
    </xdr:from>
    <xdr:to>
      <xdr:col>19</xdr:col>
      <xdr:colOff>276225</xdr:colOff>
      <xdr:row>296</xdr:row>
      <xdr:rowOff>104775</xdr:rowOff>
    </xdr:to>
    <xdr:sp macro="" textlink="">
      <xdr:nvSpPr>
        <xdr:cNvPr id="1099419" name="Option Button 354" hidden="1"/>
        <xdr:cNvSpPr>
          <a:spLocks noChangeAspect="1" noChangeArrowheads="1"/>
        </xdr:cNvSpPr>
      </xdr:nvSpPr>
      <xdr:spPr bwMode="auto">
        <a:xfrm>
          <a:off x="16316325" y="9422130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311</xdr:row>
      <xdr:rowOff>142875</xdr:rowOff>
    </xdr:from>
    <xdr:to>
      <xdr:col>19</xdr:col>
      <xdr:colOff>276225</xdr:colOff>
      <xdr:row>312</xdr:row>
      <xdr:rowOff>152400</xdr:rowOff>
    </xdr:to>
    <xdr:sp macro="" textlink="">
      <xdr:nvSpPr>
        <xdr:cNvPr id="1099420" name="Option Button 358" hidden="1"/>
        <xdr:cNvSpPr>
          <a:spLocks noChangeAspect="1" noChangeArrowheads="1"/>
        </xdr:cNvSpPr>
      </xdr:nvSpPr>
      <xdr:spPr bwMode="auto">
        <a:xfrm>
          <a:off x="16316325" y="986123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315</xdr:row>
      <xdr:rowOff>0</xdr:rowOff>
    </xdr:from>
    <xdr:to>
      <xdr:col>19</xdr:col>
      <xdr:colOff>276225</xdr:colOff>
      <xdr:row>315</xdr:row>
      <xdr:rowOff>200025</xdr:rowOff>
    </xdr:to>
    <xdr:sp macro="" textlink="">
      <xdr:nvSpPr>
        <xdr:cNvPr id="1099421" name="Option Button 359" hidden="1"/>
        <xdr:cNvSpPr>
          <a:spLocks noChangeAspect="1" noChangeArrowheads="1"/>
        </xdr:cNvSpPr>
      </xdr:nvSpPr>
      <xdr:spPr bwMode="auto">
        <a:xfrm>
          <a:off x="16316325" y="99193350"/>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323</xdr:row>
      <xdr:rowOff>66675</xdr:rowOff>
    </xdr:from>
    <xdr:to>
      <xdr:col>19</xdr:col>
      <xdr:colOff>276225</xdr:colOff>
      <xdr:row>324</xdr:row>
      <xdr:rowOff>85724</xdr:rowOff>
    </xdr:to>
    <xdr:sp macro="" textlink="">
      <xdr:nvSpPr>
        <xdr:cNvPr id="1099422" name="Option Button 397" hidden="1"/>
        <xdr:cNvSpPr>
          <a:spLocks noChangeAspect="1" noChangeArrowheads="1"/>
        </xdr:cNvSpPr>
      </xdr:nvSpPr>
      <xdr:spPr bwMode="auto">
        <a:xfrm>
          <a:off x="16316325" y="102165150"/>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38100</xdr:colOff>
      <xdr:row>333</xdr:row>
      <xdr:rowOff>0</xdr:rowOff>
    </xdr:from>
    <xdr:to>
      <xdr:col>19</xdr:col>
      <xdr:colOff>276225</xdr:colOff>
      <xdr:row>333</xdr:row>
      <xdr:rowOff>200025</xdr:rowOff>
    </xdr:to>
    <xdr:sp macro="" textlink="">
      <xdr:nvSpPr>
        <xdr:cNvPr id="1099423" name="Option Button 399" hidden="1"/>
        <xdr:cNvSpPr>
          <a:spLocks noChangeAspect="1" noChangeArrowheads="1"/>
        </xdr:cNvSpPr>
      </xdr:nvSpPr>
      <xdr:spPr bwMode="auto">
        <a:xfrm>
          <a:off x="16316325" y="103908225"/>
          <a:ext cx="2381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24"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25"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26"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180975</xdr:rowOff>
    </xdr:to>
    <xdr:sp macro="" textlink="">
      <xdr:nvSpPr>
        <xdr:cNvPr id="1099427" name="AutoShape 184459" hidden="1"/>
        <xdr:cNvSpPr>
          <a:spLocks noChangeAspect="1" noChangeArrowheads="1"/>
        </xdr:cNvSpPr>
      </xdr:nvSpPr>
      <xdr:spPr bwMode="auto">
        <a:xfrm>
          <a:off x="12573000" y="57245250"/>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676275</xdr:rowOff>
    </xdr:to>
    <xdr:sp macro="" textlink="">
      <xdr:nvSpPr>
        <xdr:cNvPr id="1099428" name="AutoShape 184460" hidden="1"/>
        <xdr:cNvSpPr>
          <a:spLocks noChangeAspect="1" noChangeArrowheads="1"/>
        </xdr:cNvSpPr>
      </xdr:nvSpPr>
      <xdr:spPr bwMode="auto">
        <a:xfrm>
          <a:off x="12573000" y="57740550"/>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29"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30"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31"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32"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33"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34"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35"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36"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37"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38"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39"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40"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41"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42"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43"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44"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45"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46"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47"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48"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49"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50"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51"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52"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53"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54"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55"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56"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57"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58"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59"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60"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61"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62"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63"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64"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65"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66"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67"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68"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69"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70"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71"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72"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73"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74"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75"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76"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77"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78"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79"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80"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81"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82"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83"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84"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85"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86"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87"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88"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89"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90"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91"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92"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93"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94"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95"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96"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497"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498"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499"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500"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177</xdr:row>
      <xdr:rowOff>0</xdr:rowOff>
    </xdr:from>
    <xdr:to>
      <xdr:col>17</xdr:col>
      <xdr:colOff>47625</xdr:colOff>
      <xdr:row>178</xdr:row>
      <xdr:rowOff>9525</xdr:rowOff>
    </xdr:to>
    <xdr:sp macro="" textlink="">
      <xdr:nvSpPr>
        <xdr:cNvPr id="1099501" name="Group Box 245" hidden="1"/>
        <xdr:cNvSpPr>
          <a:spLocks noChangeArrowheads="1"/>
        </xdr:cNvSpPr>
      </xdr:nvSpPr>
      <xdr:spPr bwMode="auto">
        <a:xfrm>
          <a:off x="11744325" y="57245250"/>
          <a:ext cx="32861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190500</xdr:rowOff>
    </xdr:to>
    <xdr:sp macro="" textlink="">
      <xdr:nvSpPr>
        <xdr:cNvPr id="1099502" name="Option Button 246" hidden="1"/>
        <xdr:cNvSpPr>
          <a:spLocks noChangeArrowheads="1"/>
        </xdr:cNvSpPr>
      </xdr:nvSpPr>
      <xdr:spPr bwMode="auto">
        <a:xfrm>
          <a:off x="12573000" y="572452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685800</xdr:rowOff>
    </xdr:to>
    <xdr:sp macro="" textlink="">
      <xdr:nvSpPr>
        <xdr:cNvPr id="1099503" name="Option Button 247" hidden="1"/>
        <xdr:cNvSpPr>
          <a:spLocks noChangeArrowheads="1"/>
        </xdr:cNvSpPr>
      </xdr:nvSpPr>
      <xdr:spPr bwMode="auto">
        <a:xfrm>
          <a:off x="12573000" y="57740550"/>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0</xdr:rowOff>
    </xdr:from>
    <xdr:to>
      <xdr:col>13</xdr:col>
      <xdr:colOff>419100</xdr:colOff>
      <xdr:row>177</xdr:row>
      <xdr:rowOff>180975</xdr:rowOff>
    </xdr:to>
    <xdr:sp macro="" textlink="">
      <xdr:nvSpPr>
        <xdr:cNvPr id="1099504" name="Option Button 246" hidden="1"/>
        <xdr:cNvSpPr>
          <a:spLocks noChangeAspect="1" noChangeArrowheads="1"/>
        </xdr:cNvSpPr>
      </xdr:nvSpPr>
      <xdr:spPr bwMode="auto">
        <a:xfrm>
          <a:off x="12573000" y="57245250"/>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180975</xdr:colOff>
      <xdr:row>177</xdr:row>
      <xdr:rowOff>495300</xdr:rowOff>
    </xdr:from>
    <xdr:to>
      <xdr:col>13</xdr:col>
      <xdr:colOff>419100</xdr:colOff>
      <xdr:row>177</xdr:row>
      <xdr:rowOff>676275</xdr:rowOff>
    </xdr:to>
    <xdr:sp macro="" textlink="">
      <xdr:nvSpPr>
        <xdr:cNvPr id="1099505" name="Option Button 247" hidden="1"/>
        <xdr:cNvSpPr>
          <a:spLocks noChangeAspect="1" noChangeArrowheads="1"/>
        </xdr:cNvSpPr>
      </xdr:nvSpPr>
      <xdr:spPr bwMode="auto">
        <a:xfrm>
          <a:off x="12573000" y="57740550"/>
          <a:ext cx="238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19</xdr:col>
          <xdr:colOff>0</xdr:colOff>
          <xdr:row>24</xdr:row>
          <xdr:rowOff>0</xdr:rowOff>
        </xdr:from>
        <xdr:to>
          <xdr:col>24</xdr:col>
          <xdr:colOff>9525</xdr:colOff>
          <xdr:row>25</xdr:row>
          <xdr:rowOff>9525</xdr:rowOff>
        </xdr:to>
        <xdr:sp macro="" textlink="">
          <xdr:nvSpPr>
            <xdr:cNvPr id="5149" name="Group Box 29" hidden="1">
              <a:extLst>
                <a:ext uri="{63B3BB69-23CF-44E3-9099-C40C66FF867C}">
                  <a14:compatExt spid="_x0000_s5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26</xdr:row>
          <xdr:rowOff>0</xdr:rowOff>
        </xdr:from>
        <xdr:to>
          <xdr:col>24</xdr:col>
          <xdr:colOff>9525</xdr:colOff>
          <xdr:row>27</xdr:row>
          <xdr:rowOff>9525</xdr:rowOff>
        </xdr:to>
        <xdr:sp macro="" textlink="">
          <xdr:nvSpPr>
            <xdr:cNvPr id="5151" name="Group Box 31" hidden="1">
              <a:extLst>
                <a:ext uri="{63B3BB69-23CF-44E3-9099-C40C66FF867C}">
                  <a14:compatExt spid="_x0000_s5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27</xdr:row>
          <xdr:rowOff>0</xdr:rowOff>
        </xdr:from>
        <xdr:to>
          <xdr:col>24</xdr:col>
          <xdr:colOff>9525</xdr:colOff>
          <xdr:row>28</xdr:row>
          <xdr:rowOff>9525</xdr:rowOff>
        </xdr:to>
        <xdr:sp macro="" textlink="">
          <xdr:nvSpPr>
            <xdr:cNvPr id="5152" name="Group Box 32" hidden="1">
              <a:extLst>
                <a:ext uri="{63B3BB69-23CF-44E3-9099-C40C66FF867C}">
                  <a14:compatExt spid="_x0000_s5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29</xdr:row>
          <xdr:rowOff>0</xdr:rowOff>
        </xdr:from>
        <xdr:to>
          <xdr:col>24</xdr:col>
          <xdr:colOff>9525</xdr:colOff>
          <xdr:row>30</xdr:row>
          <xdr:rowOff>9525</xdr:rowOff>
        </xdr:to>
        <xdr:sp macro="" textlink="">
          <xdr:nvSpPr>
            <xdr:cNvPr id="5154" name="Group Box 34" hidden="1">
              <a:extLst>
                <a:ext uri="{63B3BB69-23CF-44E3-9099-C40C66FF867C}">
                  <a14:compatExt spid="_x0000_s5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32</xdr:row>
          <xdr:rowOff>0</xdr:rowOff>
        </xdr:from>
        <xdr:to>
          <xdr:col>24</xdr:col>
          <xdr:colOff>9525</xdr:colOff>
          <xdr:row>33</xdr:row>
          <xdr:rowOff>9525</xdr:rowOff>
        </xdr:to>
        <xdr:sp macro="" textlink="">
          <xdr:nvSpPr>
            <xdr:cNvPr id="5157" name="Group Box 37" hidden="1">
              <a:extLst>
                <a:ext uri="{63B3BB69-23CF-44E3-9099-C40C66FF867C}">
                  <a14:compatExt spid="_x0000_s5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34</xdr:row>
          <xdr:rowOff>0</xdr:rowOff>
        </xdr:from>
        <xdr:to>
          <xdr:col>24</xdr:col>
          <xdr:colOff>9525</xdr:colOff>
          <xdr:row>35</xdr:row>
          <xdr:rowOff>9525</xdr:rowOff>
        </xdr:to>
        <xdr:sp macro="" textlink="">
          <xdr:nvSpPr>
            <xdr:cNvPr id="5159" name="Group Box 39" hidden="1">
              <a:extLst>
                <a:ext uri="{63B3BB69-23CF-44E3-9099-C40C66FF867C}">
                  <a14:compatExt spid="_x0000_s5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35</xdr:row>
          <xdr:rowOff>0</xdr:rowOff>
        </xdr:from>
        <xdr:to>
          <xdr:col>24</xdr:col>
          <xdr:colOff>9525</xdr:colOff>
          <xdr:row>36</xdr:row>
          <xdr:rowOff>9525</xdr:rowOff>
        </xdr:to>
        <xdr:sp macro="" textlink="">
          <xdr:nvSpPr>
            <xdr:cNvPr id="5160" name="Group Box 40" hidden="1">
              <a:extLst>
                <a:ext uri="{63B3BB69-23CF-44E3-9099-C40C66FF867C}">
                  <a14:compatExt spid="_x0000_s5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23</xdr:row>
          <xdr:rowOff>85725</xdr:rowOff>
        </xdr:from>
        <xdr:to>
          <xdr:col>19</xdr:col>
          <xdr:colOff>276225</xdr:colOff>
          <xdr:row>23</xdr:row>
          <xdr:rowOff>276225</xdr:rowOff>
        </xdr:to>
        <xdr:sp macro="" textlink="">
          <xdr:nvSpPr>
            <xdr:cNvPr id="5175" name="Option Button 55" hidden="1">
              <a:extLst>
                <a:ext uri="{63B3BB69-23CF-44E3-9099-C40C66FF867C}">
                  <a14:compatExt spid="_x0000_s5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24</xdr:row>
          <xdr:rowOff>85725</xdr:rowOff>
        </xdr:from>
        <xdr:to>
          <xdr:col>19</xdr:col>
          <xdr:colOff>276225</xdr:colOff>
          <xdr:row>24</xdr:row>
          <xdr:rowOff>276225</xdr:rowOff>
        </xdr:to>
        <xdr:sp macro="" textlink="">
          <xdr:nvSpPr>
            <xdr:cNvPr id="5176" name="Option Button 56" hidden="1">
              <a:extLst>
                <a:ext uri="{63B3BB69-23CF-44E3-9099-C40C66FF867C}">
                  <a14:compatExt spid="_x0000_s5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25</xdr:row>
          <xdr:rowOff>85725</xdr:rowOff>
        </xdr:from>
        <xdr:to>
          <xdr:col>19</xdr:col>
          <xdr:colOff>276225</xdr:colOff>
          <xdr:row>25</xdr:row>
          <xdr:rowOff>276225</xdr:rowOff>
        </xdr:to>
        <xdr:sp macro="" textlink="">
          <xdr:nvSpPr>
            <xdr:cNvPr id="5177" name="Option Button 57" hidden="1">
              <a:extLst>
                <a:ext uri="{63B3BB69-23CF-44E3-9099-C40C66FF867C}">
                  <a14:compatExt spid="_x0000_s5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26</xdr:row>
          <xdr:rowOff>85725</xdr:rowOff>
        </xdr:from>
        <xdr:to>
          <xdr:col>19</xdr:col>
          <xdr:colOff>276225</xdr:colOff>
          <xdr:row>26</xdr:row>
          <xdr:rowOff>276225</xdr:rowOff>
        </xdr:to>
        <xdr:sp macro="" textlink="">
          <xdr:nvSpPr>
            <xdr:cNvPr id="5178" name="Option Button 58" hidden="1">
              <a:extLst>
                <a:ext uri="{63B3BB69-23CF-44E3-9099-C40C66FF867C}">
                  <a14:compatExt spid="_x0000_s5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27</xdr:row>
          <xdr:rowOff>85725</xdr:rowOff>
        </xdr:from>
        <xdr:to>
          <xdr:col>19</xdr:col>
          <xdr:colOff>276225</xdr:colOff>
          <xdr:row>27</xdr:row>
          <xdr:rowOff>276225</xdr:rowOff>
        </xdr:to>
        <xdr:sp macro="" textlink="">
          <xdr:nvSpPr>
            <xdr:cNvPr id="5179" name="Option Button 59" hidden="1">
              <a:extLst>
                <a:ext uri="{63B3BB69-23CF-44E3-9099-C40C66FF867C}">
                  <a14:compatExt spid="_x0000_s5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28</xdr:row>
          <xdr:rowOff>85725</xdr:rowOff>
        </xdr:from>
        <xdr:to>
          <xdr:col>19</xdr:col>
          <xdr:colOff>276225</xdr:colOff>
          <xdr:row>28</xdr:row>
          <xdr:rowOff>276225</xdr:rowOff>
        </xdr:to>
        <xdr:sp macro="" textlink="">
          <xdr:nvSpPr>
            <xdr:cNvPr id="5180" name="Option Button 60" hidden="1">
              <a:extLst>
                <a:ext uri="{63B3BB69-23CF-44E3-9099-C40C66FF867C}">
                  <a14:compatExt spid="_x0000_s5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29</xdr:row>
          <xdr:rowOff>85725</xdr:rowOff>
        </xdr:from>
        <xdr:to>
          <xdr:col>19</xdr:col>
          <xdr:colOff>276225</xdr:colOff>
          <xdr:row>29</xdr:row>
          <xdr:rowOff>276225</xdr:rowOff>
        </xdr:to>
        <xdr:sp macro="" textlink="">
          <xdr:nvSpPr>
            <xdr:cNvPr id="5181" name="Option Button 61" hidden="1">
              <a:extLst>
                <a:ext uri="{63B3BB69-23CF-44E3-9099-C40C66FF867C}">
                  <a14:compatExt spid="_x0000_s5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30</xdr:row>
          <xdr:rowOff>85725</xdr:rowOff>
        </xdr:from>
        <xdr:to>
          <xdr:col>19</xdr:col>
          <xdr:colOff>276225</xdr:colOff>
          <xdr:row>30</xdr:row>
          <xdr:rowOff>276225</xdr:rowOff>
        </xdr:to>
        <xdr:sp macro="" textlink="">
          <xdr:nvSpPr>
            <xdr:cNvPr id="5182" name="Option Button 62" hidden="1">
              <a:extLst>
                <a:ext uri="{63B3BB69-23CF-44E3-9099-C40C66FF867C}">
                  <a14:compatExt spid="_x0000_s5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31</xdr:row>
          <xdr:rowOff>85725</xdr:rowOff>
        </xdr:from>
        <xdr:to>
          <xdr:col>19</xdr:col>
          <xdr:colOff>276225</xdr:colOff>
          <xdr:row>31</xdr:row>
          <xdr:rowOff>276225</xdr:rowOff>
        </xdr:to>
        <xdr:sp macro="" textlink="">
          <xdr:nvSpPr>
            <xdr:cNvPr id="5183" name="Option Button 63" hidden="1">
              <a:extLst>
                <a:ext uri="{63B3BB69-23CF-44E3-9099-C40C66FF867C}">
                  <a14:compatExt spid="_x0000_s5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32</xdr:row>
          <xdr:rowOff>85725</xdr:rowOff>
        </xdr:from>
        <xdr:to>
          <xdr:col>19</xdr:col>
          <xdr:colOff>276225</xdr:colOff>
          <xdr:row>32</xdr:row>
          <xdr:rowOff>276225</xdr:rowOff>
        </xdr:to>
        <xdr:sp macro="" textlink="">
          <xdr:nvSpPr>
            <xdr:cNvPr id="5184" name="Option Button 64" hidden="1">
              <a:extLst>
                <a:ext uri="{63B3BB69-23CF-44E3-9099-C40C66FF867C}">
                  <a14:compatExt spid="_x0000_s5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33</xdr:row>
          <xdr:rowOff>85725</xdr:rowOff>
        </xdr:from>
        <xdr:to>
          <xdr:col>19</xdr:col>
          <xdr:colOff>276225</xdr:colOff>
          <xdr:row>33</xdr:row>
          <xdr:rowOff>276225</xdr:rowOff>
        </xdr:to>
        <xdr:sp macro="" textlink="">
          <xdr:nvSpPr>
            <xdr:cNvPr id="5185" name="Option Button 65" hidden="1">
              <a:extLst>
                <a:ext uri="{63B3BB69-23CF-44E3-9099-C40C66FF867C}">
                  <a14:compatExt spid="_x0000_s5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34</xdr:row>
          <xdr:rowOff>85725</xdr:rowOff>
        </xdr:from>
        <xdr:to>
          <xdr:col>19</xdr:col>
          <xdr:colOff>276225</xdr:colOff>
          <xdr:row>34</xdr:row>
          <xdr:rowOff>276225</xdr:rowOff>
        </xdr:to>
        <xdr:sp macro="" textlink="">
          <xdr:nvSpPr>
            <xdr:cNvPr id="5186" name="Option Button 66" hidden="1">
              <a:extLst>
                <a:ext uri="{63B3BB69-23CF-44E3-9099-C40C66FF867C}">
                  <a14:compatExt spid="_x0000_s5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35</xdr:row>
          <xdr:rowOff>85725</xdr:rowOff>
        </xdr:from>
        <xdr:to>
          <xdr:col>19</xdr:col>
          <xdr:colOff>276225</xdr:colOff>
          <xdr:row>35</xdr:row>
          <xdr:rowOff>276225</xdr:rowOff>
        </xdr:to>
        <xdr:sp macro="" textlink="">
          <xdr:nvSpPr>
            <xdr:cNvPr id="5187" name="Option Button 67" hidden="1">
              <a:extLst>
                <a:ext uri="{63B3BB69-23CF-44E3-9099-C40C66FF867C}">
                  <a14:compatExt spid="_x0000_s5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23</xdr:row>
          <xdr:rowOff>85725</xdr:rowOff>
        </xdr:from>
        <xdr:to>
          <xdr:col>20</xdr:col>
          <xdr:colOff>276225</xdr:colOff>
          <xdr:row>23</xdr:row>
          <xdr:rowOff>276225</xdr:rowOff>
        </xdr:to>
        <xdr:sp macro="" textlink="">
          <xdr:nvSpPr>
            <xdr:cNvPr id="5188" name="Option Button 68" hidden="1">
              <a:extLst>
                <a:ext uri="{63B3BB69-23CF-44E3-9099-C40C66FF867C}">
                  <a14:compatExt spid="_x0000_s5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24</xdr:row>
          <xdr:rowOff>85725</xdr:rowOff>
        </xdr:from>
        <xdr:to>
          <xdr:col>20</xdr:col>
          <xdr:colOff>276225</xdr:colOff>
          <xdr:row>24</xdr:row>
          <xdr:rowOff>276225</xdr:rowOff>
        </xdr:to>
        <xdr:sp macro="" textlink="">
          <xdr:nvSpPr>
            <xdr:cNvPr id="5189" name="Option Button 69" hidden="1">
              <a:extLst>
                <a:ext uri="{63B3BB69-23CF-44E3-9099-C40C66FF867C}">
                  <a14:compatExt spid="_x0000_s5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25</xdr:row>
          <xdr:rowOff>85725</xdr:rowOff>
        </xdr:from>
        <xdr:to>
          <xdr:col>20</xdr:col>
          <xdr:colOff>276225</xdr:colOff>
          <xdr:row>25</xdr:row>
          <xdr:rowOff>276225</xdr:rowOff>
        </xdr:to>
        <xdr:sp macro="" textlink="">
          <xdr:nvSpPr>
            <xdr:cNvPr id="5190" name="Option Button 70" hidden="1">
              <a:extLst>
                <a:ext uri="{63B3BB69-23CF-44E3-9099-C40C66FF867C}">
                  <a14:compatExt spid="_x0000_s5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26</xdr:row>
          <xdr:rowOff>85725</xdr:rowOff>
        </xdr:from>
        <xdr:to>
          <xdr:col>20</xdr:col>
          <xdr:colOff>276225</xdr:colOff>
          <xdr:row>26</xdr:row>
          <xdr:rowOff>276225</xdr:rowOff>
        </xdr:to>
        <xdr:sp macro="" textlink="">
          <xdr:nvSpPr>
            <xdr:cNvPr id="5191" name="Option Button 71" hidden="1">
              <a:extLst>
                <a:ext uri="{63B3BB69-23CF-44E3-9099-C40C66FF867C}">
                  <a14:compatExt spid="_x0000_s5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27</xdr:row>
          <xdr:rowOff>85725</xdr:rowOff>
        </xdr:from>
        <xdr:to>
          <xdr:col>20</xdr:col>
          <xdr:colOff>276225</xdr:colOff>
          <xdr:row>27</xdr:row>
          <xdr:rowOff>276225</xdr:rowOff>
        </xdr:to>
        <xdr:sp macro="" textlink="">
          <xdr:nvSpPr>
            <xdr:cNvPr id="5192" name="Option Button 72" hidden="1">
              <a:extLst>
                <a:ext uri="{63B3BB69-23CF-44E3-9099-C40C66FF867C}">
                  <a14:compatExt spid="_x0000_s5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28</xdr:row>
          <xdr:rowOff>85725</xdr:rowOff>
        </xdr:from>
        <xdr:to>
          <xdr:col>20</xdr:col>
          <xdr:colOff>276225</xdr:colOff>
          <xdr:row>28</xdr:row>
          <xdr:rowOff>276225</xdr:rowOff>
        </xdr:to>
        <xdr:sp macro="" textlink="">
          <xdr:nvSpPr>
            <xdr:cNvPr id="5193" name="Option Button 73" hidden="1">
              <a:extLst>
                <a:ext uri="{63B3BB69-23CF-44E3-9099-C40C66FF867C}">
                  <a14:compatExt spid="_x0000_s5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29</xdr:row>
          <xdr:rowOff>85725</xdr:rowOff>
        </xdr:from>
        <xdr:to>
          <xdr:col>20</xdr:col>
          <xdr:colOff>276225</xdr:colOff>
          <xdr:row>29</xdr:row>
          <xdr:rowOff>276225</xdr:rowOff>
        </xdr:to>
        <xdr:sp macro="" textlink="">
          <xdr:nvSpPr>
            <xdr:cNvPr id="5194" name="Option Button 74" hidden="1">
              <a:extLst>
                <a:ext uri="{63B3BB69-23CF-44E3-9099-C40C66FF867C}">
                  <a14:compatExt spid="_x0000_s5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30</xdr:row>
          <xdr:rowOff>85725</xdr:rowOff>
        </xdr:from>
        <xdr:to>
          <xdr:col>20</xdr:col>
          <xdr:colOff>276225</xdr:colOff>
          <xdr:row>30</xdr:row>
          <xdr:rowOff>276225</xdr:rowOff>
        </xdr:to>
        <xdr:sp macro="" textlink="">
          <xdr:nvSpPr>
            <xdr:cNvPr id="5195" name="Option Button 75" hidden="1">
              <a:extLst>
                <a:ext uri="{63B3BB69-23CF-44E3-9099-C40C66FF867C}">
                  <a14:compatExt spid="_x0000_s5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31</xdr:row>
          <xdr:rowOff>85725</xdr:rowOff>
        </xdr:from>
        <xdr:to>
          <xdr:col>20</xdr:col>
          <xdr:colOff>276225</xdr:colOff>
          <xdr:row>31</xdr:row>
          <xdr:rowOff>276225</xdr:rowOff>
        </xdr:to>
        <xdr:sp macro="" textlink="">
          <xdr:nvSpPr>
            <xdr:cNvPr id="5196" name="Option Button 76" hidden="1">
              <a:extLst>
                <a:ext uri="{63B3BB69-23CF-44E3-9099-C40C66FF867C}">
                  <a14:compatExt spid="_x0000_s5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32</xdr:row>
          <xdr:rowOff>85725</xdr:rowOff>
        </xdr:from>
        <xdr:to>
          <xdr:col>20</xdr:col>
          <xdr:colOff>276225</xdr:colOff>
          <xdr:row>32</xdr:row>
          <xdr:rowOff>276225</xdr:rowOff>
        </xdr:to>
        <xdr:sp macro="" textlink="">
          <xdr:nvSpPr>
            <xdr:cNvPr id="5197" name="Option Button 77" hidden="1">
              <a:extLst>
                <a:ext uri="{63B3BB69-23CF-44E3-9099-C40C66FF867C}">
                  <a14:compatExt spid="_x0000_s5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33</xdr:row>
          <xdr:rowOff>85725</xdr:rowOff>
        </xdr:from>
        <xdr:to>
          <xdr:col>20</xdr:col>
          <xdr:colOff>276225</xdr:colOff>
          <xdr:row>33</xdr:row>
          <xdr:rowOff>276225</xdr:rowOff>
        </xdr:to>
        <xdr:sp macro="" textlink="">
          <xdr:nvSpPr>
            <xdr:cNvPr id="5198" name="Option Button 78" hidden="1">
              <a:extLst>
                <a:ext uri="{63B3BB69-23CF-44E3-9099-C40C66FF867C}">
                  <a14:compatExt spid="_x0000_s5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34</xdr:row>
          <xdr:rowOff>85725</xdr:rowOff>
        </xdr:from>
        <xdr:to>
          <xdr:col>20</xdr:col>
          <xdr:colOff>276225</xdr:colOff>
          <xdr:row>34</xdr:row>
          <xdr:rowOff>276225</xdr:rowOff>
        </xdr:to>
        <xdr:sp macro="" textlink="">
          <xdr:nvSpPr>
            <xdr:cNvPr id="5199" name="Option Button 79" hidden="1">
              <a:extLst>
                <a:ext uri="{63B3BB69-23CF-44E3-9099-C40C66FF867C}">
                  <a14:compatExt spid="_x0000_s5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35</xdr:row>
          <xdr:rowOff>85725</xdr:rowOff>
        </xdr:from>
        <xdr:to>
          <xdr:col>20</xdr:col>
          <xdr:colOff>276225</xdr:colOff>
          <xdr:row>35</xdr:row>
          <xdr:rowOff>276225</xdr:rowOff>
        </xdr:to>
        <xdr:sp macro="" textlink="">
          <xdr:nvSpPr>
            <xdr:cNvPr id="5200" name="Option Button 80" hidden="1">
              <a:extLst>
                <a:ext uri="{63B3BB69-23CF-44E3-9099-C40C66FF867C}">
                  <a14:compatExt spid="_x0000_s5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23</xdr:row>
          <xdr:rowOff>85725</xdr:rowOff>
        </xdr:from>
        <xdr:to>
          <xdr:col>21</xdr:col>
          <xdr:colOff>276225</xdr:colOff>
          <xdr:row>23</xdr:row>
          <xdr:rowOff>276225</xdr:rowOff>
        </xdr:to>
        <xdr:sp macro="" textlink="">
          <xdr:nvSpPr>
            <xdr:cNvPr id="5201" name="Option Button 81" hidden="1">
              <a:extLst>
                <a:ext uri="{63B3BB69-23CF-44E3-9099-C40C66FF867C}">
                  <a14:compatExt spid="_x0000_s5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24</xdr:row>
          <xdr:rowOff>85725</xdr:rowOff>
        </xdr:from>
        <xdr:to>
          <xdr:col>21</xdr:col>
          <xdr:colOff>276225</xdr:colOff>
          <xdr:row>24</xdr:row>
          <xdr:rowOff>276225</xdr:rowOff>
        </xdr:to>
        <xdr:sp macro="" textlink="">
          <xdr:nvSpPr>
            <xdr:cNvPr id="5202" name="Option Button 82" hidden="1">
              <a:extLst>
                <a:ext uri="{63B3BB69-23CF-44E3-9099-C40C66FF867C}">
                  <a14:compatExt spid="_x0000_s5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25</xdr:row>
          <xdr:rowOff>85725</xdr:rowOff>
        </xdr:from>
        <xdr:to>
          <xdr:col>21</xdr:col>
          <xdr:colOff>276225</xdr:colOff>
          <xdr:row>25</xdr:row>
          <xdr:rowOff>276225</xdr:rowOff>
        </xdr:to>
        <xdr:sp macro="" textlink="">
          <xdr:nvSpPr>
            <xdr:cNvPr id="5203" name="Option Button 83" hidden="1">
              <a:extLst>
                <a:ext uri="{63B3BB69-23CF-44E3-9099-C40C66FF867C}">
                  <a14:compatExt spid="_x0000_s5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26</xdr:row>
          <xdr:rowOff>85725</xdr:rowOff>
        </xdr:from>
        <xdr:to>
          <xdr:col>21</xdr:col>
          <xdr:colOff>276225</xdr:colOff>
          <xdr:row>26</xdr:row>
          <xdr:rowOff>276225</xdr:rowOff>
        </xdr:to>
        <xdr:sp macro="" textlink="">
          <xdr:nvSpPr>
            <xdr:cNvPr id="5204" name="Option Button 84" hidden="1">
              <a:extLst>
                <a:ext uri="{63B3BB69-23CF-44E3-9099-C40C66FF867C}">
                  <a14:compatExt spid="_x0000_s5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27</xdr:row>
          <xdr:rowOff>85725</xdr:rowOff>
        </xdr:from>
        <xdr:to>
          <xdr:col>21</xdr:col>
          <xdr:colOff>276225</xdr:colOff>
          <xdr:row>27</xdr:row>
          <xdr:rowOff>276225</xdr:rowOff>
        </xdr:to>
        <xdr:sp macro="" textlink="">
          <xdr:nvSpPr>
            <xdr:cNvPr id="5205" name="Option Button 85" hidden="1">
              <a:extLst>
                <a:ext uri="{63B3BB69-23CF-44E3-9099-C40C66FF867C}">
                  <a14:compatExt spid="_x0000_s5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28</xdr:row>
          <xdr:rowOff>85725</xdr:rowOff>
        </xdr:from>
        <xdr:to>
          <xdr:col>21</xdr:col>
          <xdr:colOff>276225</xdr:colOff>
          <xdr:row>28</xdr:row>
          <xdr:rowOff>276225</xdr:rowOff>
        </xdr:to>
        <xdr:sp macro="" textlink="">
          <xdr:nvSpPr>
            <xdr:cNvPr id="5206" name="Option Button 86" hidden="1">
              <a:extLst>
                <a:ext uri="{63B3BB69-23CF-44E3-9099-C40C66FF867C}">
                  <a14:compatExt spid="_x0000_s5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29</xdr:row>
          <xdr:rowOff>85725</xdr:rowOff>
        </xdr:from>
        <xdr:to>
          <xdr:col>21</xdr:col>
          <xdr:colOff>276225</xdr:colOff>
          <xdr:row>29</xdr:row>
          <xdr:rowOff>276225</xdr:rowOff>
        </xdr:to>
        <xdr:sp macro="" textlink="">
          <xdr:nvSpPr>
            <xdr:cNvPr id="5207" name="Option Button 87" hidden="1">
              <a:extLst>
                <a:ext uri="{63B3BB69-23CF-44E3-9099-C40C66FF867C}">
                  <a14:compatExt spid="_x0000_s5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30</xdr:row>
          <xdr:rowOff>85725</xdr:rowOff>
        </xdr:from>
        <xdr:to>
          <xdr:col>21</xdr:col>
          <xdr:colOff>276225</xdr:colOff>
          <xdr:row>30</xdr:row>
          <xdr:rowOff>276225</xdr:rowOff>
        </xdr:to>
        <xdr:sp macro="" textlink="">
          <xdr:nvSpPr>
            <xdr:cNvPr id="5208" name="Option Button 88" hidden="1">
              <a:extLst>
                <a:ext uri="{63B3BB69-23CF-44E3-9099-C40C66FF867C}">
                  <a14:compatExt spid="_x0000_s5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31</xdr:row>
          <xdr:rowOff>85725</xdr:rowOff>
        </xdr:from>
        <xdr:to>
          <xdr:col>21</xdr:col>
          <xdr:colOff>276225</xdr:colOff>
          <xdr:row>31</xdr:row>
          <xdr:rowOff>276225</xdr:rowOff>
        </xdr:to>
        <xdr:sp macro="" textlink="">
          <xdr:nvSpPr>
            <xdr:cNvPr id="5209" name="Option Button 89" hidden="1">
              <a:extLst>
                <a:ext uri="{63B3BB69-23CF-44E3-9099-C40C66FF867C}">
                  <a14:compatExt spid="_x0000_s5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32</xdr:row>
          <xdr:rowOff>85725</xdr:rowOff>
        </xdr:from>
        <xdr:to>
          <xdr:col>21</xdr:col>
          <xdr:colOff>276225</xdr:colOff>
          <xdr:row>32</xdr:row>
          <xdr:rowOff>276225</xdr:rowOff>
        </xdr:to>
        <xdr:sp macro="" textlink="">
          <xdr:nvSpPr>
            <xdr:cNvPr id="5210" name="Option Button 90" hidden="1">
              <a:extLst>
                <a:ext uri="{63B3BB69-23CF-44E3-9099-C40C66FF867C}">
                  <a14:compatExt spid="_x0000_s5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33</xdr:row>
          <xdr:rowOff>85725</xdr:rowOff>
        </xdr:from>
        <xdr:to>
          <xdr:col>21</xdr:col>
          <xdr:colOff>276225</xdr:colOff>
          <xdr:row>33</xdr:row>
          <xdr:rowOff>276225</xdr:rowOff>
        </xdr:to>
        <xdr:sp macro="" textlink="">
          <xdr:nvSpPr>
            <xdr:cNvPr id="5211" name="Option Button 91" hidden="1">
              <a:extLst>
                <a:ext uri="{63B3BB69-23CF-44E3-9099-C40C66FF867C}">
                  <a14:compatExt spid="_x0000_s5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34</xdr:row>
          <xdr:rowOff>85725</xdr:rowOff>
        </xdr:from>
        <xdr:to>
          <xdr:col>21</xdr:col>
          <xdr:colOff>276225</xdr:colOff>
          <xdr:row>34</xdr:row>
          <xdr:rowOff>276225</xdr:rowOff>
        </xdr:to>
        <xdr:sp macro="" textlink="">
          <xdr:nvSpPr>
            <xdr:cNvPr id="5212" name="Option Button 92" hidden="1">
              <a:extLst>
                <a:ext uri="{63B3BB69-23CF-44E3-9099-C40C66FF867C}">
                  <a14:compatExt spid="_x0000_s5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35</xdr:row>
          <xdr:rowOff>85725</xdr:rowOff>
        </xdr:from>
        <xdr:to>
          <xdr:col>21</xdr:col>
          <xdr:colOff>276225</xdr:colOff>
          <xdr:row>35</xdr:row>
          <xdr:rowOff>276225</xdr:rowOff>
        </xdr:to>
        <xdr:sp macro="" textlink="">
          <xdr:nvSpPr>
            <xdr:cNvPr id="5213" name="Option Button 93" hidden="1">
              <a:extLst>
                <a:ext uri="{63B3BB69-23CF-44E3-9099-C40C66FF867C}">
                  <a14:compatExt spid="_x0000_s5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23</xdr:row>
          <xdr:rowOff>85725</xdr:rowOff>
        </xdr:from>
        <xdr:to>
          <xdr:col>22</xdr:col>
          <xdr:colOff>276225</xdr:colOff>
          <xdr:row>23</xdr:row>
          <xdr:rowOff>276225</xdr:rowOff>
        </xdr:to>
        <xdr:sp macro="" textlink="">
          <xdr:nvSpPr>
            <xdr:cNvPr id="5214" name="Option Button 94" hidden="1">
              <a:extLst>
                <a:ext uri="{63B3BB69-23CF-44E3-9099-C40C66FF867C}">
                  <a14:compatExt spid="_x0000_s5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24</xdr:row>
          <xdr:rowOff>85725</xdr:rowOff>
        </xdr:from>
        <xdr:to>
          <xdr:col>22</xdr:col>
          <xdr:colOff>276225</xdr:colOff>
          <xdr:row>24</xdr:row>
          <xdr:rowOff>276225</xdr:rowOff>
        </xdr:to>
        <xdr:sp macro="" textlink="">
          <xdr:nvSpPr>
            <xdr:cNvPr id="5215" name="Option Button 95" hidden="1">
              <a:extLst>
                <a:ext uri="{63B3BB69-23CF-44E3-9099-C40C66FF867C}">
                  <a14:compatExt spid="_x0000_s5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25</xdr:row>
          <xdr:rowOff>85725</xdr:rowOff>
        </xdr:from>
        <xdr:to>
          <xdr:col>22</xdr:col>
          <xdr:colOff>276225</xdr:colOff>
          <xdr:row>25</xdr:row>
          <xdr:rowOff>276225</xdr:rowOff>
        </xdr:to>
        <xdr:sp macro="" textlink="">
          <xdr:nvSpPr>
            <xdr:cNvPr id="5216" name="Option Button 96" hidden="1">
              <a:extLst>
                <a:ext uri="{63B3BB69-23CF-44E3-9099-C40C66FF867C}">
                  <a14:compatExt spid="_x0000_s5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26</xdr:row>
          <xdr:rowOff>85725</xdr:rowOff>
        </xdr:from>
        <xdr:to>
          <xdr:col>22</xdr:col>
          <xdr:colOff>276225</xdr:colOff>
          <xdr:row>26</xdr:row>
          <xdr:rowOff>276225</xdr:rowOff>
        </xdr:to>
        <xdr:sp macro="" textlink="">
          <xdr:nvSpPr>
            <xdr:cNvPr id="5217" name="Option Button 97" hidden="1">
              <a:extLst>
                <a:ext uri="{63B3BB69-23CF-44E3-9099-C40C66FF867C}">
                  <a14:compatExt spid="_x0000_s5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27</xdr:row>
          <xdr:rowOff>85725</xdr:rowOff>
        </xdr:from>
        <xdr:to>
          <xdr:col>22</xdr:col>
          <xdr:colOff>276225</xdr:colOff>
          <xdr:row>27</xdr:row>
          <xdr:rowOff>276225</xdr:rowOff>
        </xdr:to>
        <xdr:sp macro="" textlink="">
          <xdr:nvSpPr>
            <xdr:cNvPr id="5218" name="Option Button 98" hidden="1">
              <a:extLst>
                <a:ext uri="{63B3BB69-23CF-44E3-9099-C40C66FF867C}">
                  <a14:compatExt spid="_x0000_s5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28</xdr:row>
          <xdr:rowOff>85725</xdr:rowOff>
        </xdr:from>
        <xdr:to>
          <xdr:col>22</xdr:col>
          <xdr:colOff>276225</xdr:colOff>
          <xdr:row>28</xdr:row>
          <xdr:rowOff>276225</xdr:rowOff>
        </xdr:to>
        <xdr:sp macro="" textlink="">
          <xdr:nvSpPr>
            <xdr:cNvPr id="5219" name="Option Button 99" hidden="1">
              <a:extLst>
                <a:ext uri="{63B3BB69-23CF-44E3-9099-C40C66FF867C}">
                  <a14:compatExt spid="_x0000_s5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29</xdr:row>
          <xdr:rowOff>85725</xdr:rowOff>
        </xdr:from>
        <xdr:to>
          <xdr:col>22</xdr:col>
          <xdr:colOff>276225</xdr:colOff>
          <xdr:row>29</xdr:row>
          <xdr:rowOff>276225</xdr:rowOff>
        </xdr:to>
        <xdr:sp macro="" textlink="">
          <xdr:nvSpPr>
            <xdr:cNvPr id="5220" name="Option Button 100" hidden="1">
              <a:extLst>
                <a:ext uri="{63B3BB69-23CF-44E3-9099-C40C66FF867C}">
                  <a14:compatExt spid="_x0000_s5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30</xdr:row>
          <xdr:rowOff>85725</xdr:rowOff>
        </xdr:from>
        <xdr:to>
          <xdr:col>22</xdr:col>
          <xdr:colOff>276225</xdr:colOff>
          <xdr:row>30</xdr:row>
          <xdr:rowOff>276225</xdr:rowOff>
        </xdr:to>
        <xdr:sp macro="" textlink="">
          <xdr:nvSpPr>
            <xdr:cNvPr id="5221" name="Option Button 101" hidden="1">
              <a:extLst>
                <a:ext uri="{63B3BB69-23CF-44E3-9099-C40C66FF867C}">
                  <a14:compatExt spid="_x0000_s5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31</xdr:row>
          <xdr:rowOff>85725</xdr:rowOff>
        </xdr:from>
        <xdr:to>
          <xdr:col>22</xdr:col>
          <xdr:colOff>276225</xdr:colOff>
          <xdr:row>31</xdr:row>
          <xdr:rowOff>276225</xdr:rowOff>
        </xdr:to>
        <xdr:sp macro="" textlink="">
          <xdr:nvSpPr>
            <xdr:cNvPr id="5222" name="Option Button 102" hidden="1">
              <a:extLst>
                <a:ext uri="{63B3BB69-23CF-44E3-9099-C40C66FF867C}">
                  <a14:compatExt spid="_x0000_s5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32</xdr:row>
          <xdr:rowOff>85725</xdr:rowOff>
        </xdr:from>
        <xdr:to>
          <xdr:col>22</xdr:col>
          <xdr:colOff>276225</xdr:colOff>
          <xdr:row>32</xdr:row>
          <xdr:rowOff>276225</xdr:rowOff>
        </xdr:to>
        <xdr:sp macro="" textlink="">
          <xdr:nvSpPr>
            <xdr:cNvPr id="5223" name="Option Button 103" hidden="1">
              <a:extLst>
                <a:ext uri="{63B3BB69-23CF-44E3-9099-C40C66FF867C}">
                  <a14:compatExt spid="_x0000_s5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33</xdr:row>
          <xdr:rowOff>85725</xdr:rowOff>
        </xdr:from>
        <xdr:to>
          <xdr:col>22</xdr:col>
          <xdr:colOff>276225</xdr:colOff>
          <xdr:row>33</xdr:row>
          <xdr:rowOff>276225</xdr:rowOff>
        </xdr:to>
        <xdr:sp macro="" textlink="">
          <xdr:nvSpPr>
            <xdr:cNvPr id="5224" name="Option Button 104" hidden="1">
              <a:extLst>
                <a:ext uri="{63B3BB69-23CF-44E3-9099-C40C66FF867C}">
                  <a14:compatExt spid="_x0000_s5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34</xdr:row>
          <xdr:rowOff>85725</xdr:rowOff>
        </xdr:from>
        <xdr:to>
          <xdr:col>22</xdr:col>
          <xdr:colOff>276225</xdr:colOff>
          <xdr:row>34</xdr:row>
          <xdr:rowOff>276225</xdr:rowOff>
        </xdr:to>
        <xdr:sp macro="" textlink="">
          <xdr:nvSpPr>
            <xdr:cNvPr id="5225" name="Option Button 105" hidden="1">
              <a:extLst>
                <a:ext uri="{63B3BB69-23CF-44E3-9099-C40C66FF867C}">
                  <a14:compatExt spid="_x0000_s5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35</xdr:row>
          <xdr:rowOff>85725</xdr:rowOff>
        </xdr:from>
        <xdr:to>
          <xdr:col>22</xdr:col>
          <xdr:colOff>276225</xdr:colOff>
          <xdr:row>35</xdr:row>
          <xdr:rowOff>276225</xdr:rowOff>
        </xdr:to>
        <xdr:sp macro="" textlink="">
          <xdr:nvSpPr>
            <xdr:cNvPr id="5226" name="Option Button 106" hidden="1">
              <a:extLst>
                <a:ext uri="{63B3BB69-23CF-44E3-9099-C40C66FF867C}">
                  <a14:compatExt spid="_x0000_s5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36</xdr:row>
          <xdr:rowOff>85725</xdr:rowOff>
        </xdr:from>
        <xdr:to>
          <xdr:col>19</xdr:col>
          <xdr:colOff>276225</xdr:colOff>
          <xdr:row>36</xdr:row>
          <xdr:rowOff>276225</xdr:rowOff>
        </xdr:to>
        <xdr:sp macro="" textlink="">
          <xdr:nvSpPr>
            <xdr:cNvPr id="5242" name="Option Button 122" hidden="1">
              <a:extLst>
                <a:ext uri="{63B3BB69-23CF-44E3-9099-C40C66FF867C}">
                  <a14:compatExt spid="_x0000_s5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36</xdr:row>
          <xdr:rowOff>85725</xdr:rowOff>
        </xdr:from>
        <xdr:to>
          <xdr:col>20</xdr:col>
          <xdr:colOff>276225</xdr:colOff>
          <xdr:row>36</xdr:row>
          <xdr:rowOff>276225</xdr:rowOff>
        </xdr:to>
        <xdr:sp macro="" textlink="">
          <xdr:nvSpPr>
            <xdr:cNvPr id="5243" name="Option Button 123" hidden="1">
              <a:extLst>
                <a:ext uri="{63B3BB69-23CF-44E3-9099-C40C66FF867C}">
                  <a14:compatExt spid="_x0000_s5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36</xdr:row>
          <xdr:rowOff>85725</xdr:rowOff>
        </xdr:from>
        <xdr:to>
          <xdr:col>21</xdr:col>
          <xdr:colOff>276225</xdr:colOff>
          <xdr:row>36</xdr:row>
          <xdr:rowOff>276225</xdr:rowOff>
        </xdr:to>
        <xdr:sp macro="" textlink="">
          <xdr:nvSpPr>
            <xdr:cNvPr id="5244" name="Option Button 124" hidden="1">
              <a:extLst>
                <a:ext uri="{63B3BB69-23CF-44E3-9099-C40C66FF867C}">
                  <a14:compatExt spid="_x0000_s5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36</xdr:row>
          <xdr:rowOff>85725</xdr:rowOff>
        </xdr:from>
        <xdr:to>
          <xdr:col>22</xdr:col>
          <xdr:colOff>276225</xdr:colOff>
          <xdr:row>36</xdr:row>
          <xdr:rowOff>276225</xdr:rowOff>
        </xdr:to>
        <xdr:sp macro="" textlink="">
          <xdr:nvSpPr>
            <xdr:cNvPr id="5245" name="Option Button 125" hidden="1">
              <a:extLst>
                <a:ext uri="{63B3BB69-23CF-44E3-9099-C40C66FF867C}">
                  <a14:compatExt spid="_x0000_s5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36</xdr:row>
          <xdr:rowOff>85725</xdr:rowOff>
        </xdr:from>
        <xdr:to>
          <xdr:col>23</xdr:col>
          <xdr:colOff>276225</xdr:colOff>
          <xdr:row>36</xdr:row>
          <xdr:rowOff>276225</xdr:rowOff>
        </xdr:to>
        <xdr:sp macro="" textlink="">
          <xdr:nvSpPr>
            <xdr:cNvPr id="5246" name="Option Button 126" hidden="1">
              <a:extLst>
                <a:ext uri="{63B3BB69-23CF-44E3-9099-C40C66FF867C}">
                  <a14:compatExt spid="_x0000_s5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47</xdr:row>
          <xdr:rowOff>0</xdr:rowOff>
        </xdr:from>
        <xdr:to>
          <xdr:col>24</xdr:col>
          <xdr:colOff>9525</xdr:colOff>
          <xdr:row>48</xdr:row>
          <xdr:rowOff>9525</xdr:rowOff>
        </xdr:to>
        <xdr:sp macro="" textlink="">
          <xdr:nvSpPr>
            <xdr:cNvPr id="5247" name="Group Box 127" hidden="1">
              <a:extLst>
                <a:ext uri="{63B3BB69-23CF-44E3-9099-C40C66FF867C}">
                  <a14:compatExt spid="_x0000_s5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47</xdr:row>
          <xdr:rowOff>276225</xdr:rowOff>
        </xdr:from>
        <xdr:to>
          <xdr:col>19</xdr:col>
          <xdr:colOff>276225</xdr:colOff>
          <xdr:row>47</xdr:row>
          <xdr:rowOff>466725</xdr:rowOff>
        </xdr:to>
        <xdr:sp macro="" textlink="">
          <xdr:nvSpPr>
            <xdr:cNvPr id="5250" name="Option Button 130" hidden="1">
              <a:extLst>
                <a:ext uri="{63B3BB69-23CF-44E3-9099-C40C66FF867C}">
                  <a14:compatExt spid="_x0000_s5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48</xdr:row>
          <xdr:rowOff>276225</xdr:rowOff>
        </xdr:from>
        <xdr:to>
          <xdr:col>19</xdr:col>
          <xdr:colOff>276225</xdr:colOff>
          <xdr:row>48</xdr:row>
          <xdr:rowOff>466725</xdr:rowOff>
        </xdr:to>
        <xdr:sp macro="" textlink="">
          <xdr:nvSpPr>
            <xdr:cNvPr id="5251" name="Option Button 131" hidden="1">
              <a:extLst>
                <a:ext uri="{63B3BB69-23CF-44E3-9099-C40C66FF867C}">
                  <a14:compatExt spid="_x0000_s5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49</xdr:row>
          <xdr:rowOff>276225</xdr:rowOff>
        </xdr:from>
        <xdr:to>
          <xdr:col>19</xdr:col>
          <xdr:colOff>276225</xdr:colOff>
          <xdr:row>49</xdr:row>
          <xdr:rowOff>466725</xdr:rowOff>
        </xdr:to>
        <xdr:sp macro="" textlink="">
          <xdr:nvSpPr>
            <xdr:cNvPr id="5252" name="Option Button 132" hidden="1">
              <a:extLst>
                <a:ext uri="{63B3BB69-23CF-44E3-9099-C40C66FF867C}">
                  <a14:compatExt spid="_x0000_s5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47</xdr:row>
          <xdr:rowOff>276225</xdr:rowOff>
        </xdr:from>
        <xdr:to>
          <xdr:col>20</xdr:col>
          <xdr:colOff>276225</xdr:colOff>
          <xdr:row>47</xdr:row>
          <xdr:rowOff>466725</xdr:rowOff>
        </xdr:to>
        <xdr:sp macro="" textlink="">
          <xdr:nvSpPr>
            <xdr:cNvPr id="5253" name="Option Button 133" hidden="1">
              <a:extLst>
                <a:ext uri="{63B3BB69-23CF-44E3-9099-C40C66FF867C}">
                  <a14:compatExt spid="_x0000_s5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48</xdr:row>
          <xdr:rowOff>276225</xdr:rowOff>
        </xdr:from>
        <xdr:to>
          <xdr:col>20</xdr:col>
          <xdr:colOff>276225</xdr:colOff>
          <xdr:row>48</xdr:row>
          <xdr:rowOff>466725</xdr:rowOff>
        </xdr:to>
        <xdr:sp macro="" textlink="">
          <xdr:nvSpPr>
            <xdr:cNvPr id="5254" name="Option Button 134" hidden="1">
              <a:extLst>
                <a:ext uri="{63B3BB69-23CF-44E3-9099-C40C66FF867C}">
                  <a14:compatExt spid="_x0000_s5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49</xdr:row>
          <xdr:rowOff>276225</xdr:rowOff>
        </xdr:from>
        <xdr:to>
          <xdr:col>20</xdr:col>
          <xdr:colOff>276225</xdr:colOff>
          <xdr:row>49</xdr:row>
          <xdr:rowOff>466725</xdr:rowOff>
        </xdr:to>
        <xdr:sp macro="" textlink="">
          <xdr:nvSpPr>
            <xdr:cNvPr id="5255" name="Option Button 135" hidden="1">
              <a:extLst>
                <a:ext uri="{63B3BB69-23CF-44E3-9099-C40C66FF867C}">
                  <a14:compatExt spid="_x0000_s5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47</xdr:row>
          <xdr:rowOff>276225</xdr:rowOff>
        </xdr:from>
        <xdr:to>
          <xdr:col>21</xdr:col>
          <xdr:colOff>276225</xdr:colOff>
          <xdr:row>47</xdr:row>
          <xdr:rowOff>466725</xdr:rowOff>
        </xdr:to>
        <xdr:sp macro="" textlink="">
          <xdr:nvSpPr>
            <xdr:cNvPr id="5256" name="Option Button 136" hidden="1">
              <a:extLst>
                <a:ext uri="{63B3BB69-23CF-44E3-9099-C40C66FF867C}">
                  <a14:compatExt spid="_x0000_s5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48</xdr:row>
          <xdr:rowOff>276225</xdr:rowOff>
        </xdr:from>
        <xdr:to>
          <xdr:col>21</xdr:col>
          <xdr:colOff>276225</xdr:colOff>
          <xdr:row>48</xdr:row>
          <xdr:rowOff>466725</xdr:rowOff>
        </xdr:to>
        <xdr:sp macro="" textlink="">
          <xdr:nvSpPr>
            <xdr:cNvPr id="5257" name="Option Button 137" hidden="1">
              <a:extLst>
                <a:ext uri="{63B3BB69-23CF-44E3-9099-C40C66FF867C}">
                  <a14:compatExt spid="_x0000_s5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49</xdr:row>
          <xdr:rowOff>276225</xdr:rowOff>
        </xdr:from>
        <xdr:to>
          <xdr:col>21</xdr:col>
          <xdr:colOff>276225</xdr:colOff>
          <xdr:row>49</xdr:row>
          <xdr:rowOff>466725</xdr:rowOff>
        </xdr:to>
        <xdr:sp macro="" textlink="">
          <xdr:nvSpPr>
            <xdr:cNvPr id="5258" name="Option Button 138" hidden="1">
              <a:extLst>
                <a:ext uri="{63B3BB69-23CF-44E3-9099-C40C66FF867C}">
                  <a14:compatExt spid="_x0000_s5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47</xdr:row>
          <xdr:rowOff>276225</xdr:rowOff>
        </xdr:from>
        <xdr:to>
          <xdr:col>22</xdr:col>
          <xdr:colOff>276225</xdr:colOff>
          <xdr:row>47</xdr:row>
          <xdr:rowOff>466725</xdr:rowOff>
        </xdr:to>
        <xdr:sp macro="" textlink="">
          <xdr:nvSpPr>
            <xdr:cNvPr id="5259" name="Option Button 139" hidden="1">
              <a:extLst>
                <a:ext uri="{63B3BB69-23CF-44E3-9099-C40C66FF867C}">
                  <a14:compatExt spid="_x0000_s5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48</xdr:row>
          <xdr:rowOff>276225</xdr:rowOff>
        </xdr:from>
        <xdr:to>
          <xdr:col>22</xdr:col>
          <xdr:colOff>276225</xdr:colOff>
          <xdr:row>48</xdr:row>
          <xdr:rowOff>466725</xdr:rowOff>
        </xdr:to>
        <xdr:sp macro="" textlink="">
          <xdr:nvSpPr>
            <xdr:cNvPr id="5260" name="Option Button 140" hidden="1">
              <a:extLst>
                <a:ext uri="{63B3BB69-23CF-44E3-9099-C40C66FF867C}">
                  <a14:compatExt spid="_x0000_s5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49</xdr:row>
          <xdr:rowOff>276225</xdr:rowOff>
        </xdr:from>
        <xdr:to>
          <xdr:col>22</xdr:col>
          <xdr:colOff>276225</xdr:colOff>
          <xdr:row>49</xdr:row>
          <xdr:rowOff>466725</xdr:rowOff>
        </xdr:to>
        <xdr:sp macro="" textlink="">
          <xdr:nvSpPr>
            <xdr:cNvPr id="5261" name="Option Button 141" hidden="1">
              <a:extLst>
                <a:ext uri="{63B3BB69-23CF-44E3-9099-C40C66FF867C}">
                  <a14:compatExt spid="_x0000_s5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47</xdr:row>
          <xdr:rowOff>276225</xdr:rowOff>
        </xdr:from>
        <xdr:to>
          <xdr:col>23</xdr:col>
          <xdr:colOff>276225</xdr:colOff>
          <xdr:row>47</xdr:row>
          <xdr:rowOff>466725</xdr:rowOff>
        </xdr:to>
        <xdr:sp macro="" textlink="">
          <xdr:nvSpPr>
            <xdr:cNvPr id="5262" name="Option Button 142" hidden="1">
              <a:extLst>
                <a:ext uri="{63B3BB69-23CF-44E3-9099-C40C66FF867C}">
                  <a14:compatExt spid="_x0000_s5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48</xdr:row>
          <xdr:rowOff>276225</xdr:rowOff>
        </xdr:from>
        <xdr:to>
          <xdr:col>23</xdr:col>
          <xdr:colOff>276225</xdr:colOff>
          <xdr:row>48</xdr:row>
          <xdr:rowOff>466725</xdr:rowOff>
        </xdr:to>
        <xdr:sp macro="" textlink="">
          <xdr:nvSpPr>
            <xdr:cNvPr id="5263" name="Option Button 143" hidden="1">
              <a:extLst>
                <a:ext uri="{63B3BB69-23CF-44E3-9099-C40C66FF867C}">
                  <a14:compatExt spid="_x0000_s5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49</xdr:row>
          <xdr:rowOff>276225</xdr:rowOff>
        </xdr:from>
        <xdr:to>
          <xdr:col>23</xdr:col>
          <xdr:colOff>276225</xdr:colOff>
          <xdr:row>49</xdr:row>
          <xdr:rowOff>466725</xdr:rowOff>
        </xdr:to>
        <xdr:sp macro="" textlink="">
          <xdr:nvSpPr>
            <xdr:cNvPr id="5264" name="Option Button 144" hidden="1">
              <a:extLst>
                <a:ext uri="{63B3BB69-23CF-44E3-9099-C40C66FF867C}">
                  <a14:compatExt spid="_x0000_s5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60</xdr:row>
          <xdr:rowOff>0</xdr:rowOff>
        </xdr:from>
        <xdr:to>
          <xdr:col>24</xdr:col>
          <xdr:colOff>9525</xdr:colOff>
          <xdr:row>61</xdr:row>
          <xdr:rowOff>0</xdr:rowOff>
        </xdr:to>
        <xdr:sp macro="" textlink="">
          <xdr:nvSpPr>
            <xdr:cNvPr id="5265" name="Group Box 145" hidden="1">
              <a:extLst>
                <a:ext uri="{63B3BB69-23CF-44E3-9099-C40C66FF867C}">
                  <a14:compatExt spid="_x0000_s5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61</xdr:row>
          <xdr:rowOff>0</xdr:rowOff>
        </xdr:from>
        <xdr:to>
          <xdr:col>24</xdr:col>
          <xdr:colOff>9525</xdr:colOff>
          <xdr:row>62</xdr:row>
          <xdr:rowOff>0</xdr:rowOff>
        </xdr:to>
        <xdr:sp macro="" textlink="">
          <xdr:nvSpPr>
            <xdr:cNvPr id="5266" name="Group Box 146" hidden="1">
              <a:extLst>
                <a:ext uri="{63B3BB69-23CF-44E3-9099-C40C66FF867C}">
                  <a14:compatExt spid="_x0000_s5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62</xdr:row>
          <xdr:rowOff>0</xdr:rowOff>
        </xdr:from>
        <xdr:to>
          <xdr:col>24</xdr:col>
          <xdr:colOff>9525</xdr:colOff>
          <xdr:row>63</xdr:row>
          <xdr:rowOff>0</xdr:rowOff>
        </xdr:to>
        <xdr:sp macro="" textlink="">
          <xdr:nvSpPr>
            <xdr:cNvPr id="5267" name="Group Box 147" hidden="1">
              <a:extLst>
                <a:ext uri="{63B3BB69-23CF-44E3-9099-C40C66FF867C}">
                  <a14:compatExt spid="_x0000_s5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60</xdr:row>
          <xdr:rowOff>552450</xdr:rowOff>
        </xdr:from>
        <xdr:to>
          <xdr:col>19</xdr:col>
          <xdr:colOff>276225</xdr:colOff>
          <xdr:row>60</xdr:row>
          <xdr:rowOff>752475</xdr:rowOff>
        </xdr:to>
        <xdr:sp macro="" textlink="">
          <xdr:nvSpPr>
            <xdr:cNvPr id="5269" name="Option Button 149" hidden="1">
              <a:extLst>
                <a:ext uri="{63B3BB69-23CF-44E3-9099-C40C66FF867C}">
                  <a14:compatExt spid="_x0000_s5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61</xdr:row>
          <xdr:rowOff>552450</xdr:rowOff>
        </xdr:from>
        <xdr:to>
          <xdr:col>19</xdr:col>
          <xdr:colOff>276225</xdr:colOff>
          <xdr:row>61</xdr:row>
          <xdr:rowOff>752475</xdr:rowOff>
        </xdr:to>
        <xdr:sp macro="" textlink="">
          <xdr:nvSpPr>
            <xdr:cNvPr id="5271" name="Option Button 151" hidden="1">
              <a:extLst>
                <a:ext uri="{63B3BB69-23CF-44E3-9099-C40C66FF867C}">
                  <a14:compatExt spid="_x0000_s5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62</xdr:row>
          <xdr:rowOff>552450</xdr:rowOff>
        </xdr:from>
        <xdr:to>
          <xdr:col>19</xdr:col>
          <xdr:colOff>276225</xdr:colOff>
          <xdr:row>62</xdr:row>
          <xdr:rowOff>752475</xdr:rowOff>
        </xdr:to>
        <xdr:sp macro="" textlink="">
          <xdr:nvSpPr>
            <xdr:cNvPr id="5272" name="Option Button 152" hidden="1">
              <a:extLst>
                <a:ext uri="{63B3BB69-23CF-44E3-9099-C40C66FF867C}">
                  <a14:compatExt spid="_x0000_s5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60</xdr:row>
          <xdr:rowOff>552450</xdr:rowOff>
        </xdr:from>
        <xdr:to>
          <xdr:col>20</xdr:col>
          <xdr:colOff>276225</xdr:colOff>
          <xdr:row>60</xdr:row>
          <xdr:rowOff>752475</xdr:rowOff>
        </xdr:to>
        <xdr:sp macro="" textlink="">
          <xdr:nvSpPr>
            <xdr:cNvPr id="5273" name="Option Button 153" hidden="1">
              <a:extLst>
                <a:ext uri="{63B3BB69-23CF-44E3-9099-C40C66FF867C}">
                  <a14:compatExt spid="_x0000_s5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61</xdr:row>
          <xdr:rowOff>552450</xdr:rowOff>
        </xdr:from>
        <xdr:to>
          <xdr:col>20</xdr:col>
          <xdr:colOff>276225</xdr:colOff>
          <xdr:row>61</xdr:row>
          <xdr:rowOff>752475</xdr:rowOff>
        </xdr:to>
        <xdr:sp macro="" textlink="">
          <xdr:nvSpPr>
            <xdr:cNvPr id="5274" name="Option Button 154" hidden="1">
              <a:extLst>
                <a:ext uri="{63B3BB69-23CF-44E3-9099-C40C66FF867C}">
                  <a14:compatExt spid="_x0000_s5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62</xdr:row>
          <xdr:rowOff>552450</xdr:rowOff>
        </xdr:from>
        <xdr:to>
          <xdr:col>20</xdr:col>
          <xdr:colOff>276225</xdr:colOff>
          <xdr:row>62</xdr:row>
          <xdr:rowOff>752475</xdr:rowOff>
        </xdr:to>
        <xdr:sp macro="" textlink="">
          <xdr:nvSpPr>
            <xdr:cNvPr id="5275" name="Option Button 155" hidden="1">
              <a:extLst>
                <a:ext uri="{63B3BB69-23CF-44E3-9099-C40C66FF867C}">
                  <a14:compatExt spid="_x0000_s5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60</xdr:row>
          <xdr:rowOff>552450</xdr:rowOff>
        </xdr:from>
        <xdr:to>
          <xdr:col>21</xdr:col>
          <xdr:colOff>276225</xdr:colOff>
          <xdr:row>60</xdr:row>
          <xdr:rowOff>752475</xdr:rowOff>
        </xdr:to>
        <xdr:sp macro="" textlink="">
          <xdr:nvSpPr>
            <xdr:cNvPr id="5276" name="Option Button 156" hidden="1">
              <a:extLst>
                <a:ext uri="{63B3BB69-23CF-44E3-9099-C40C66FF867C}">
                  <a14:compatExt spid="_x0000_s5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61</xdr:row>
          <xdr:rowOff>552450</xdr:rowOff>
        </xdr:from>
        <xdr:to>
          <xdr:col>21</xdr:col>
          <xdr:colOff>276225</xdr:colOff>
          <xdr:row>61</xdr:row>
          <xdr:rowOff>752475</xdr:rowOff>
        </xdr:to>
        <xdr:sp macro="" textlink="">
          <xdr:nvSpPr>
            <xdr:cNvPr id="5277" name="Option Button 157" hidden="1">
              <a:extLst>
                <a:ext uri="{63B3BB69-23CF-44E3-9099-C40C66FF867C}">
                  <a14:compatExt spid="_x0000_s5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62</xdr:row>
          <xdr:rowOff>552450</xdr:rowOff>
        </xdr:from>
        <xdr:to>
          <xdr:col>21</xdr:col>
          <xdr:colOff>276225</xdr:colOff>
          <xdr:row>62</xdr:row>
          <xdr:rowOff>752475</xdr:rowOff>
        </xdr:to>
        <xdr:sp macro="" textlink="">
          <xdr:nvSpPr>
            <xdr:cNvPr id="5278" name="Option Button 158" hidden="1">
              <a:extLst>
                <a:ext uri="{63B3BB69-23CF-44E3-9099-C40C66FF867C}">
                  <a14:compatExt spid="_x0000_s5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60</xdr:row>
          <xdr:rowOff>552450</xdr:rowOff>
        </xdr:from>
        <xdr:to>
          <xdr:col>22</xdr:col>
          <xdr:colOff>276225</xdr:colOff>
          <xdr:row>60</xdr:row>
          <xdr:rowOff>752475</xdr:rowOff>
        </xdr:to>
        <xdr:sp macro="" textlink="">
          <xdr:nvSpPr>
            <xdr:cNvPr id="5279" name="Option Button 159" hidden="1">
              <a:extLst>
                <a:ext uri="{63B3BB69-23CF-44E3-9099-C40C66FF867C}">
                  <a14:compatExt spid="_x0000_s5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61</xdr:row>
          <xdr:rowOff>552450</xdr:rowOff>
        </xdr:from>
        <xdr:to>
          <xdr:col>22</xdr:col>
          <xdr:colOff>276225</xdr:colOff>
          <xdr:row>61</xdr:row>
          <xdr:rowOff>752475</xdr:rowOff>
        </xdr:to>
        <xdr:sp macro="" textlink="">
          <xdr:nvSpPr>
            <xdr:cNvPr id="5280" name="Option Button 160" hidden="1">
              <a:extLst>
                <a:ext uri="{63B3BB69-23CF-44E3-9099-C40C66FF867C}">
                  <a14:compatExt spid="_x0000_s5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62</xdr:row>
          <xdr:rowOff>552450</xdr:rowOff>
        </xdr:from>
        <xdr:to>
          <xdr:col>22</xdr:col>
          <xdr:colOff>276225</xdr:colOff>
          <xdr:row>62</xdr:row>
          <xdr:rowOff>752475</xdr:rowOff>
        </xdr:to>
        <xdr:sp macro="" textlink="">
          <xdr:nvSpPr>
            <xdr:cNvPr id="5281" name="Option Button 161" hidden="1">
              <a:extLst>
                <a:ext uri="{63B3BB69-23CF-44E3-9099-C40C66FF867C}">
                  <a14:compatExt spid="_x0000_s5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60</xdr:row>
          <xdr:rowOff>552450</xdr:rowOff>
        </xdr:from>
        <xdr:to>
          <xdr:col>23</xdr:col>
          <xdr:colOff>276225</xdr:colOff>
          <xdr:row>60</xdr:row>
          <xdr:rowOff>752475</xdr:rowOff>
        </xdr:to>
        <xdr:sp macro="" textlink="">
          <xdr:nvSpPr>
            <xdr:cNvPr id="5282" name="Option Button 162" hidden="1">
              <a:extLst>
                <a:ext uri="{63B3BB69-23CF-44E3-9099-C40C66FF867C}">
                  <a14:compatExt spid="_x0000_s5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61</xdr:row>
          <xdr:rowOff>552450</xdr:rowOff>
        </xdr:from>
        <xdr:to>
          <xdr:col>23</xdr:col>
          <xdr:colOff>276225</xdr:colOff>
          <xdr:row>61</xdr:row>
          <xdr:rowOff>752475</xdr:rowOff>
        </xdr:to>
        <xdr:sp macro="" textlink="">
          <xdr:nvSpPr>
            <xdr:cNvPr id="5283" name="Option Button 163" hidden="1">
              <a:extLst>
                <a:ext uri="{63B3BB69-23CF-44E3-9099-C40C66FF867C}">
                  <a14:compatExt spid="_x0000_s5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62</xdr:row>
          <xdr:rowOff>552450</xdr:rowOff>
        </xdr:from>
        <xdr:to>
          <xdr:col>23</xdr:col>
          <xdr:colOff>276225</xdr:colOff>
          <xdr:row>62</xdr:row>
          <xdr:rowOff>752475</xdr:rowOff>
        </xdr:to>
        <xdr:sp macro="" textlink="">
          <xdr:nvSpPr>
            <xdr:cNvPr id="5284" name="Option Button 164" hidden="1">
              <a:extLst>
                <a:ext uri="{63B3BB69-23CF-44E3-9099-C40C66FF867C}">
                  <a14:compatExt spid="_x0000_s5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257</xdr:row>
          <xdr:rowOff>9525</xdr:rowOff>
        </xdr:from>
        <xdr:to>
          <xdr:col>24</xdr:col>
          <xdr:colOff>0</xdr:colOff>
          <xdr:row>263</xdr:row>
          <xdr:rowOff>0</xdr:rowOff>
        </xdr:to>
        <xdr:sp macro="" textlink="">
          <xdr:nvSpPr>
            <xdr:cNvPr id="5420" name="Group Box 300" hidden="1">
              <a:extLst>
                <a:ext uri="{63B3BB69-23CF-44E3-9099-C40C66FF867C}">
                  <a14:compatExt spid="_x0000_s54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241</xdr:row>
          <xdr:rowOff>104775</xdr:rowOff>
        </xdr:from>
        <xdr:to>
          <xdr:col>19</xdr:col>
          <xdr:colOff>276225</xdr:colOff>
          <xdr:row>242</xdr:row>
          <xdr:rowOff>95250</xdr:rowOff>
        </xdr:to>
        <xdr:sp macro="" textlink="">
          <xdr:nvSpPr>
            <xdr:cNvPr id="5425" name="Option Button 305" hidden="1">
              <a:extLst>
                <a:ext uri="{63B3BB69-23CF-44E3-9099-C40C66FF867C}">
                  <a14:compatExt spid="_x0000_s54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247</xdr:row>
          <xdr:rowOff>114300</xdr:rowOff>
        </xdr:from>
        <xdr:to>
          <xdr:col>19</xdr:col>
          <xdr:colOff>276225</xdr:colOff>
          <xdr:row>248</xdr:row>
          <xdr:rowOff>104775</xdr:rowOff>
        </xdr:to>
        <xdr:sp macro="" textlink="">
          <xdr:nvSpPr>
            <xdr:cNvPr id="5426" name="Option Button 306" hidden="1">
              <a:extLst>
                <a:ext uri="{63B3BB69-23CF-44E3-9099-C40C66FF867C}">
                  <a14:compatExt spid="_x0000_s54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241</xdr:row>
          <xdr:rowOff>114300</xdr:rowOff>
        </xdr:from>
        <xdr:to>
          <xdr:col>20</xdr:col>
          <xdr:colOff>276225</xdr:colOff>
          <xdr:row>242</xdr:row>
          <xdr:rowOff>104775</xdr:rowOff>
        </xdr:to>
        <xdr:sp macro="" textlink="">
          <xdr:nvSpPr>
            <xdr:cNvPr id="5434" name="Option Button 314" hidden="1">
              <a:extLst>
                <a:ext uri="{63B3BB69-23CF-44E3-9099-C40C66FF867C}">
                  <a14:compatExt spid="_x0000_s54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247</xdr:row>
          <xdr:rowOff>123825</xdr:rowOff>
        </xdr:from>
        <xdr:to>
          <xdr:col>20</xdr:col>
          <xdr:colOff>276225</xdr:colOff>
          <xdr:row>248</xdr:row>
          <xdr:rowOff>104775</xdr:rowOff>
        </xdr:to>
        <xdr:sp macro="" textlink="">
          <xdr:nvSpPr>
            <xdr:cNvPr id="5435" name="Option Button 315" hidden="1">
              <a:extLst>
                <a:ext uri="{63B3BB69-23CF-44E3-9099-C40C66FF867C}">
                  <a14:compatExt spid="_x0000_s54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28575</xdr:colOff>
          <xdr:row>253</xdr:row>
          <xdr:rowOff>152400</xdr:rowOff>
        </xdr:from>
        <xdr:to>
          <xdr:col>19</xdr:col>
          <xdr:colOff>266700</xdr:colOff>
          <xdr:row>254</xdr:row>
          <xdr:rowOff>142875</xdr:rowOff>
        </xdr:to>
        <xdr:sp macro="" textlink="">
          <xdr:nvSpPr>
            <xdr:cNvPr id="5436" name="Option Button 316" hidden="1">
              <a:extLst>
                <a:ext uri="{63B3BB69-23CF-44E3-9099-C40C66FF867C}">
                  <a14:compatExt spid="_x0000_s54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259</xdr:row>
          <xdr:rowOff>152400</xdr:rowOff>
        </xdr:from>
        <xdr:to>
          <xdr:col>19</xdr:col>
          <xdr:colOff>276225</xdr:colOff>
          <xdr:row>260</xdr:row>
          <xdr:rowOff>142875</xdr:rowOff>
        </xdr:to>
        <xdr:sp macro="" textlink="">
          <xdr:nvSpPr>
            <xdr:cNvPr id="5437" name="Option Button 317" hidden="1">
              <a:extLst>
                <a:ext uri="{63B3BB69-23CF-44E3-9099-C40C66FF867C}">
                  <a14:compatExt spid="_x0000_s54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265</xdr:row>
          <xdr:rowOff>161925</xdr:rowOff>
        </xdr:from>
        <xdr:to>
          <xdr:col>19</xdr:col>
          <xdr:colOff>276225</xdr:colOff>
          <xdr:row>266</xdr:row>
          <xdr:rowOff>161925</xdr:rowOff>
        </xdr:to>
        <xdr:sp macro="" textlink="">
          <xdr:nvSpPr>
            <xdr:cNvPr id="5438" name="Option Button 318" hidden="1">
              <a:extLst>
                <a:ext uri="{63B3BB69-23CF-44E3-9099-C40C66FF867C}">
                  <a14:compatExt spid="_x0000_s5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271</xdr:row>
          <xdr:rowOff>152400</xdr:rowOff>
        </xdr:from>
        <xdr:to>
          <xdr:col>19</xdr:col>
          <xdr:colOff>276225</xdr:colOff>
          <xdr:row>272</xdr:row>
          <xdr:rowOff>142875</xdr:rowOff>
        </xdr:to>
        <xdr:sp macro="" textlink="">
          <xdr:nvSpPr>
            <xdr:cNvPr id="5439" name="Option Button 319" hidden="1">
              <a:extLst>
                <a:ext uri="{63B3BB69-23CF-44E3-9099-C40C66FF867C}">
                  <a14:compatExt spid="_x0000_s5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277</xdr:row>
          <xdr:rowOff>114300</xdr:rowOff>
        </xdr:from>
        <xdr:to>
          <xdr:col>19</xdr:col>
          <xdr:colOff>276225</xdr:colOff>
          <xdr:row>278</xdr:row>
          <xdr:rowOff>104775</xdr:rowOff>
        </xdr:to>
        <xdr:sp macro="" textlink="">
          <xdr:nvSpPr>
            <xdr:cNvPr id="5441" name="Option Button 321" hidden="1">
              <a:extLst>
                <a:ext uri="{63B3BB69-23CF-44E3-9099-C40C66FF867C}">
                  <a14:compatExt spid="_x0000_s5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241</xdr:row>
          <xdr:rowOff>123825</xdr:rowOff>
        </xdr:from>
        <xdr:to>
          <xdr:col>21</xdr:col>
          <xdr:colOff>276225</xdr:colOff>
          <xdr:row>242</xdr:row>
          <xdr:rowOff>104775</xdr:rowOff>
        </xdr:to>
        <xdr:sp macro="" textlink="">
          <xdr:nvSpPr>
            <xdr:cNvPr id="5442" name="Option Button 322" hidden="1">
              <a:extLst>
                <a:ext uri="{63B3BB69-23CF-44E3-9099-C40C66FF867C}">
                  <a14:compatExt spid="_x0000_s5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247</xdr:row>
          <xdr:rowOff>133350</xdr:rowOff>
        </xdr:from>
        <xdr:to>
          <xdr:col>21</xdr:col>
          <xdr:colOff>276225</xdr:colOff>
          <xdr:row>248</xdr:row>
          <xdr:rowOff>123825</xdr:rowOff>
        </xdr:to>
        <xdr:sp macro="" textlink="">
          <xdr:nvSpPr>
            <xdr:cNvPr id="5443" name="Option Button 323" hidden="1">
              <a:extLst>
                <a:ext uri="{63B3BB69-23CF-44E3-9099-C40C66FF867C}">
                  <a14:compatExt spid="_x0000_s5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253</xdr:row>
          <xdr:rowOff>161925</xdr:rowOff>
        </xdr:from>
        <xdr:to>
          <xdr:col>20</xdr:col>
          <xdr:colOff>266700</xdr:colOff>
          <xdr:row>254</xdr:row>
          <xdr:rowOff>142875</xdr:rowOff>
        </xdr:to>
        <xdr:sp macro="" textlink="">
          <xdr:nvSpPr>
            <xdr:cNvPr id="5444" name="Option Button 324" hidden="1">
              <a:extLst>
                <a:ext uri="{63B3BB69-23CF-44E3-9099-C40C66FF867C}">
                  <a14:compatExt spid="_x0000_s54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259</xdr:row>
          <xdr:rowOff>161925</xdr:rowOff>
        </xdr:from>
        <xdr:to>
          <xdr:col>20</xdr:col>
          <xdr:colOff>276225</xdr:colOff>
          <xdr:row>260</xdr:row>
          <xdr:rowOff>161925</xdr:rowOff>
        </xdr:to>
        <xdr:sp macro="" textlink="">
          <xdr:nvSpPr>
            <xdr:cNvPr id="5445" name="Option Button 325" hidden="1">
              <a:extLst>
                <a:ext uri="{63B3BB69-23CF-44E3-9099-C40C66FF867C}">
                  <a14:compatExt spid="_x0000_s54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265</xdr:row>
          <xdr:rowOff>171450</xdr:rowOff>
        </xdr:from>
        <xdr:to>
          <xdr:col>20</xdr:col>
          <xdr:colOff>276225</xdr:colOff>
          <xdr:row>266</xdr:row>
          <xdr:rowOff>161925</xdr:rowOff>
        </xdr:to>
        <xdr:sp macro="" textlink="">
          <xdr:nvSpPr>
            <xdr:cNvPr id="5446" name="Option Button 326" hidden="1">
              <a:extLst>
                <a:ext uri="{63B3BB69-23CF-44E3-9099-C40C66FF867C}">
                  <a14:compatExt spid="_x0000_s54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271</xdr:row>
          <xdr:rowOff>161925</xdr:rowOff>
        </xdr:from>
        <xdr:to>
          <xdr:col>20</xdr:col>
          <xdr:colOff>276225</xdr:colOff>
          <xdr:row>272</xdr:row>
          <xdr:rowOff>161925</xdr:rowOff>
        </xdr:to>
        <xdr:sp macro="" textlink="">
          <xdr:nvSpPr>
            <xdr:cNvPr id="5447" name="Option Button 327" hidden="1">
              <a:extLst>
                <a:ext uri="{63B3BB69-23CF-44E3-9099-C40C66FF867C}">
                  <a14:compatExt spid="_x0000_s54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277</xdr:row>
          <xdr:rowOff>123825</xdr:rowOff>
        </xdr:from>
        <xdr:to>
          <xdr:col>20</xdr:col>
          <xdr:colOff>276225</xdr:colOff>
          <xdr:row>278</xdr:row>
          <xdr:rowOff>114300</xdr:rowOff>
        </xdr:to>
        <xdr:sp macro="" textlink="">
          <xdr:nvSpPr>
            <xdr:cNvPr id="5449" name="Option Button 329" hidden="1">
              <a:extLst>
                <a:ext uri="{63B3BB69-23CF-44E3-9099-C40C66FF867C}">
                  <a14:compatExt spid="_x0000_s5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241</xdr:row>
          <xdr:rowOff>123825</xdr:rowOff>
        </xdr:from>
        <xdr:to>
          <xdr:col>22</xdr:col>
          <xdr:colOff>276225</xdr:colOff>
          <xdr:row>242</xdr:row>
          <xdr:rowOff>104775</xdr:rowOff>
        </xdr:to>
        <xdr:sp macro="" textlink="">
          <xdr:nvSpPr>
            <xdr:cNvPr id="5450" name="Option Button 330" hidden="1">
              <a:extLst>
                <a:ext uri="{63B3BB69-23CF-44E3-9099-C40C66FF867C}">
                  <a14:compatExt spid="_x0000_s54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247</xdr:row>
          <xdr:rowOff>133350</xdr:rowOff>
        </xdr:from>
        <xdr:to>
          <xdr:col>22</xdr:col>
          <xdr:colOff>276225</xdr:colOff>
          <xdr:row>248</xdr:row>
          <xdr:rowOff>123825</xdr:rowOff>
        </xdr:to>
        <xdr:sp macro="" textlink="">
          <xdr:nvSpPr>
            <xdr:cNvPr id="5451" name="Option Button 331" hidden="1">
              <a:extLst>
                <a:ext uri="{63B3BB69-23CF-44E3-9099-C40C66FF867C}">
                  <a14:compatExt spid="_x0000_s54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253</xdr:row>
          <xdr:rowOff>161925</xdr:rowOff>
        </xdr:from>
        <xdr:to>
          <xdr:col>21</xdr:col>
          <xdr:colOff>266700</xdr:colOff>
          <xdr:row>254</xdr:row>
          <xdr:rowOff>142875</xdr:rowOff>
        </xdr:to>
        <xdr:sp macro="" textlink="">
          <xdr:nvSpPr>
            <xdr:cNvPr id="5452" name="Option Button 332" hidden="1">
              <a:extLst>
                <a:ext uri="{63B3BB69-23CF-44E3-9099-C40C66FF867C}">
                  <a14:compatExt spid="_x0000_s54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259</xdr:row>
          <xdr:rowOff>161925</xdr:rowOff>
        </xdr:from>
        <xdr:to>
          <xdr:col>21</xdr:col>
          <xdr:colOff>276225</xdr:colOff>
          <xdr:row>260</xdr:row>
          <xdr:rowOff>161925</xdr:rowOff>
        </xdr:to>
        <xdr:sp macro="" textlink="">
          <xdr:nvSpPr>
            <xdr:cNvPr id="5453" name="Option Button 333" hidden="1">
              <a:extLst>
                <a:ext uri="{63B3BB69-23CF-44E3-9099-C40C66FF867C}">
                  <a14:compatExt spid="_x0000_s54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265</xdr:row>
          <xdr:rowOff>171450</xdr:rowOff>
        </xdr:from>
        <xdr:to>
          <xdr:col>21</xdr:col>
          <xdr:colOff>276225</xdr:colOff>
          <xdr:row>266</xdr:row>
          <xdr:rowOff>161925</xdr:rowOff>
        </xdr:to>
        <xdr:sp macro="" textlink="">
          <xdr:nvSpPr>
            <xdr:cNvPr id="5454" name="Option Button 334" hidden="1">
              <a:extLst>
                <a:ext uri="{63B3BB69-23CF-44E3-9099-C40C66FF867C}">
                  <a14:compatExt spid="_x0000_s54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271</xdr:row>
          <xdr:rowOff>161925</xdr:rowOff>
        </xdr:from>
        <xdr:to>
          <xdr:col>21</xdr:col>
          <xdr:colOff>276225</xdr:colOff>
          <xdr:row>272</xdr:row>
          <xdr:rowOff>161925</xdr:rowOff>
        </xdr:to>
        <xdr:sp macro="" textlink="">
          <xdr:nvSpPr>
            <xdr:cNvPr id="5455" name="Option Button 335" hidden="1">
              <a:extLst>
                <a:ext uri="{63B3BB69-23CF-44E3-9099-C40C66FF867C}">
                  <a14:compatExt spid="_x0000_s54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277</xdr:row>
          <xdr:rowOff>123825</xdr:rowOff>
        </xdr:from>
        <xdr:to>
          <xdr:col>21</xdr:col>
          <xdr:colOff>276225</xdr:colOff>
          <xdr:row>278</xdr:row>
          <xdr:rowOff>114300</xdr:rowOff>
        </xdr:to>
        <xdr:sp macro="" textlink="">
          <xdr:nvSpPr>
            <xdr:cNvPr id="5457" name="Option Button 337" hidden="1">
              <a:extLst>
                <a:ext uri="{63B3BB69-23CF-44E3-9099-C40C66FF867C}">
                  <a14:compatExt spid="_x0000_s5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241</xdr:row>
          <xdr:rowOff>123825</xdr:rowOff>
        </xdr:from>
        <xdr:to>
          <xdr:col>23</xdr:col>
          <xdr:colOff>276225</xdr:colOff>
          <xdr:row>242</xdr:row>
          <xdr:rowOff>104775</xdr:rowOff>
        </xdr:to>
        <xdr:sp macro="" textlink="">
          <xdr:nvSpPr>
            <xdr:cNvPr id="5458" name="Option Button 338" hidden="1">
              <a:extLst>
                <a:ext uri="{63B3BB69-23CF-44E3-9099-C40C66FF867C}">
                  <a14:compatExt spid="_x0000_s5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247</xdr:row>
          <xdr:rowOff>133350</xdr:rowOff>
        </xdr:from>
        <xdr:to>
          <xdr:col>23</xdr:col>
          <xdr:colOff>276225</xdr:colOff>
          <xdr:row>248</xdr:row>
          <xdr:rowOff>123825</xdr:rowOff>
        </xdr:to>
        <xdr:sp macro="" textlink="">
          <xdr:nvSpPr>
            <xdr:cNvPr id="5459" name="Option Button 339" hidden="1">
              <a:extLst>
                <a:ext uri="{63B3BB69-23CF-44E3-9099-C40C66FF867C}">
                  <a14:compatExt spid="_x0000_s5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253</xdr:row>
          <xdr:rowOff>161925</xdr:rowOff>
        </xdr:from>
        <xdr:to>
          <xdr:col>22</xdr:col>
          <xdr:colOff>276225</xdr:colOff>
          <xdr:row>254</xdr:row>
          <xdr:rowOff>142875</xdr:rowOff>
        </xdr:to>
        <xdr:sp macro="" textlink="">
          <xdr:nvSpPr>
            <xdr:cNvPr id="5460" name="Option Button 340" hidden="1">
              <a:extLst>
                <a:ext uri="{63B3BB69-23CF-44E3-9099-C40C66FF867C}">
                  <a14:compatExt spid="_x0000_s5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259</xdr:row>
          <xdr:rowOff>161925</xdr:rowOff>
        </xdr:from>
        <xdr:to>
          <xdr:col>22</xdr:col>
          <xdr:colOff>276225</xdr:colOff>
          <xdr:row>260</xdr:row>
          <xdr:rowOff>161925</xdr:rowOff>
        </xdr:to>
        <xdr:sp macro="" textlink="">
          <xdr:nvSpPr>
            <xdr:cNvPr id="5461" name="Option Button 341" hidden="1">
              <a:extLst>
                <a:ext uri="{63B3BB69-23CF-44E3-9099-C40C66FF867C}">
                  <a14:compatExt spid="_x0000_s5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265</xdr:row>
          <xdr:rowOff>171450</xdr:rowOff>
        </xdr:from>
        <xdr:to>
          <xdr:col>22</xdr:col>
          <xdr:colOff>276225</xdr:colOff>
          <xdr:row>266</xdr:row>
          <xdr:rowOff>161925</xdr:rowOff>
        </xdr:to>
        <xdr:sp macro="" textlink="">
          <xdr:nvSpPr>
            <xdr:cNvPr id="5462" name="Option Button 342" hidden="1">
              <a:extLst>
                <a:ext uri="{63B3BB69-23CF-44E3-9099-C40C66FF867C}">
                  <a14:compatExt spid="_x0000_s5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271</xdr:row>
          <xdr:rowOff>161925</xdr:rowOff>
        </xdr:from>
        <xdr:to>
          <xdr:col>22</xdr:col>
          <xdr:colOff>276225</xdr:colOff>
          <xdr:row>272</xdr:row>
          <xdr:rowOff>161925</xdr:rowOff>
        </xdr:to>
        <xdr:sp macro="" textlink="">
          <xdr:nvSpPr>
            <xdr:cNvPr id="5463" name="Option Button 343" hidden="1">
              <a:extLst>
                <a:ext uri="{63B3BB69-23CF-44E3-9099-C40C66FF867C}">
                  <a14:compatExt spid="_x0000_s54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277</xdr:row>
          <xdr:rowOff>123825</xdr:rowOff>
        </xdr:from>
        <xdr:to>
          <xdr:col>22</xdr:col>
          <xdr:colOff>276225</xdr:colOff>
          <xdr:row>278</xdr:row>
          <xdr:rowOff>114300</xdr:rowOff>
        </xdr:to>
        <xdr:sp macro="" textlink="">
          <xdr:nvSpPr>
            <xdr:cNvPr id="5465" name="Option Button 345" hidden="1">
              <a:extLst>
                <a:ext uri="{63B3BB69-23CF-44E3-9099-C40C66FF867C}">
                  <a14:compatExt spid="_x0000_s5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287</xdr:row>
          <xdr:rowOff>9525</xdr:rowOff>
        </xdr:from>
        <xdr:to>
          <xdr:col>24</xdr:col>
          <xdr:colOff>0</xdr:colOff>
          <xdr:row>292</xdr:row>
          <xdr:rowOff>180975</xdr:rowOff>
        </xdr:to>
        <xdr:sp macro="" textlink="">
          <xdr:nvSpPr>
            <xdr:cNvPr id="5466" name="Group Box 346" hidden="1">
              <a:extLst>
                <a:ext uri="{63B3BB69-23CF-44E3-9099-C40C66FF867C}">
                  <a14:compatExt spid="_x0000_s54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293</xdr:row>
          <xdr:rowOff>9525</xdr:rowOff>
        </xdr:from>
        <xdr:to>
          <xdr:col>24</xdr:col>
          <xdr:colOff>0</xdr:colOff>
          <xdr:row>299</xdr:row>
          <xdr:rowOff>0</xdr:rowOff>
        </xdr:to>
        <xdr:sp macro="" textlink="">
          <xdr:nvSpPr>
            <xdr:cNvPr id="5467" name="Group Box 347" hidden="1">
              <a:extLst>
                <a:ext uri="{63B3BB69-23CF-44E3-9099-C40C66FF867C}">
                  <a14:compatExt spid="_x0000_s54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305</xdr:row>
          <xdr:rowOff>9525</xdr:rowOff>
        </xdr:from>
        <xdr:to>
          <xdr:col>24</xdr:col>
          <xdr:colOff>0</xdr:colOff>
          <xdr:row>305</xdr:row>
          <xdr:rowOff>1085850</xdr:rowOff>
        </xdr:to>
        <xdr:sp macro="" textlink="">
          <xdr:nvSpPr>
            <xdr:cNvPr id="5469" name="Group Box 349" hidden="1">
              <a:extLst>
                <a:ext uri="{63B3BB69-23CF-44E3-9099-C40C66FF867C}">
                  <a14:compatExt spid="_x0000_s54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309</xdr:row>
          <xdr:rowOff>9525</xdr:rowOff>
        </xdr:from>
        <xdr:to>
          <xdr:col>24</xdr:col>
          <xdr:colOff>0</xdr:colOff>
          <xdr:row>315</xdr:row>
          <xdr:rowOff>0</xdr:rowOff>
        </xdr:to>
        <xdr:sp macro="" textlink="">
          <xdr:nvSpPr>
            <xdr:cNvPr id="5471" name="Group Box 351" hidden="1">
              <a:extLst>
                <a:ext uri="{63B3BB69-23CF-44E3-9099-C40C66FF867C}">
                  <a14:compatExt spid="_x0000_s54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301</xdr:row>
          <xdr:rowOff>133350</xdr:rowOff>
        </xdr:from>
        <xdr:to>
          <xdr:col>19</xdr:col>
          <xdr:colOff>276225</xdr:colOff>
          <xdr:row>302</xdr:row>
          <xdr:rowOff>152400</xdr:rowOff>
        </xdr:to>
        <xdr:sp macro="" textlink="">
          <xdr:nvSpPr>
            <xdr:cNvPr id="5475" name="Option Button 355" hidden="1">
              <a:extLst>
                <a:ext uri="{63B3BB69-23CF-44E3-9099-C40C66FF867C}">
                  <a14:compatExt spid="_x0000_s54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305</xdr:row>
          <xdr:rowOff>514350</xdr:rowOff>
        </xdr:from>
        <xdr:to>
          <xdr:col>19</xdr:col>
          <xdr:colOff>276225</xdr:colOff>
          <xdr:row>305</xdr:row>
          <xdr:rowOff>704850</xdr:rowOff>
        </xdr:to>
        <xdr:sp macro="" textlink="">
          <xdr:nvSpPr>
            <xdr:cNvPr id="5476" name="Option Button 356" hidden="1">
              <a:extLst>
                <a:ext uri="{63B3BB69-23CF-44E3-9099-C40C66FF867C}">
                  <a14:compatExt spid="_x0000_s5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307</xdr:row>
          <xdr:rowOff>257175</xdr:rowOff>
        </xdr:from>
        <xdr:to>
          <xdr:col>19</xdr:col>
          <xdr:colOff>276225</xdr:colOff>
          <xdr:row>307</xdr:row>
          <xdr:rowOff>447675</xdr:rowOff>
        </xdr:to>
        <xdr:sp macro="" textlink="">
          <xdr:nvSpPr>
            <xdr:cNvPr id="5477" name="Option Button 357" hidden="1">
              <a:extLst>
                <a:ext uri="{63B3BB69-23CF-44E3-9099-C40C66FF867C}">
                  <a14:compatExt spid="_x0000_s5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66675</xdr:colOff>
          <xdr:row>289</xdr:row>
          <xdr:rowOff>114300</xdr:rowOff>
        </xdr:from>
        <xdr:to>
          <xdr:col>20</xdr:col>
          <xdr:colOff>0</xdr:colOff>
          <xdr:row>290</xdr:row>
          <xdr:rowOff>133350</xdr:rowOff>
        </xdr:to>
        <xdr:sp macro="" textlink="">
          <xdr:nvSpPr>
            <xdr:cNvPr id="5480" name="Option Button 360" hidden="1">
              <a:extLst>
                <a:ext uri="{63B3BB69-23CF-44E3-9099-C40C66FF867C}">
                  <a14:compatExt spid="_x0000_s5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66675</xdr:colOff>
          <xdr:row>295</xdr:row>
          <xdr:rowOff>133350</xdr:rowOff>
        </xdr:from>
        <xdr:to>
          <xdr:col>20</xdr:col>
          <xdr:colOff>0</xdr:colOff>
          <xdr:row>296</xdr:row>
          <xdr:rowOff>142875</xdr:rowOff>
        </xdr:to>
        <xdr:sp macro="" textlink="">
          <xdr:nvSpPr>
            <xdr:cNvPr id="5481" name="Option Button 361" hidden="1">
              <a:extLst>
                <a:ext uri="{63B3BB69-23CF-44E3-9099-C40C66FF867C}">
                  <a14:compatExt spid="_x0000_s5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301</xdr:row>
          <xdr:rowOff>123825</xdr:rowOff>
        </xdr:from>
        <xdr:to>
          <xdr:col>20</xdr:col>
          <xdr:colOff>276225</xdr:colOff>
          <xdr:row>302</xdr:row>
          <xdr:rowOff>133350</xdr:rowOff>
        </xdr:to>
        <xdr:sp macro="" textlink="">
          <xdr:nvSpPr>
            <xdr:cNvPr id="5482" name="Option Button 362" hidden="1">
              <a:extLst>
                <a:ext uri="{63B3BB69-23CF-44E3-9099-C40C66FF867C}">
                  <a14:compatExt spid="_x0000_s5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305</xdr:row>
          <xdr:rowOff>504825</xdr:rowOff>
        </xdr:from>
        <xdr:to>
          <xdr:col>20</xdr:col>
          <xdr:colOff>276225</xdr:colOff>
          <xdr:row>305</xdr:row>
          <xdr:rowOff>695325</xdr:rowOff>
        </xdr:to>
        <xdr:sp macro="" textlink="">
          <xdr:nvSpPr>
            <xdr:cNvPr id="5483" name="Option Button 363" hidden="1">
              <a:extLst>
                <a:ext uri="{63B3BB69-23CF-44E3-9099-C40C66FF867C}">
                  <a14:compatExt spid="_x0000_s5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307</xdr:row>
          <xdr:rowOff>247650</xdr:rowOff>
        </xdr:from>
        <xdr:to>
          <xdr:col>20</xdr:col>
          <xdr:colOff>276225</xdr:colOff>
          <xdr:row>307</xdr:row>
          <xdr:rowOff>438150</xdr:rowOff>
        </xdr:to>
        <xdr:sp macro="" textlink="">
          <xdr:nvSpPr>
            <xdr:cNvPr id="5484" name="Option Button 364" hidden="1">
              <a:extLst>
                <a:ext uri="{63B3BB69-23CF-44E3-9099-C40C66FF867C}">
                  <a14:compatExt spid="_x0000_s5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47625</xdr:colOff>
          <xdr:row>311</xdr:row>
          <xdr:rowOff>123825</xdr:rowOff>
        </xdr:from>
        <xdr:to>
          <xdr:col>19</xdr:col>
          <xdr:colOff>285750</xdr:colOff>
          <xdr:row>312</xdr:row>
          <xdr:rowOff>142875</xdr:rowOff>
        </xdr:to>
        <xdr:sp macro="" textlink="">
          <xdr:nvSpPr>
            <xdr:cNvPr id="5485" name="Option Button 365" hidden="1">
              <a:extLst>
                <a:ext uri="{63B3BB69-23CF-44E3-9099-C40C66FF867C}">
                  <a14:compatExt spid="_x0000_s5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289</xdr:row>
          <xdr:rowOff>123825</xdr:rowOff>
        </xdr:from>
        <xdr:to>
          <xdr:col>21</xdr:col>
          <xdr:colOff>0</xdr:colOff>
          <xdr:row>290</xdr:row>
          <xdr:rowOff>133350</xdr:rowOff>
        </xdr:to>
        <xdr:sp macro="" textlink="">
          <xdr:nvSpPr>
            <xdr:cNvPr id="5487" name="Option Button 367" hidden="1">
              <a:extLst>
                <a:ext uri="{63B3BB69-23CF-44E3-9099-C40C66FF867C}">
                  <a14:compatExt spid="_x0000_s54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295</xdr:row>
          <xdr:rowOff>142875</xdr:rowOff>
        </xdr:from>
        <xdr:to>
          <xdr:col>21</xdr:col>
          <xdr:colOff>0</xdr:colOff>
          <xdr:row>296</xdr:row>
          <xdr:rowOff>152400</xdr:rowOff>
        </xdr:to>
        <xdr:sp macro="" textlink="">
          <xdr:nvSpPr>
            <xdr:cNvPr id="5488" name="Option Button 368" hidden="1">
              <a:extLst>
                <a:ext uri="{63B3BB69-23CF-44E3-9099-C40C66FF867C}">
                  <a14:compatExt spid="_x0000_s5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301</xdr:row>
          <xdr:rowOff>133350</xdr:rowOff>
        </xdr:from>
        <xdr:to>
          <xdr:col>21</xdr:col>
          <xdr:colOff>276225</xdr:colOff>
          <xdr:row>302</xdr:row>
          <xdr:rowOff>152400</xdr:rowOff>
        </xdr:to>
        <xdr:sp macro="" textlink="">
          <xdr:nvSpPr>
            <xdr:cNvPr id="5489" name="Option Button 369" hidden="1">
              <a:extLst>
                <a:ext uri="{63B3BB69-23CF-44E3-9099-C40C66FF867C}">
                  <a14:compatExt spid="_x0000_s54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305</xdr:row>
          <xdr:rowOff>514350</xdr:rowOff>
        </xdr:from>
        <xdr:to>
          <xdr:col>21</xdr:col>
          <xdr:colOff>276225</xdr:colOff>
          <xdr:row>305</xdr:row>
          <xdr:rowOff>704850</xdr:rowOff>
        </xdr:to>
        <xdr:sp macro="" textlink="">
          <xdr:nvSpPr>
            <xdr:cNvPr id="5490" name="Option Button 370" hidden="1">
              <a:extLst>
                <a:ext uri="{63B3BB69-23CF-44E3-9099-C40C66FF867C}">
                  <a14:compatExt spid="_x0000_s54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307</xdr:row>
          <xdr:rowOff>257175</xdr:rowOff>
        </xdr:from>
        <xdr:to>
          <xdr:col>21</xdr:col>
          <xdr:colOff>276225</xdr:colOff>
          <xdr:row>307</xdr:row>
          <xdr:rowOff>447675</xdr:rowOff>
        </xdr:to>
        <xdr:sp macro="" textlink="">
          <xdr:nvSpPr>
            <xdr:cNvPr id="5491" name="Option Button 371" hidden="1">
              <a:extLst>
                <a:ext uri="{63B3BB69-23CF-44E3-9099-C40C66FF867C}">
                  <a14:compatExt spid="_x0000_s5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47625</xdr:colOff>
          <xdr:row>311</xdr:row>
          <xdr:rowOff>133350</xdr:rowOff>
        </xdr:from>
        <xdr:to>
          <xdr:col>20</xdr:col>
          <xdr:colOff>285750</xdr:colOff>
          <xdr:row>312</xdr:row>
          <xdr:rowOff>142875</xdr:rowOff>
        </xdr:to>
        <xdr:sp macro="" textlink="">
          <xdr:nvSpPr>
            <xdr:cNvPr id="5492" name="Option Button 372" hidden="1">
              <a:extLst>
                <a:ext uri="{63B3BB69-23CF-44E3-9099-C40C66FF867C}">
                  <a14:compatExt spid="_x0000_s54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289</xdr:row>
          <xdr:rowOff>123825</xdr:rowOff>
        </xdr:from>
        <xdr:to>
          <xdr:col>22</xdr:col>
          <xdr:colOff>0</xdr:colOff>
          <xdr:row>290</xdr:row>
          <xdr:rowOff>133350</xdr:rowOff>
        </xdr:to>
        <xdr:sp macro="" textlink="">
          <xdr:nvSpPr>
            <xdr:cNvPr id="5494" name="Option Button 374" hidden="1">
              <a:extLst>
                <a:ext uri="{63B3BB69-23CF-44E3-9099-C40C66FF867C}">
                  <a14:compatExt spid="_x0000_s54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295</xdr:row>
          <xdr:rowOff>142875</xdr:rowOff>
        </xdr:from>
        <xdr:to>
          <xdr:col>22</xdr:col>
          <xdr:colOff>0</xdr:colOff>
          <xdr:row>296</xdr:row>
          <xdr:rowOff>152400</xdr:rowOff>
        </xdr:to>
        <xdr:sp macro="" textlink="">
          <xdr:nvSpPr>
            <xdr:cNvPr id="5495" name="Option Button 375" hidden="1">
              <a:extLst>
                <a:ext uri="{63B3BB69-23CF-44E3-9099-C40C66FF867C}">
                  <a14:compatExt spid="_x0000_s54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301</xdr:row>
          <xdr:rowOff>133350</xdr:rowOff>
        </xdr:from>
        <xdr:to>
          <xdr:col>22</xdr:col>
          <xdr:colOff>276225</xdr:colOff>
          <xdr:row>302</xdr:row>
          <xdr:rowOff>152400</xdr:rowOff>
        </xdr:to>
        <xdr:sp macro="" textlink="">
          <xdr:nvSpPr>
            <xdr:cNvPr id="5496" name="Option Button 376" hidden="1">
              <a:extLst>
                <a:ext uri="{63B3BB69-23CF-44E3-9099-C40C66FF867C}">
                  <a14:compatExt spid="_x0000_s54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305</xdr:row>
          <xdr:rowOff>514350</xdr:rowOff>
        </xdr:from>
        <xdr:to>
          <xdr:col>22</xdr:col>
          <xdr:colOff>276225</xdr:colOff>
          <xdr:row>305</xdr:row>
          <xdr:rowOff>704850</xdr:rowOff>
        </xdr:to>
        <xdr:sp macro="" textlink="">
          <xdr:nvSpPr>
            <xdr:cNvPr id="5497" name="Option Button 377" hidden="1">
              <a:extLst>
                <a:ext uri="{63B3BB69-23CF-44E3-9099-C40C66FF867C}">
                  <a14:compatExt spid="_x0000_s54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307</xdr:row>
          <xdr:rowOff>257175</xdr:rowOff>
        </xdr:from>
        <xdr:to>
          <xdr:col>22</xdr:col>
          <xdr:colOff>276225</xdr:colOff>
          <xdr:row>307</xdr:row>
          <xdr:rowOff>447675</xdr:rowOff>
        </xdr:to>
        <xdr:sp macro="" textlink="">
          <xdr:nvSpPr>
            <xdr:cNvPr id="5498" name="Option Button 378" hidden="1">
              <a:extLst>
                <a:ext uri="{63B3BB69-23CF-44E3-9099-C40C66FF867C}">
                  <a14:compatExt spid="_x0000_s54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311</xdr:row>
          <xdr:rowOff>133350</xdr:rowOff>
        </xdr:from>
        <xdr:to>
          <xdr:col>21</xdr:col>
          <xdr:colOff>285750</xdr:colOff>
          <xdr:row>312</xdr:row>
          <xdr:rowOff>142875</xdr:rowOff>
        </xdr:to>
        <xdr:sp macro="" textlink="">
          <xdr:nvSpPr>
            <xdr:cNvPr id="5499" name="Option Button 379" hidden="1">
              <a:extLst>
                <a:ext uri="{63B3BB69-23CF-44E3-9099-C40C66FF867C}">
                  <a14:compatExt spid="_x0000_s54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289</xdr:row>
          <xdr:rowOff>104775</xdr:rowOff>
        </xdr:from>
        <xdr:to>
          <xdr:col>23</xdr:col>
          <xdr:colOff>0</xdr:colOff>
          <xdr:row>290</xdr:row>
          <xdr:rowOff>114300</xdr:rowOff>
        </xdr:to>
        <xdr:sp macro="" textlink="">
          <xdr:nvSpPr>
            <xdr:cNvPr id="5501" name="Option Button 381" hidden="1">
              <a:extLst>
                <a:ext uri="{63B3BB69-23CF-44E3-9099-C40C66FF867C}">
                  <a14:compatExt spid="_x0000_s5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295</xdr:row>
          <xdr:rowOff>123825</xdr:rowOff>
        </xdr:from>
        <xdr:to>
          <xdr:col>23</xdr:col>
          <xdr:colOff>0</xdr:colOff>
          <xdr:row>296</xdr:row>
          <xdr:rowOff>133350</xdr:rowOff>
        </xdr:to>
        <xdr:sp macro="" textlink="">
          <xdr:nvSpPr>
            <xdr:cNvPr id="5502" name="Option Button 382" hidden="1">
              <a:extLst>
                <a:ext uri="{63B3BB69-23CF-44E3-9099-C40C66FF867C}">
                  <a14:compatExt spid="_x0000_s5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301</xdr:row>
          <xdr:rowOff>114300</xdr:rowOff>
        </xdr:from>
        <xdr:to>
          <xdr:col>23</xdr:col>
          <xdr:colOff>276225</xdr:colOff>
          <xdr:row>302</xdr:row>
          <xdr:rowOff>123825</xdr:rowOff>
        </xdr:to>
        <xdr:sp macro="" textlink="">
          <xdr:nvSpPr>
            <xdr:cNvPr id="5503" name="Option Button 383" hidden="1">
              <a:extLst>
                <a:ext uri="{63B3BB69-23CF-44E3-9099-C40C66FF867C}">
                  <a14:compatExt spid="_x0000_s55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305</xdr:row>
          <xdr:rowOff>495300</xdr:rowOff>
        </xdr:from>
        <xdr:to>
          <xdr:col>23</xdr:col>
          <xdr:colOff>276225</xdr:colOff>
          <xdr:row>305</xdr:row>
          <xdr:rowOff>676275</xdr:rowOff>
        </xdr:to>
        <xdr:sp macro="" textlink="">
          <xdr:nvSpPr>
            <xdr:cNvPr id="5504" name="Option Button 384" hidden="1">
              <a:extLst>
                <a:ext uri="{63B3BB69-23CF-44E3-9099-C40C66FF867C}">
                  <a14:compatExt spid="_x0000_s5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307</xdr:row>
          <xdr:rowOff>238125</xdr:rowOff>
        </xdr:from>
        <xdr:to>
          <xdr:col>23</xdr:col>
          <xdr:colOff>276225</xdr:colOff>
          <xdr:row>307</xdr:row>
          <xdr:rowOff>438150</xdr:rowOff>
        </xdr:to>
        <xdr:sp macro="" textlink="">
          <xdr:nvSpPr>
            <xdr:cNvPr id="5505" name="Option Button 385" hidden="1">
              <a:extLst>
                <a:ext uri="{63B3BB69-23CF-44E3-9099-C40C66FF867C}">
                  <a14:compatExt spid="_x0000_s55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311</xdr:row>
          <xdr:rowOff>114300</xdr:rowOff>
        </xdr:from>
        <xdr:to>
          <xdr:col>22</xdr:col>
          <xdr:colOff>285750</xdr:colOff>
          <xdr:row>312</xdr:row>
          <xdr:rowOff>123825</xdr:rowOff>
        </xdr:to>
        <xdr:sp macro="" textlink="">
          <xdr:nvSpPr>
            <xdr:cNvPr id="5506" name="Option Button 386" hidden="1">
              <a:extLst>
                <a:ext uri="{63B3BB69-23CF-44E3-9099-C40C66FF867C}">
                  <a14:compatExt spid="_x0000_s5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339</xdr:row>
          <xdr:rowOff>9525</xdr:rowOff>
        </xdr:from>
        <xdr:to>
          <xdr:col>24</xdr:col>
          <xdr:colOff>0</xdr:colOff>
          <xdr:row>345</xdr:row>
          <xdr:rowOff>0</xdr:rowOff>
        </xdr:to>
        <xdr:sp macro="" textlink="">
          <xdr:nvSpPr>
            <xdr:cNvPr id="5511" name="Group Box 391" hidden="1">
              <a:extLst>
                <a:ext uri="{63B3BB69-23CF-44E3-9099-C40C66FF867C}">
                  <a14:compatExt spid="_x0000_s55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351</xdr:row>
          <xdr:rowOff>9525</xdr:rowOff>
        </xdr:from>
        <xdr:to>
          <xdr:col>24</xdr:col>
          <xdr:colOff>0</xdr:colOff>
          <xdr:row>357</xdr:row>
          <xdr:rowOff>0</xdr:rowOff>
        </xdr:to>
        <xdr:sp macro="" textlink="">
          <xdr:nvSpPr>
            <xdr:cNvPr id="5515" name="Group Box 395" hidden="1">
              <a:extLst>
                <a:ext uri="{63B3BB69-23CF-44E3-9099-C40C66FF867C}">
                  <a14:compatExt spid="_x0000_s55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357</xdr:row>
          <xdr:rowOff>9525</xdr:rowOff>
        </xdr:from>
        <xdr:to>
          <xdr:col>24</xdr:col>
          <xdr:colOff>0</xdr:colOff>
          <xdr:row>363</xdr:row>
          <xdr:rowOff>0</xdr:rowOff>
        </xdr:to>
        <xdr:sp macro="" textlink="">
          <xdr:nvSpPr>
            <xdr:cNvPr id="5516" name="Group Box 396" hidden="1">
              <a:extLst>
                <a:ext uri="{63B3BB69-23CF-44E3-9099-C40C66FF867C}">
                  <a14:compatExt spid="_x0000_s55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329</xdr:row>
          <xdr:rowOff>76200</xdr:rowOff>
        </xdr:from>
        <xdr:to>
          <xdr:col>19</xdr:col>
          <xdr:colOff>276225</xdr:colOff>
          <xdr:row>330</xdr:row>
          <xdr:rowOff>85725</xdr:rowOff>
        </xdr:to>
        <xdr:sp macro="" textlink="">
          <xdr:nvSpPr>
            <xdr:cNvPr id="5518" name="Option Button 398" hidden="1">
              <a:extLst>
                <a:ext uri="{63B3BB69-23CF-44E3-9099-C40C66FF867C}">
                  <a14:compatExt spid="_x0000_s55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371</xdr:row>
          <xdr:rowOff>9525</xdr:rowOff>
        </xdr:from>
        <xdr:to>
          <xdr:col>23</xdr:col>
          <xdr:colOff>276225</xdr:colOff>
          <xdr:row>374</xdr:row>
          <xdr:rowOff>9525</xdr:rowOff>
        </xdr:to>
        <xdr:sp macro="" textlink="">
          <xdr:nvSpPr>
            <xdr:cNvPr id="5521" name="Group Box 401" hidden="1">
              <a:extLst>
                <a:ext uri="{63B3BB69-23CF-44E3-9099-C40C66FF867C}">
                  <a14:compatExt spid="_x0000_s55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341</xdr:row>
          <xdr:rowOff>152400</xdr:rowOff>
        </xdr:from>
        <xdr:to>
          <xdr:col>19</xdr:col>
          <xdr:colOff>276225</xdr:colOff>
          <xdr:row>342</xdr:row>
          <xdr:rowOff>161925</xdr:rowOff>
        </xdr:to>
        <xdr:sp macro="" textlink="">
          <xdr:nvSpPr>
            <xdr:cNvPr id="5536" name="Option Button 416" hidden="1">
              <a:extLst>
                <a:ext uri="{63B3BB69-23CF-44E3-9099-C40C66FF867C}">
                  <a14:compatExt spid="_x0000_s55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347</xdr:row>
          <xdr:rowOff>142875</xdr:rowOff>
        </xdr:from>
        <xdr:to>
          <xdr:col>19</xdr:col>
          <xdr:colOff>276225</xdr:colOff>
          <xdr:row>348</xdr:row>
          <xdr:rowOff>152400</xdr:rowOff>
        </xdr:to>
        <xdr:sp macro="" textlink="">
          <xdr:nvSpPr>
            <xdr:cNvPr id="5540" name="Option Button 420" hidden="1">
              <a:extLst>
                <a:ext uri="{63B3BB69-23CF-44E3-9099-C40C66FF867C}">
                  <a14:compatExt spid="_x0000_s55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353</xdr:row>
          <xdr:rowOff>133350</xdr:rowOff>
        </xdr:from>
        <xdr:to>
          <xdr:col>19</xdr:col>
          <xdr:colOff>276225</xdr:colOff>
          <xdr:row>354</xdr:row>
          <xdr:rowOff>152400</xdr:rowOff>
        </xdr:to>
        <xdr:sp macro="" textlink="">
          <xdr:nvSpPr>
            <xdr:cNvPr id="5541" name="Option Button 421" hidden="1">
              <a:extLst>
                <a:ext uri="{63B3BB69-23CF-44E3-9099-C40C66FF867C}">
                  <a14:compatExt spid="_x0000_s55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360</xdr:row>
          <xdr:rowOff>0</xdr:rowOff>
        </xdr:from>
        <xdr:to>
          <xdr:col>19</xdr:col>
          <xdr:colOff>276225</xdr:colOff>
          <xdr:row>361</xdr:row>
          <xdr:rowOff>9525</xdr:rowOff>
        </xdr:to>
        <xdr:sp macro="" textlink="">
          <xdr:nvSpPr>
            <xdr:cNvPr id="5542" name="Option Button 422" hidden="1">
              <a:extLst>
                <a:ext uri="{63B3BB69-23CF-44E3-9099-C40C66FF867C}">
                  <a14:compatExt spid="_x0000_s55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372</xdr:row>
          <xdr:rowOff>200025</xdr:rowOff>
        </xdr:from>
        <xdr:to>
          <xdr:col>19</xdr:col>
          <xdr:colOff>276225</xdr:colOff>
          <xdr:row>372</xdr:row>
          <xdr:rowOff>390525</xdr:rowOff>
        </xdr:to>
        <xdr:sp macro="" textlink="">
          <xdr:nvSpPr>
            <xdr:cNvPr id="5543" name="Option Button 423" hidden="1">
              <a:extLst>
                <a:ext uri="{63B3BB69-23CF-44E3-9099-C40C66FF867C}">
                  <a14:compatExt spid="_x0000_s55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375</xdr:row>
          <xdr:rowOff>190500</xdr:rowOff>
        </xdr:from>
        <xdr:to>
          <xdr:col>19</xdr:col>
          <xdr:colOff>276225</xdr:colOff>
          <xdr:row>375</xdr:row>
          <xdr:rowOff>381000</xdr:rowOff>
        </xdr:to>
        <xdr:sp macro="" textlink="">
          <xdr:nvSpPr>
            <xdr:cNvPr id="5544" name="Option Button 424" hidden="1">
              <a:extLst>
                <a:ext uri="{63B3BB69-23CF-44E3-9099-C40C66FF867C}">
                  <a14:compatExt spid="_x0000_s55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377</xdr:row>
          <xdr:rowOff>409575</xdr:rowOff>
        </xdr:from>
        <xdr:to>
          <xdr:col>19</xdr:col>
          <xdr:colOff>276225</xdr:colOff>
          <xdr:row>377</xdr:row>
          <xdr:rowOff>600075</xdr:rowOff>
        </xdr:to>
        <xdr:sp macro="" textlink="">
          <xdr:nvSpPr>
            <xdr:cNvPr id="5545" name="Option Button 425" hidden="1">
              <a:extLst>
                <a:ext uri="{63B3BB69-23CF-44E3-9099-C40C66FF867C}">
                  <a14:compatExt spid="_x0000_s55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378</xdr:row>
          <xdr:rowOff>409575</xdr:rowOff>
        </xdr:from>
        <xdr:to>
          <xdr:col>19</xdr:col>
          <xdr:colOff>276225</xdr:colOff>
          <xdr:row>378</xdr:row>
          <xdr:rowOff>600075</xdr:rowOff>
        </xdr:to>
        <xdr:sp macro="" textlink="">
          <xdr:nvSpPr>
            <xdr:cNvPr id="5546" name="Option Button 426" hidden="1">
              <a:extLst>
                <a:ext uri="{63B3BB69-23CF-44E3-9099-C40C66FF867C}">
                  <a14:compatExt spid="_x0000_s55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399</xdr:row>
          <xdr:rowOff>9525</xdr:rowOff>
        </xdr:from>
        <xdr:to>
          <xdr:col>23</xdr:col>
          <xdr:colOff>276225</xdr:colOff>
          <xdr:row>406</xdr:row>
          <xdr:rowOff>0</xdr:rowOff>
        </xdr:to>
        <xdr:sp macro="" textlink="">
          <xdr:nvSpPr>
            <xdr:cNvPr id="5550" name="Group Box 430" hidden="1">
              <a:extLst>
                <a:ext uri="{63B3BB69-23CF-44E3-9099-C40C66FF867C}">
                  <a14:compatExt spid="_x0000_s55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387</xdr:row>
          <xdr:rowOff>171450</xdr:rowOff>
        </xdr:from>
        <xdr:to>
          <xdr:col>19</xdr:col>
          <xdr:colOff>276225</xdr:colOff>
          <xdr:row>388</xdr:row>
          <xdr:rowOff>180975</xdr:rowOff>
        </xdr:to>
        <xdr:sp macro="" textlink="">
          <xdr:nvSpPr>
            <xdr:cNvPr id="5564" name="Option Button 444" hidden="1">
              <a:extLst>
                <a:ext uri="{63B3BB69-23CF-44E3-9099-C40C66FF867C}">
                  <a14:compatExt spid="_x0000_s55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394</xdr:row>
          <xdr:rowOff>133350</xdr:rowOff>
        </xdr:from>
        <xdr:to>
          <xdr:col>19</xdr:col>
          <xdr:colOff>276225</xdr:colOff>
          <xdr:row>395</xdr:row>
          <xdr:rowOff>133350</xdr:rowOff>
        </xdr:to>
        <xdr:sp macro="" textlink="">
          <xdr:nvSpPr>
            <xdr:cNvPr id="5566" name="Option Button 446" hidden="1">
              <a:extLst>
                <a:ext uri="{63B3BB69-23CF-44E3-9099-C40C66FF867C}">
                  <a14:compatExt spid="_x0000_s55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402</xdr:row>
          <xdr:rowOff>28575</xdr:rowOff>
        </xdr:from>
        <xdr:to>
          <xdr:col>19</xdr:col>
          <xdr:colOff>276225</xdr:colOff>
          <xdr:row>403</xdr:row>
          <xdr:rowOff>28575</xdr:rowOff>
        </xdr:to>
        <xdr:sp macro="" textlink="">
          <xdr:nvSpPr>
            <xdr:cNvPr id="5567" name="Option Button 447" hidden="1">
              <a:extLst>
                <a:ext uri="{63B3BB69-23CF-44E3-9099-C40C66FF867C}">
                  <a14:compatExt spid="_x0000_s55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408</xdr:row>
          <xdr:rowOff>171450</xdr:rowOff>
        </xdr:from>
        <xdr:to>
          <xdr:col>19</xdr:col>
          <xdr:colOff>276225</xdr:colOff>
          <xdr:row>409</xdr:row>
          <xdr:rowOff>180975</xdr:rowOff>
        </xdr:to>
        <xdr:sp macro="" textlink="">
          <xdr:nvSpPr>
            <xdr:cNvPr id="5568" name="Option Button 448" hidden="1">
              <a:extLst>
                <a:ext uri="{63B3BB69-23CF-44E3-9099-C40C66FF867C}">
                  <a14:compatExt spid="_x0000_s55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415</xdr:row>
          <xdr:rowOff>161925</xdr:rowOff>
        </xdr:from>
        <xdr:to>
          <xdr:col>19</xdr:col>
          <xdr:colOff>276225</xdr:colOff>
          <xdr:row>416</xdr:row>
          <xdr:rowOff>161925</xdr:rowOff>
        </xdr:to>
        <xdr:sp macro="" textlink="">
          <xdr:nvSpPr>
            <xdr:cNvPr id="5569" name="Option Button 449" hidden="1">
              <a:extLst>
                <a:ext uri="{63B3BB69-23CF-44E3-9099-C40C66FF867C}">
                  <a14:compatExt spid="_x0000_s55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423</xdr:row>
          <xdr:rowOff>28575</xdr:rowOff>
        </xdr:from>
        <xdr:to>
          <xdr:col>19</xdr:col>
          <xdr:colOff>276225</xdr:colOff>
          <xdr:row>424</xdr:row>
          <xdr:rowOff>28575</xdr:rowOff>
        </xdr:to>
        <xdr:sp macro="" textlink="">
          <xdr:nvSpPr>
            <xdr:cNvPr id="5570" name="Option Button 450" hidden="1">
              <a:extLst>
                <a:ext uri="{63B3BB69-23CF-44E3-9099-C40C66FF867C}">
                  <a14:compatExt spid="_x0000_s55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323</xdr:row>
          <xdr:rowOff>85725</xdr:rowOff>
        </xdr:from>
        <xdr:to>
          <xdr:col>19</xdr:col>
          <xdr:colOff>276225</xdr:colOff>
          <xdr:row>324</xdr:row>
          <xdr:rowOff>95250</xdr:rowOff>
        </xdr:to>
        <xdr:sp macro="" textlink="">
          <xdr:nvSpPr>
            <xdr:cNvPr id="5571" name="Option Button 451" hidden="1">
              <a:extLst>
                <a:ext uri="{63B3BB69-23CF-44E3-9099-C40C66FF867C}">
                  <a14:compatExt spid="_x0000_s55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329</xdr:row>
          <xdr:rowOff>85725</xdr:rowOff>
        </xdr:from>
        <xdr:to>
          <xdr:col>20</xdr:col>
          <xdr:colOff>276225</xdr:colOff>
          <xdr:row>330</xdr:row>
          <xdr:rowOff>95250</xdr:rowOff>
        </xdr:to>
        <xdr:sp macro="" textlink="">
          <xdr:nvSpPr>
            <xdr:cNvPr id="5572" name="Option Button 452" hidden="1">
              <a:extLst>
                <a:ext uri="{63B3BB69-23CF-44E3-9099-C40C66FF867C}">
                  <a14:compatExt spid="_x0000_s55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323</xdr:row>
          <xdr:rowOff>95250</xdr:rowOff>
        </xdr:from>
        <xdr:to>
          <xdr:col>20</xdr:col>
          <xdr:colOff>276225</xdr:colOff>
          <xdr:row>324</xdr:row>
          <xdr:rowOff>104775</xdr:rowOff>
        </xdr:to>
        <xdr:sp macro="" textlink="">
          <xdr:nvSpPr>
            <xdr:cNvPr id="5574" name="Option Button 454" hidden="1">
              <a:extLst>
                <a:ext uri="{63B3BB69-23CF-44E3-9099-C40C66FF867C}">
                  <a14:compatExt spid="_x0000_s55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329</xdr:row>
          <xdr:rowOff>95250</xdr:rowOff>
        </xdr:from>
        <xdr:to>
          <xdr:col>21</xdr:col>
          <xdr:colOff>276225</xdr:colOff>
          <xdr:row>330</xdr:row>
          <xdr:rowOff>104775</xdr:rowOff>
        </xdr:to>
        <xdr:sp macro="" textlink="">
          <xdr:nvSpPr>
            <xdr:cNvPr id="5575" name="Option Button 455" hidden="1">
              <a:extLst>
                <a:ext uri="{63B3BB69-23CF-44E3-9099-C40C66FF867C}">
                  <a14:compatExt spid="_x0000_s55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323</xdr:row>
          <xdr:rowOff>85725</xdr:rowOff>
        </xdr:from>
        <xdr:to>
          <xdr:col>21</xdr:col>
          <xdr:colOff>276225</xdr:colOff>
          <xdr:row>324</xdr:row>
          <xdr:rowOff>95250</xdr:rowOff>
        </xdr:to>
        <xdr:sp macro="" textlink="">
          <xdr:nvSpPr>
            <xdr:cNvPr id="5577" name="Option Button 457" hidden="1">
              <a:extLst>
                <a:ext uri="{63B3BB69-23CF-44E3-9099-C40C66FF867C}">
                  <a14:compatExt spid="_x0000_s55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329</xdr:row>
          <xdr:rowOff>85725</xdr:rowOff>
        </xdr:from>
        <xdr:to>
          <xdr:col>22</xdr:col>
          <xdr:colOff>276225</xdr:colOff>
          <xdr:row>330</xdr:row>
          <xdr:rowOff>95250</xdr:rowOff>
        </xdr:to>
        <xdr:sp macro="" textlink="">
          <xdr:nvSpPr>
            <xdr:cNvPr id="5578" name="Option Button 458" hidden="1">
              <a:extLst>
                <a:ext uri="{63B3BB69-23CF-44E3-9099-C40C66FF867C}">
                  <a14:compatExt spid="_x0000_s55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323</xdr:row>
          <xdr:rowOff>85725</xdr:rowOff>
        </xdr:from>
        <xdr:to>
          <xdr:col>22</xdr:col>
          <xdr:colOff>276225</xdr:colOff>
          <xdr:row>324</xdr:row>
          <xdr:rowOff>95250</xdr:rowOff>
        </xdr:to>
        <xdr:sp macro="" textlink="">
          <xdr:nvSpPr>
            <xdr:cNvPr id="5580" name="Option Button 460" hidden="1">
              <a:extLst>
                <a:ext uri="{63B3BB69-23CF-44E3-9099-C40C66FF867C}">
                  <a14:compatExt spid="_x0000_s55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329</xdr:row>
          <xdr:rowOff>85725</xdr:rowOff>
        </xdr:from>
        <xdr:to>
          <xdr:col>23</xdr:col>
          <xdr:colOff>276225</xdr:colOff>
          <xdr:row>330</xdr:row>
          <xdr:rowOff>95250</xdr:rowOff>
        </xdr:to>
        <xdr:sp macro="" textlink="">
          <xdr:nvSpPr>
            <xdr:cNvPr id="5581" name="Option Button 461" hidden="1">
              <a:extLst>
                <a:ext uri="{63B3BB69-23CF-44E3-9099-C40C66FF867C}">
                  <a14:compatExt spid="_x0000_s55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341</xdr:row>
          <xdr:rowOff>142875</xdr:rowOff>
        </xdr:from>
        <xdr:to>
          <xdr:col>20</xdr:col>
          <xdr:colOff>276225</xdr:colOff>
          <xdr:row>342</xdr:row>
          <xdr:rowOff>152400</xdr:rowOff>
        </xdr:to>
        <xdr:sp macro="" textlink="">
          <xdr:nvSpPr>
            <xdr:cNvPr id="5583" name="Option Button 463" hidden="1">
              <a:extLst>
                <a:ext uri="{63B3BB69-23CF-44E3-9099-C40C66FF867C}">
                  <a14:compatExt spid="_x0000_s55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347</xdr:row>
          <xdr:rowOff>133350</xdr:rowOff>
        </xdr:from>
        <xdr:to>
          <xdr:col>20</xdr:col>
          <xdr:colOff>276225</xdr:colOff>
          <xdr:row>348</xdr:row>
          <xdr:rowOff>152400</xdr:rowOff>
        </xdr:to>
        <xdr:sp macro="" textlink="">
          <xdr:nvSpPr>
            <xdr:cNvPr id="5586" name="Option Button 466" hidden="1">
              <a:extLst>
                <a:ext uri="{63B3BB69-23CF-44E3-9099-C40C66FF867C}">
                  <a14:compatExt spid="_x0000_s55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353</xdr:row>
          <xdr:rowOff>114300</xdr:rowOff>
        </xdr:from>
        <xdr:to>
          <xdr:col>20</xdr:col>
          <xdr:colOff>276225</xdr:colOff>
          <xdr:row>354</xdr:row>
          <xdr:rowOff>123825</xdr:rowOff>
        </xdr:to>
        <xdr:sp macro="" textlink="">
          <xdr:nvSpPr>
            <xdr:cNvPr id="5587" name="Option Button 467" hidden="1">
              <a:extLst>
                <a:ext uri="{63B3BB69-23CF-44E3-9099-C40C66FF867C}">
                  <a14:compatExt spid="_x0000_s55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359</xdr:row>
          <xdr:rowOff>161925</xdr:rowOff>
        </xdr:from>
        <xdr:to>
          <xdr:col>20</xdr:col>
          <xdr:colOff>276225</xdr:colOff>
          <xdr:row>361</xdr:row>
          <xdr:rowOff>0</xdr:rowOff>
        </xdr:to>
        <xdr:sp macro="" textlink="">
          <xdr:nvSpPr>
            <xdr:cNvPr id="5588" name="Option Button 468" hidden="1">
              <a:extLst>
                <a:ext uri="{63B3BB69-23CF-44E3-9099-C40C66FF867C}">
                  <a14:compatExt spid="_x0000_s55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341</xdr:row>
          <xdr:rowOff>152400</xdr:rowOff>
        </xdr:from>
        <xdr:to>
          <xdr:col>21</xdr:col>
          <xdr:colOff>276225</xdr:colOff>
          <xdr:row>342</xdr:row>
          <xdr:rowOff>161925</xdr:rowOff>
        </xdr:to>
        <xdr:sp macro="" textlink="">
          <xdr:nvSpPr>
            <xdr:cNvPr id="5595" name="Option Button 475" hidden="1">
              <a:extLst>
                <a:ext uri="{63B3BB69-23CF-44E3-9099-C40C66FF867C}">
                  <a14:compatExt spid="_x0000_s55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347</xdr:row>
          <xdr:rowOff>142875</xdr:rowOff>
        </xdr:from>
        <xdr:to>
          <xdr:col>21</xdr:col>
          <xdr:colOff>276225</xdr:colOff>
          <xdr:row>348</xdr:row>
          <xdr:rowOff>152400</xdr:rowOff>
        </xdr:to>
        <xdr:sp macro="" textlink="">
          <xdr:nvSpPr>
            <xdr:cNvPr id="5598" name="Option Button 478" hidden="1">
              <a:extLst>
                <a:ext uri="{63B3BB69-23CF-44E3-9099-C40C66FF867C}">
                  <a14:compatExt spid="_x0000_s55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353</xdr:row>
          <xdr:rowOff>123825</xdr:rowOff>
        </xdr:from>
        <xdr:to>
          <xdr:col>21</xdr:col>
          <xdr:colOff>276225</xdr:colOff>
          <xdr:row>354</xdr:row>
          <xdr:rowOff>133350</xdr:rowOff>
        </xdr:to>
        <xdr:sp macro="" textlink="">
          <xdr:nvSpPr>
            <xdr:cNvPr id="5599" name="Option Button 479" hidden="1">
              <a:extLst>
                <a:ext uri="{63B3BB69-23CF-44E3-9099-C40C66FF867C}">
                  <a14:compatExt spid="_x0000_s55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359</xdr:row>
          <xdr:rowOff>171450</xdr:rowOff>
        </xdr:from>
        <xdr:to>
          <xdr:col>21</xdr:col>
          <xdr:colOff>276225</xdr:colOff>
          <xdr:row>361</xdr:row>
          <xdr:rowOff>0</xdr:rowOff>
        </xdr:to>
        <xdr:sp macro="" textlink="">
          <xdr:nvSpPr>
            <xdr:cNvPr id="5600" name="Option Button 480" hidden="1">
              <a:extLst>
                <a:ext uri="{63B3BB69-23CF-44E3-9099-C40C66FF867C}">
                  <a14:compatExt spid="_x0000_s56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341</xdr:row>
          <xdr:rowOff>161925</xdr:rowOff>
        </xdr:from>
        <xdr:to>
          <xdr:col>22</xdr:col>
          <xdr:colOff>276225</xdr:colOff>
          <xdr:row>343</xdr:row>
          <xdr:rowOff>0</xdr:rowOff>
        </xdr:to>
        <xdr:sp macro="" textlink="">
          <xdr:nvSpPr>
            <xdr:cNvPr id="5601" name="Option Button 481" hidden="1">
              <a:extLst>
                <a:ext uri="{63B3BB69-23CF-44E3-9099-C40C66FF867C}">
                  <a14:compatExt spid="_x0000_s5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347</xdr:row>
          <xdr:rowOff>152400</xdr:rowOff>
        </xdr:from>
        <xdr:to>
          <xdr:col>22</xdr:col>
          <xdr:colOff>276225</xdr:colOff>
          <xdr:row>348</xdr:row>
          <xdr:rowOff>161925</xdr:rowOff>
        </xdr:to>
        <xdr:sp macro="" textlink="">
          <xdr:nvSpPr>
            <xdr:cNvPr id="5604" name="Option Button 484" hidden="1">
              <a:extLst>
                <a:ext uri="{63B3BB69-23CF-44E3-9099-C40C66FF867C}">
                  <a14:compatExt spid="_x0000_s56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353</xdr:row>
          <xdr:rowOff>133350</xdr:rowOff>
        </xdr:from>
        <xdr:to>
          <xdr:col>22</xdr:col>
          <xdr:colOff>276225</xdr:colOff>
          <xdr:row>354</xdr:row>
          <xdr:rowOff>152400</xdr:rowOff>
        </xdr:to>
        <xdr:sp macro="" textlink="">
          <xdr:nvSpPr>
            <xdr:cNvPr id="5605" name="Option Button 485" hidden="1">
              <a:extLst>
                <a:ext uri="{63B3BB69-23CF-44E3-9099-C40C66FF867C}">
                  <a14:compatExt spid="_x0000_s56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360</xdr:row>
          <xdr:rowOff>0</xdr:rowOff>
        </xdr:from>
        <xdr:to>
          <xdr:col>22</xdr:col>
          <xdr:colOff>276225</xdr:colOff>
          <xdr:row>361</xdr:row>
          <xdr:rowOff>9525</xdr:rowOff>
        </xdr:to>
        <xdr:sp macro="" textlink="">
          <xdr:nvSpPr>
            <xdr:cNvPr id="5606" name="Option Button 486" hidden="1">
              <a:extLst>
                <a:ext uri="{63B3BB69-23CF-44E3-9099-C40C66FF867C}">
                  <a14:compatExt spid="_x0000_s56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341</xdr:row>
          <xdr:rowOff>161925</xdr:rowOff>
        </xdr:from>
        <xdr:to>
          <xdr:col>23</xdr:col>
          <xdr:colOff>276225</xdr:colOff>
          <xdr:row>343</xdr:row>
          <xdr:rowOff>0</xdr:rowOff>
        </xdr:to>
        <xdr:sp macro="" textlink="">
          <xdr:nvSpPr>
            <xdr:cNvPr id="5613" name="Option Button 493" hidden="1">
              <a:extLst>
                <a:ext uri="{63B3BB69-23CF-44E3-9099-C40C66FF867C}">
                  <a14:compatExt spid="_x0000_s56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347</xdr:row>
          <xdr:rowOff>152400</xdr:rowOff>
        </xdr:from>
        <xdr:to>
          <xdr:col>23</xdr:col>
          <xdr:colOff>276225</xdr:colOff>
          <xdr:row>348</xdr:row>
          <xdr:rowOff>161925</xdr:rowOff>
        </xdr:to>
        <xdr:sp macro="" textlink="">
          <xdr:nvSpPr>
            <xdr:cNvPr id="5616" name="Option Button 496" hidden="1">
              <a:extLst>
                <a:ext uri="{63B3BB69-23CF-44E3-9099-C40C66FF867C}">
                  <a14:compatExt spid="_x0000_s56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353</xdr:row>
          <xdr:rowOff>133350</xdr:rowOff>
        </xdr:from>
        <xdr:to>
          <xdr:col>23</xdr:col>
          <xdr:colOff>276225</xdr:colOff>
          <xdr:row>354</xdr:row>
          <xdr:rowOff>152400</xdr:rowOff>
        </xdr:to>
        <xdr:sp macro="" textlink="">
          <xdr:nvSpPr>
            <xdr:cNvPr id="5617" name="Option Button 497" hidden="1">
              <a:extLst>
                <a:ext uri="{63B3BB69-23CF-44E3-9099-C40C66FF867C}">
                  <a14:compatExt spid="_x0000_s56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360</xdr:row>
          <xdr:rowOff>0</xdr:rowOff>
        </xdr:from>
        <xdr:to>
          <xdr:col>23</xdr:col>
          <xdr:colOff>276225</xdr:colOff>
          <xdr:row>361</xdr:row>
          <xdr:rowOff>9525</xdr:rowOff>
        </xdr:to>
        <xdr:sp macro="" textlink="">
          <xdr:nvSpPr>
            <xdr:cNvPr id="5618" name="Option Button 498" hidden="1">
              <a:extLst>
                <a:ext uri="{63B3BB69-23CF-44E3-9099-C40C66FF867C}">
                  <a14:compatExt spid="_x0000_s56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372</xdr:row>
          <xdr:rowOff>209550</xdr:rowOff>
        </xdr:from>
        <xdr:to>
          <xdr:col>20</xdr:col>
          <xdr:colOff>276225</xdr:colOff>
          <xdr:row>372</xdr:row>
          <xdr:rowOff>390525</xdr:rowOff>
        </xdr:to>
        <xdr:sp macro="" textlink="">
          <xdr:nvSpPr>
            <xdr:cNvPr id="5619" name="Option Button 499" hidden="1">
              <a:extLst>
                <a:ext uri="{63B3BB69-23CF-44E3-9099-C40C66FF867C}">
                  <a14:compatExt spid="_x0000_s56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375</xdr:row>
          <xdr:rowOff>200025</xdr:rowOff>
        </xdr:from>
        <xdr:to>
          <xdr:col>20</xdr:col>
          <xdr:colOff>276225</xdr:colOff>
          <xdr:row>375</xdr:row>
          <xdr:rowOff>390525</xdr:rowOff>
        </xdr:to>
        <xdr:sp macro="" textlink="">
          <xdr:nvSpPr>
            <xdr:cNvPr id="5620" name="Option Button 500" hidden="1">
              <a:extLst>
                <a:ext uri="{63B3BB69-23CF-44E3-9099-C40C66FF867C}">
                  <a14:compatExt spid="_x0000_s56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377</xdr:row>
          <xdr:rowOff>419100</xdr:rowOff>
        </xdr:from>
        <xdr:to>
          <xdr:col>20</xdr:col>
          <xdr:colOff>276225</xdr:colOff>
          <xdr:row>377</xdr:row>
          <xdr:rowOff>628650</xdr:rowOff>
        </xdr:to>
        <xdr:sp macro="" textlink="">
          <xdr:nvSpPr>
            <xdr:cNvPr id="5621" name="Option Button 501" hidden="1">
              <a:extLst>
                <a:ext uri="{63B3BB69-23CF-44E3-9099-C40C66FF867C}">
                  <a14:compatExt spid="_x0000_s56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378</xdr:row>
          <xdr:rowOff>419100</xdr:rowOff>
        </xdr:from>
        <xdr:to>
          <xdr:col>20</xdr:col>
          <xdr:colOff>276225</xdr:colOff>
          <xdr:row>378</xdr:row>
          <xdr:rowOff>628650</xdr:rowOff>
        </xdr:to>
        <xdr:sp macro="" textlink="">
          <xdr:nvSpPr>
            <xdr:cNvPr id="5622" name="Option Button 502" hidden="1">
              <a:extLst>
                <a:ext uri="{63B3BB69-23CF-44E3-9099-C40C66FF867C}">
                  <a14:compatExt spid="_x0000_s56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387</xdr:row>
          <xdr:rowOff>180975</xdr:rowOff>
        </xdr:from>
        <xdr:to>
          <xdr:col>20</xdr:col>
          <xdr:colOff>276225</xdr:colOff>
          <xdr:row>389</xdr:row>
          <xdr:rowOff>0</xdr:rowOff>
        </xdr:to>
        <xdr:sp macro="" textlink="">
          <xdr:nvSpPr>
            <xdr:cNvPr id="5623" name="Option Button 503" hidden="1">
              <a:extLst>
                <a:ext uri="{63B3BB69-23CF-44E3-9099-C40C66FF867C}">
                  <a14:compatExt spid="_x0000_s56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394</xdr:row>
          <xdr:rowOff>152400</xdr:rowOff>
        </xdr:from>
        <xdr:to>
          <xdr:col>20</xdr:col>
          <xdr:colOff>276225</xdr:colOff>
          <xdr:row>395</xdr:row>
          <xdr:rowOff>152400</xdr:rowOff>
        </xdr:to>
        <xdr:sp macro="" textlink="">
          <xdr:nvSpPr>
            <xdr:cNvPr id="5624" name="Option Button 504" hidden="1">
              <a:extLst>
                <a:ext uri="{63B3BB69-23CF-44E3-9099-C40C66FF867C}">
                  <a14:compatExt spid="_x0000_s56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402</xdr:row>
          <xdr:rowOff>47625</xdr:rowOff>
        </xdr:from>
        <xdr:to>
          <xdr:col>20</xdr:col>
          <xdr:colOff>276225</xdr:colOff>
          <xdr:row>403</xdr:row>
          <xdr:rowOff>57150</xdr:rowOff>
        </xdr:to>
        <xdr:sp macro="" textlink="">
          <xdr:nvSpPr>
            <xdr:cNvPr id="5625" name="Option Button 505" hidden="1">
              <a:extLst>
                <a:ext uri="{63B3BB69-23CF-44E3-9099-C40C66FF867C}">
                  <a14:compatExt spid="_x0000_s56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409</xdr:row>
          <xdr:rowOff>0</xdr:rowOff>
        </xdr:from>
        <xdr:to>
          <xdr:col>20</xdr:col>
          <xdr:colOff>276225</xdr:colOff>
          <xdr:row>410</xdr:row>
          <xdr:rowOff>0</xdr:rowOff>
        </xdr:to>
        <xdr:sp macro="" textlink="">
          <xdr:nvSpPr>
            <xdr:cNvPr id="5626" name="Option Button 506" hidden="1">
              <a:extLst>
                <a:ext uri="{63B3BB69-23CF-44E3-9099-C40C66FF867C}">
                  <a14:compatExt spid="_x0000_s56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415</xdr:row>
          <xdr:rowOff>180975</xdr:rowOff>
        </xdr:from>
        <xdr:to>
          <xdr:col>20</xdr:col>
          <xdr:colOff>276225</xdr:colOff>
          <xdr:row>416</xdr:row>
          <xdr:rowOff>180975</xdr:rowOff>
        </xdr:to>
        <xdr:sp macro="" textlink="">
          <xdr:nvSpPr>
            <xdr:cNvPr id="5627" name="Option Button 507" hidden="1">
              <a:extLst>
                <a:ext uri="{63B3BB69-23CF-44E3-9099-C40C66FF867C}">
                  <a14:compatExt spid="_x0000_s56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423</xdr:row>
          <xdr:rowOff>47625</xdr:rowOff>
        </xdr:from>
        <xdr:to>
          <xdr:col>20</xdr:col>
          <xdr:colOff>276225</xdr:colOff>
          <xdr:row>424</xdr:row>
          <xdr:rowOff>57150</xdr:rowOff>
        </xdr:to>
        <xdr:sp macro="" textlink="">
          <xdr:nvSpPr>
            <xdr:cNvPr id="5628" name="Option Button 508" hidden="1">
              <a:extLst>
                <a:ext uri="{63B3BB69-23CF-44E3-9099-C40C66FF867C}">
                  <a14:compatExt spid="_x0000_s56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372</xdr:row>
          <xdr:rowOff>200025</xdr:rowOff>
        </xdr:from>
        <xdr:to>
          <xdr:col>21</xdr:col>
          <xdr:colOff>276225</xdr:colOff>
          <xdr:row>372</xdr:row>
          <xdr:rowOff>390525</xdr:rowOff>
        </xdr:to>
        <xdr:sp macro="" textlink="">
          <xdr:nvSpPr>
            <xdr:cNvPr id="5629" name="Option Button 509" hidden="1">
              <a:extLst>
                <a:ext uri="{63B3BB69-23CF-44E3-9099-C40C66FF867C}">
                  <a14:compatExt spid="_x0000_s56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375</xdr:row>
          <xdr:rowOff>190500</xdr:rowOff>
        </xdr:from>
        <xdr:to>
          <xdr:col>21</xdr:col>
          <xdr:colOff>276225</xdr:colOff>
          <xdr:row>375</xdr:row>
          <xdr:rowOff>381000</xdr:rowOff>
        </xdr:to>
        <xdr:sp macro="" textlink="">
          <xdr:nvSpPr>
            <xdr:cNvPr id="5630" name="Option Button 510" hidden="1">
              <a:extLst>
                <a:ext uri="{63B3BB69-23CF-44E3-9099-C40C66FF867C}">
                  <a14:compatExt spid="_x0000_s56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377</xdr:row>
          <xdr:rowOff>409575</xdr:rowOff>
        </xdr:from>
        <xdr:to>
          <xdr:col>21</xdr:col>
          <xdr:colOff>276225</xdr:colOff>
          <xdr:row>377</xdr:row>
          <xdr:rowOff>609600</xdr:rowOff>
        </xdr:to>
        <xdr:sp macro="" textlink="">
          <xdr:nvSpPr>
            <xdr:cNvPr id="5631" name="Option Button 511" hidden="1">
              <a:extLst>
                <a:ext uri="{63B3BB69-23CF-44E3-9099-C40C66FF867C}">
                  <a14:compatExt spid="_x0000_s56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378</xdr:row>
          <xdr:rowOff>409575</xdr:rowOff>
        </xdr:from>
        <xdr:to>
          <xdr:col>21</xdr:col>
          <xdr:colOff>276225</xdr:colOff>
          <xdr:row>378</xdr:row>
          <xdr:rowOff>609600</xdr:rowOff>
        </xdr:to>
        <xdr:sp macro="" textlink="">
          <xdr:nvSpPr>
            <xdr:cNvPr id="5632" name="Option Button 512" hidden="1">
              <a:extLst>
                <a:ext uri="{63B3BB69-23CF-44E3-9099-C40C66FF867C}">
                  <a14:compatExt spid="_x0000_s56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387</xdr:row>
          <xdr:rowOff>171450</xdr:rowOff>
        </xdr:from>
        <xdr:to>
          <xdr:col>21</xdr:col>
          <xdr:colOff>276225</xdr:colOff>
          <xdr:row>388</xdr:row>
          <xdr:rowOff>180975</xdr:rowOff>
        </xdr:to>
        <xdr:sp macro="" textlink="">
          <xdr:nvSpPr>
            <xdr:cNvPr id="5633" name="Option Button 513" hidden="1">
              <a:extLst>
                <a:ext uri="{63B3BB69-23CF-44E3-9099-C40C66FF867C}">
                  <a14:compatExt spid="_x0000_s56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394</xdr:row>
          <xdr:rowOff>142875</xdr:rowOff>
        </xdr:from>
        <xdr:to>
          <xdr:col>21</xdr:col>
          <xdr:colOff>276225</xdr:colOff>
          <xdr:row>395</xdr:row>
          <xdr:rowOff>152400</xdr:rowOff>
        </xdr:to>
        <xdr:sp macro="" textlink="">
          <xdr:nvSpPr>
            <xdr:cNvPr id="5634" name="Option Button 514" hidden="1">
              <a:extLst>
                <a:ext uri="{63B3BB69-23CF-44E3-9099-C40C66FF867C}">
                  <a14:compatExt spid="_x0000_s56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402</xdr:row>
          <xdr:rowOff>38100</xdr:rowOff>
        </xdr:from>
        <xdr:to>
          <xdr:col>21</xdr:col>
          <xdr:colOff>276225</xdr:colOff>
          <xdr:row>403</xdr:row>
          <xdr:rowOff>38100</xdr:rowOff>
        </xdr:to>
        <xdr:sp macro="" textlink="">
          <xdr:nvSpPr>
            <xdr:cNvPr id="5635" name="Option Button 515" hidden="1">
              <a:extLst>
                <a:ext uri="{63B3BB69-23CF-44E3-9099-C40C66FF867C}">
                  <a14:compatExt spid="_x0000_s56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408</xdr:row>
          <xdr:rowOff>180975</xdr:rowOff>
        </xdr:from>
        <xdr:to>
          <xdr:col>21</xdr:col>
          <xdr:colOff>276225</xdr:colOff>
          <xdr:row>409</xdr:row>
          <xdr:rowOff>180975</xdr:rowOff>
        </xdr:to>
        <xdr:sp macro="" textlink="">
          <xdr:nvSpPr>
            <xdr:cNvPr id="5636" name="Option Button 516" hidden="1">
              <a:extLst>
                <a:ext uri="{63B3BB69-23CF-44E3-9099-C40C66FF867C}">
                  <a14:compatExt spid="_x0000_s56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415</xdr:row>
          <xdr:rowOff>171450</xdr:rowOff>
        </xdr:from>
        <xdr:to>
          <xdr:col>21</xdr:col>
          <xdr:colOff>276225</xdr:colOff>
          <xdr:row>416</xdr:row>
          <xdr:rowOff>180975</xdr:rowOff>
        </xdr:to>
        <xdr:sp macro="" textlink="">
          <xdr:nvSpPr>
            <xdr:cNvPr id="5637" name="Option Button 517" hidden="1">
              <a:extLst>
                <a:ext uri="{63B3BB69-23CF-44E3-9099-C40C66FF867C}">
                  <a14:compatExt spid="_x0000_s56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423</xdr:row>
          <xdr:rowOff>38100</xdr:rowOff>
        </xdr:from>
        <xdr:to>
          <xdr:col>21</xdr:col>
          <xdr:colOff>276225</xdr:colOff>
          <xdr:row>424</xdr:row>
          <xdr:rowOff>38100</xdr:rowOff>
        </xdr:to>
        <xdr:sp macro="" textlink="">
          <xdr:nvSpPr>
            <xdr:cNvPr id="5638" name="Option Button 518" hidden="1">
              <a:extLst>
                <a:ext uri="{63B3BB69-23CF-44E3-9099-C40C66FF867C}">
                  <a14:compatExt spid="_x0000_s56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372</xdr:row>
          <xdr:rowOff>200025</xdr:rowOff>
        </xdr:from>
        <xdr:to>
          <xdr:col>22</xdr:col>
          <xdr:colOff>276225</xdr:colOff>
          <xdr:row>372</xdr:row>
          <xdr:rowOff>390525</xdr:rowOff>
        </xdr:to>
        <xdr:sp macro="" textlink="">
          <xdr:nvSpPr>
            <xdr:cNvPr id="5639" name="Option Button 519" hidden="1">
              <a:extLst>
                <a:ext uri="{63B3BB69-23CF-44E3-9099-C40C66FF867C}">
                  <a14:compatExt spid="_x0000_s56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375</xdr:row>
          <xdr:rowOff>190500</xdr:rowOff>
        </xdr:from>
        <xdr:to>
          <xdr:col>22</xdr:col>
          <xdr:colOff>276225</xdr:colOff>
          <xdr:row>375</xdr:row>
          <xdr:rowOff>381000</xdr:rowOff>
        </xdr:to>
        <xdr:sp macro="" textlink="">
          <xdr:nvSpPr>
            <xdr:cNvPr id="5640" name="Option Button 520" hidden="1">
              <a:extLst>
                <a:ext uri="{63B3BB69-23CF-44E3-9099-C40C66FF867C}">
                  <a14:compatExt spid="_x0000_s56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377</xdr:row>
          <xdr:rowOff>409575</xdr:rowOff>
        </xdr:from>
        <xdr:to>
          <xdr:col>22</xdr:col>
          <xdr:colOff>276225</xdr:colOff>
          <xdr:row>377</xdr:row>
          <xdr:rowOff>609600</xdr:rowOff>
        </xdr:to>
        <xdr:sp macro="" textlink="">
          <xdr:nvSpPr>
            <xdr:cNvPr id="5641" name="Option Button 521" hidden="1">
              <a:extLst>
                <a:ext uri="{63B3BB69-23CF-44E3-9099-C40C66FF867C}">
                  <a14:compatExt spid="_x0000_s56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378</xdr:row>
          <xdr:rowOff>409575</xdr:rowOff>
        </xdr:from>
        <xdr:to>
          <xdr:col>22</xdr:col>
          <xdr:colOff>276225</xdr:colOff>
          <xdr:row>378</xdr:row>
          <xdr:rowOff>609600</xdr:rowOff>
        </xdr:to>
        <xdr:sp macro="" textlink="">
          <xdr:nvSpPr>
            <xdr:cNvPr id="5642" name="Option Button 522" hidden="1">
              <a:extLst>
                <a:ext uri="{63B3BB69-23CF-44E3-9099-C40C66FF867C}">
                  <a14:compatExt spid="_x0000_s56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387</xdr:row>
          <xdr:rowOff>171450</xdr:rowOff>
        </xdr:from>
        <xdr:to>
          <xdr:col>22</xdr:col>
          <xdr:colOff>276225</xdr:colOff>
          <xdr:row>388</xdr:row>
          <xdr:rowOff>180975</xdr:rowOff>
        </xdr:to>
        <xdr:sp macro="" textlink="">
          <xdr:nvSpPr>
            <xdr:cNvPr id="5643" name="Option Button 523" hidden="1">
              <a:extLst>
                <a:ext uri="{63B3BB69-23CF-44E3-9099-C40C66FF867C}">
                  <a14:compatExt spid="_x0000_s56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394</xdr:row>
          <xdr:rowOff>142875</xdr:rowOff>
        </xdr:from>
        <xdr:to>
          <xdr:col>22</xdr:col>
          <xdr:colOff>276225</xdr:colOff>
          <xdr:row>395</xdr:row>
          <xdr:rowOff>152400</xdr:rowOff>
        </xdr:to>
        <xdr:sp macro="" textlink="">
          <xdr:nvSpPr>
            <xdr:cNvPr id="5644" name="Option Button 524" hidden="1">
              <a:extLst>
                <a:ext uri="{63B3BB69-23CF-44E3-9099-C40C66FF867C}">
                  <a14:compatExt spid="_x0000_s56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402</xdr:row>
          <xdr:rowOff>38100</xdr:rowOff>
        </xdr:from>
        <xdr:to>
          <xdr:col>22</xdr:col>
          <xdr:colOff>276225</xdr:colOff>
          <xdr:row>403</xdr:row>
          <xdr:rowOff>38100</xdr:rowOff>
        </xdr:to>
        <xdr:sp macro="" textlink="">
          <xdr:nvSpPr>
            <xdr:cNvPr id="5645" name="Option Button 525" hidden="1">
              <a:extLst>
                <a:ext uri="{63B3BB69-23CF-44E3-9099-C40C66FF867C}">
                  <a14:compatExt spid="_x0000_s56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408</xdr:row>
          <xdr:rowOff>180975</xdr:rowOff>
        </xdr:from>
        <xdr:to>
          <xdr:col>22</xdr:col>
          <xdr:colOff>276225</xdr:colOff>
          <xdr:row>409</xdr:row>
          <xdr:rowOff>180975</xdr:rowOff>
        </xdr:to>
        <xdr:sp macro="" textlink="">
          <xdr:nvSpPr>
            <xdr:cNvPr id="5646" name="Option Button 526" hidden="1">
              <a:extLst>
                <a:ext uri="{63B3BB69-23CF-44E3-9099-C40C66FF867C}">
                  <a14:compatExt spid="_x0000_s56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415</xdr:row>
          <xdr:rowOff>171450</xdr:rowOff>
        </xdr:from>
        <xdr:to>
          <xdr:col>22</xdr:col>
          <xdr:colOff>276225</xdr:colOff>
          <xdr:row>416</xdr:row>
          <xdr:rowOff>180975</xdr:rowOff>
        </xdr:to>
        <xdr:sp macro="" textlink="">
          <xdr:nvSpPr>
            <xdr:cNvPr id="5647" name="Option Button 527" hidden="1">
              <a:extLst>
                <a:ext uri="{63B3BB69-23CF-44E3-9099-C40C66FF867C}">
                  <a14:compatExt spid="_x0000_s56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423</xdr:row>
          <xdr:rowOff>38100</xdr:rowOff>
        </xdr:from>
        <xdr:to>
          <xdr:col>22</xdr:col>
          <xdr:colOff>276225</xdr:colOff>
          <xdr:row>424</xdr:row>
          <xdr:rowOff>38100</xdr:rowOff>
        </xdr:to>
        <xdr:sp macro="" textlink="">
          <xdr:nvSpPr>
            <xdr:cNvPr id="5648" name="Option Button 528" hidden="1">
              <a:extLst>
                <a:ext uri="{63B3BB69-23CF-44E3-9099-C40C66FF867C}">
                  <a14:compatExt spid="_x0000_s56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372</xdr:row>
          <xdr:rowOff>200025</xdr:rowOff>
        </xdr:from>
        <xdr:to>
          <xdr:col>23</xdr:col>
          <xdr:colOff>276225</xdr:colOff>
          <xdr:row>372</xdr:row>
          <xdr:rowOff>390525</xdr:rowOff>
        </xdr:to>
        <xdr:sp macro="" textlink="">
          <xdr:nvSpPr>
            <xdr:cNvPr id="5649" name="Option Button 529" hidden="1">
              <a:extLst>
                <a:ext uri="{63B3BB69-23CF-44E3-9099-C40C66FF867C}">
                  <a14:compatExt spid="_x0000_s56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375</xdr:row>
          <xdr:rowOff>190500</xdr:rowOff>
        </xdr:from>
        <xdr:to>
          <xdr:col>23</xdr:col>
          <xdr:colOff>276225</xdr:colOff>
          <xdr:row>375</xdr:row>
          <xdr:rowOff>381000</xdr:rowOff>
        </xdr:to>
        <xdr:sp macro="" textlink="">
          <xdr:nvSpPr>
            <xdr:cNvPr id="5650" name="Option Button 530" hidden="1">
              <a:extLst>
                <a:ext uri="{63B3BB69-23CF-44E3-9099-C40C66FF867C}">
                  <a14:compatExt spid="_x0000_s56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378</xdr:row>
          <xdr:rowOff>409575</xdr:rowOff>
        </xdr:from>
        <xdr:to>
          <xdr:col>23</xdr:col>
          <xdr:colOff>276225</xdr:colOff>
          <xdr:row>378</xdr:row>
          <xdr:rowOff>609600</xdr:rowOff>
        </xdr:to>
        <xdr:sp macro="" textlink="">
          <xdr:nvSpPr>
            <xdr:cNvPr id="5652" name="Option Button 532" hidden="1">
              <a:extLst>
                <a:ext uri="{63B3BB69-23CF-44E3-9099-C40C66FF867C}">
                  <a14:compatExt spid="_x0000_s56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387</xdr:row>
          <xdr:rowOff>171450</xdr:rowOff>
        </xdr:from>
        <xdr:to>
          <xdr:col>23</xdr:col>
          <xdr:colOff>276225</xdr:colOff>
          <xdr:row>388</xdr:row>
          <xdr:rowOff>180975</xdr:rowOff>
        </xdr:to>
        <xdr:sp macro="" textlink="">
          <xdr:nvSpPr>
            <xdr:cNvPr id="5653" name="Option Button 533" hidden="1">
              <a:extLst>
                <a:ext uri="{63B3BB69-23CF-44E3-9099-C40C66FF867C}">
                  <a14:compatExt spid="_x0000_s56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394</xdr:row>
          <xdr:rowOff>142875</xdr:rowOff>
        </xdr:from>
        <xdr:to>
          <xdr:col>23</xdr:col>
          <xdr:colOff>276225</xdr:colOff>
          <xdr:row>395</xdr:row>
          <xdr:rowOff>152400</xdr:rowOff>
        </xdr:to>
        <xdr:sp macro="" textlink="">
          <xdr:nvSpPr>
            <xdr:cNvPr id="5654" name="Option Button 534" hidden="1">
              <a:extLst>
                <a:ext uri="{63B3BB69-23CF-44E3-9099-C40C66FF867C}">
                  <a14:compatExt spid="_x0000_s5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402</xdr:row>
          <xdr:rowOff>38100</xdr:rowOff>
        </xdr:from>
        <xdr:to>
          <xdr:col>23</xdr:col>
          <xdr:colOff>276225</xdr:colOff>
          <xdr:row>403</xdr:row>
          <xdr:rowOff>38100</xdr:rowOff>
        </xdr:to>
        <xdr:sp macro="" textlink="">
          <xdr:nvSpPr>
            <xdr:cNvPr id="5655" name="Option Button 535" hidden="1">
              <a:extLst>
                <a:ext uri="{63B3BB69-23CF-44E3-9099-C40C66FF867C}">
                  <a14:compatExt spid="_x0000_s56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408</xdr:row>
          <xdr:rowOff>180975</xdr:rowOff>
        </xdr:from>
        <xdr:to>
          <xdr:col>23</xdr:col>
          <xdr:colOff>276225</xdr:colOff>
          <xdr:row>409</xdr:row>
          <xdr:rowOff>180975</xdr:rowOff>
        </xdr:to>
        <xdr:sp macro="" textlink="">
          <xdr:nvSpPr>
            <xdr:cNvPr id="5656" name="Option Button 536" hidden="1">
              <a:extLst>
                <a:ext uri="{63B3BB69-23CF-44E3-9099-C40C66FF867C}">
                  <a14:compatExt spid="_x0000_s56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415</xdr:row>
          <xdr:rowOff>171450</xdr:rowOff>
        </xdr:from>
        <xdr:to>
          <xdr:col>23</xdr:col>
          <xdr:colOff>276225</xdr:colOff>
          <xdr:row>416</xdr:row>
          <xdr:rowOff>180975</xdr:rowOff>
        </xdr:to>
        <xdr:sp macro="" textlink="">
          <xdr:nvSpPr>
            <xdr:cNvPr id="5657" name="Option Button 537" hidden="1">
              <a:extLst>
                <a:ext uri="{63B3BB69-23CF-44E3-9099-C40C66FF867C}">
                  <a14:compatExt spid="_x0000_s56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423</xdr:row>
          <xdr:rowOff>38100</xdr:rowOff>
        </xdr:from>
        <xdr:to>
          <xdr:col>23</xdr:col>
          <xdr:colOff>276225</xdr:colOff>
          <xdr:row>424</xdr:row>
          <xdr:rowOff>38100</xdr:rowOff>
        </xdr:to>
        <xdr:sp macro="" textlink="">
          <xdr:nvSpPr>
            <xdr:cNvPr id="5658" name="Option Button 538" hidden="1">
              <a:extLst>
                <a:ext uri="{63B3BB69-23CF-44E3-9099-C40C66FF867C}">
                  <a14:compatExt spid="_x0000_s56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377</xdr:row>
          <xdr:rowOff>409575</xdr:rowOff>
        </xdr:from>
        <xdr:to>
          <xdr:col>23</xdr:col>
          <xdr:colOff>276225</xdr:colOff>
          <xdr:row>377</xdr:row>
          <xdr:rowOff>609600</xdr:rowOff>
        </xdr:to>
        <xdr:sp macro="" textlink="">
          <xdr:nvSpPr>
            <xdr:cNvPr id="5659" name="Option Button 539" hidden="1">
              <a:extLst>
                <a:ext uri="{63B3BB69-23CF-44E3-9099-C40C66FF867C}">
                  <a14:compatExt spid="_x0000_s56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436</xdr:row>
          <xdr:rowOff>0</xdr:rowOff>
        </xdr:from>
        <xdr:to>
          <xdr:col>23</xdr:col>
          <xdr:colOff>276225</xdr:colOff>
          <xdr:row>443</xdr:row>
          <xdr:rowOff>0</xdr:rowOff>
        </xdr:to>
        <xdr:sp macro="" textlink="">
          <xdr:nvSpPr>
            <xdr:cNvPr id="5662" name="Group Box 542" hidden="1">
              <a:extLst>
                <a:ext uri="{63B3BB69-23CF-44E3-9099-C40C66FF867C}">
                  <a14:compatExt spid="_x0000_s56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443</xdr:row>
          <xdr:rowOff>0</xdr:rowOff>
        </xdr:from>
        <xdr:to>
          <xdr:col>23</xdr:col>
          <xdr:colOff>276225</xdr:colOff>
          <xdr:row>449</xdr:row>
          <xdr:rowOff>200025</xdr:rowOff>
        </xdr:to>
        <xdr:sp macro="" textlink="">
          <xdr:nvSpPr>
            <xdr:cNvPr id="5669" name="Group Box 549" hidden="1">
              <a:extLst>
                <a:ext uri="{63B3BB69-23CF-44E3-9099-C40C66FF867C}">
                  <a14:compatExt spid="_x0000_s56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450</xdr:row>
          <xdr:rowOff>0</xdr:rowOff>
        </xdr:from>
        <xdr:to>
          <xdr:col>23</xdr:col>
          <xdr:colOff>276225</xdr:colOff>
          <xdr:row>451</xdr:row>
          <xdr:rowOff>0</xdr:rowOff>
        </xdr:to>
        <xdr:sp macro="" textlink="">
          <xdr:nvSpPr>
            <xdr:cNvPr id="5672" name="Group Box 552" hidden="1">
              <a:extLst>
                <a:ext uri="{63B3BB69-23CF-44E3-9099-C40C66FF867C}">
                  <a14:compatExt spid="_x0000_s56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452</xdr:row>
          <xdr:rowOff>0</xdr:rowOff>
        </xdr:from>
        <xdr:to>
          <xdr:col>23</xdr:col>
          <xdr:colOff>276225</xdr:colOff>
          <xdr:row>453</xdr:row>
          <xdr:rowOff>0</xdr:rowOff>
        </xdr:to>
        <xdr:sp macro="" textlink="">
          <xdr:nvSpPr>
            <xdr:cNvPr id="5674" name="Group Box 554" hidden="1">
              <a:extLst>
                <a:ext uri="{63B3BB69-23CF-44E3-9099-C40C66FF867C}">
                  <a14:compatExt spid="_x0000_s56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466</xdr:row>
          <xdr:rowOff>0</xdr:rowOff>
        </xdr:from>
        <xdr:to>
          <xdr:col>23</xdr:col>
          <xdr:colOff>276225</xdr:colOff>
          <xdr:row>472</xdr:row>
          <xdr:rowOff>9525</xdr:rowOff>
        </xdr:to>
        <xdr:sp macro="" textlink="">
          <xdr:nvSpPr>
            <xdr:cNvPr id="5676" name="Group Box 556" hidden="1">
              <a:extLst>
                <a:ext uri="{63B3BB69-23CF-44E3-9099-C40C66FF867C}">
                  <a14:compatExt spid="_x0000_s56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485</xdr:row>
          <xdr:rowOff>0</xdr:rowOff>
        </xdr:from>
        <xdr:to>
          <xdr:col>23</xdr:col>
          <xdr:colOff>276225</xdr:colOff>
          <xdr:row>486</xdr:row>
          <xdr:rowOff>533400</xdr:rowOff>
        </xdr:to>
        <xdr:sp macro="" textlink="">
          <xdr:nvSpPr>
            <xdr:cNvPr id="5678" name="Group Box 558" hidden="1">
              <a:extLst>
                <a:ext uri="{63B3BB69-23CF-44E3-9099-C40C66FF867C}">
                  <a14:compatExt spid="_x0000_s56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493</xdr:row>
          <xdr:rowOff>0</xdr:rowOff>
        </xdr:from>
        <xdr:to>
          <xdr:col>23</xdr:col>
          <xdr:colOff>276225</xdr:colOff>
          <xdr:row>495</xdr:row>
          <xdr:rowOff>0</xdr:rowOff>
        </xdr:to>
        <xdr:sp macro="" textlink="">
          <xdr:nvSpPr>
            <xdr:cNvPr id="5679" name="Group Box 559" hidden="1">
              <a:extLst>
                <a:ext uri="{63B3BB69-23CF-44E3-9099-C40C66FF867C}">
                  <a14:compatExt spid="_x0000_s56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510</xdr:row>
          <xdr:rowOff>0</xdr:rowOff>
        </xdr:from>
        <xdr:to>
          <xdr:col>23</xdr:col>
          <xdr:colOff>276225</xdr:colOff>
          <xdr:row>515</xdr:row>
          <xdr:rowOff>152400</xdr:rowOff>
        </xdr:to>
        <xdr:sp macro="" textlink="">
          <xdr:nvSpPr>
            <xdr:cNvPr id="5681" name="Group Box 561" hidden="1">
              <a:extLst>
                <a:ext uri="{63B3BB69-23CF-44E3-9099-C40C66FF867C}">
                  <a14:compatExt spid="_x0000_s56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522</xdr:row>
          <xdr:rowOff>0</xdr:rowOff>
        </xdr:from>
        <xdr:to>
          <xdr:col>23</xdr:col>
          <xdr:colOff>276225</xdr:colOff>
          <xdr:row>527</xdr:row>
          <xdr:rowOff>152400</xdr:rowOff>
        </xdr:to>
        <xdr:sp macro="" textlink="">
          <xdr:nvSpPr>
            <xdr:cNvPr id="5683" name="Group Box 563" hidden="1">
              <a:extLst>
                <a:ext uri="{63B3BB69-23CF-44E3-9099-C40C66FF867C}">
                  <a14:compatExt spid="_x0000_s56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534</xdr:row>
          <xdr:rowOff>0</xdr:rowOff>
        </xdr:from>
        <xdr:to>
          <xdr:col>23</xdr:col>
          <xdr:colOff>276225</xdr:colOff>
          <xdr:row>540</xdr:row>
          <xdr:rowOff>0</xdr:rowOff>
        </xdr:to>
        <xdr:sp macro="" textlink="">
          <xdr:nvSpPr>
            <xdr:cNvPr id="5684" name="Group Box 564" hidden="1">
              <a:extLst>
                <a:ext uri="{63B3BB69-23CF-44E3-9099-C40C66FF867C}">
                  <a14:compatExt spid="_x0000_s56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546</xdr:row>
          <xdr:rowOff>0</xdr:rowOff>
        </xdr:from>
        <xdr:to>
          <xdr:col>23</xdr:col>
          <xdr:colOff>276225</xdr:colOff>
          <xdr:row>552</xdr:row>
          <xdr:rowOff>0</xdr:rowOff>
        </xdr:to>
        <xdr:sp macro="" textlink="">
          <xdr:nvSpPr>
            <xdr:cNvPr id="5686" name="Group Box 566" hidden="1">
              <a:extLst>
                <a:ext uri="{63B3BB69-23CF-44E3-9099-C40C66FF867C}">
                  <a14:compatExt spid="_x0000_s56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558</xdr:row>
          <xdr:rowOff>0</xdr:rowOff>
        </xdr:from>
        <xdr:to>
          <xdr:col>23</xdr:col>
          <xdr:colOff>276225</xdr:colOff>
          <xdr:row>564</xdr:row>
          <xdr:rowOff>0</xdr:rowOff>
        </xdr:to>
        <xdr:sp macro="" textlink="">
          <xdr:nvSpPr>
            <xdr:cNvPr id="5688" name="Group Box 568" hidden="1">
              <a:extLst>
                <a:ext uri="{63B3BB69-23CF-44E3-9099-C40C66FF867C}">
                  <a14:compatExt spid="_x0000_s56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564</xdr:row>
          <xdr:rowOff>0</xdr:rowOff>
        </xdr:from>
        <xdr:to>
          <xdr:col>23</xdr:col>
          <xdr:colOff>276225</xdr:colOff>
          <xdr:row>570</xdr:row>
          <xdr:rowOff>0</xdr:rowOff>
        </xdr:to>
        <xdr:sp macro="" textlink="">
          <xdr:nvSpPr>
            <xdr:cNvPr id="5689" name="Group Box 569" hidden="1">
              <a:extLst>
                <a:ext uri="{63B3BB69-23CF-44E3-9099-C40C66FF867C}">
                  <a14:compatExt spid="_x0000_s56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439</xdr:row>
          <xdr:rowOff>9525</xdr:rowOff>
        </xdr:from>
        <xdr:to>
          <xdr:col>19</xdr:col>
          <xdr:colOff>276225</xdr:colOff>
          <xdr:row>440</xdr:row>
          <xdr:rowOff>0</xdr:rowOff>
        </xdr:to>
        <xdr:sp macro="" textlink="">
          <xdr:nvSpPr>
            <xdr:cNvPr id="5698" name="Option Button 578" hidden="1">
              <a:extLst>
                <a:ext uri="{63B3BB69-23CF-44E3-9099-C40C66FF867C}">
                  <a14:compatExt spid="_x0000_s56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445</xdr:row>
          <xdr:rowOff>200025</xdr:rowOff>
        </xdr:from>
        <xdr:to>
          <xdr:col>19</xdr:col>
          <xdr:colOff>276225</xdr:colOff>
          <xdr:row>446</xdr:row>
          <xdr:rowOff>190500</xdr:rowOff>
        </xdr:to>
        <xdr:sp macro="" textlink="">
          <xdr:nvSpPr>
            <xdr:cNvPr id="5699" name="Option Button 579" hidden="1">
              <a:extLst>
                <a:ext uri="{63B3BB69-23CF-44E3-9099-C40C66FF867C}">
                  <a14:compatExt spid="_x0000_s56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450</xdr:row>
          <xdr:rowOff>457200</xdr:rowOff>
        </xdr:from>
        <xdr:to>
          <xdr:col>19</xdr:col>
          <xdr:colOff>276225</xdr:colOff>
          <xdr:row>450</xdr:row>
          <xdr:rowOff>657225</xdr:rowOff>
        </xdr:to>
        <xdr:sp macro="" textlink="">
          <xdr:nvSpPr>
            <xdr:cNvPr id="5700" name="Option Button 580" hidden="1">
              <a:extLst>
                <a:ext uri="{63B3BB69-23CF-44E3-9099-C40C66FF867C}">
                  <a14:compatExt spid="_x0000_s57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451</xdr:row>
          <xdr:rowOff>457200</xdr:rowOff>
        </xdr:from>
        <xdr:to>
          <xdr:col>19</xdr:col>
          <xdr:colOff>276225</xdr:colOff>
          <xdr:row>451</xdr:row>
          <xdr:rowOff>657225</xdr:rowOff>
        </xdr:to>
        <xdr:sp macro="" textlink="">
          <xdr:nvSpPr>
            <xdr:cNvPr id="5701" name="Option Button 581" hidden="1">
              <a:extLst>
                <a:ext uri="{63B3BB69-23CF-44E3-9099-C40C66FF867C}">
                  <a14:compatExt spid="_x0000_s57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452</xdr:row>
          <xdr:rowOff>457200</xdr:rowOff>
        </xdr:from>
        <xdr:to>
          <xdr:col>19</xdr:col>
          <xdr:colOff>276225</xdr:colOff>
          <xdr:row>452</xdr:row>
          <xdr:rowOff>657225</xdr:rowOff>
        </xdr:to>
        <xdr:sp macro="" textlink="">
          <xdr:nvSpPr>
            <xdr:cNvPr id="5702" name="Option Button 582" hidden="1">
              <a:extLst>
                <a:ext uri="{63B3BB69-23CF-44E3-9099-C40C66FF867C}">
                  <a14:compatExt spid="_x0000_s57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462</xdr:row>
          <xdr:rowOff>114300</xdr:rowOff>
        </xdr:from>
        <xdr:to>
          <xdr:col>19</xdr:col>
          <xdr:colOff>276225</xdr:colOff>
          <xdr:row>463</xdr:row>
          <xdr:rowOff>95250</xdr:rowOff>
        </xdr:to>
        <xdr:sp macro="" textlink="">
          <xdr:nvSpPr>
            <xdr:cNvPr id="5703" name="Option Button 583" hidden="1">
              <a:extLst>
                <a:ext uri="{63B3BB69-23CF-44E3-9099-C40C66FF867C}">
                  <a14:compatExt spid="_x0000_s57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468</xdr:row>
          <xdr:rowOff>114300</xdr:rowOff>
        </xdr:from>
        <xdr:to>
          <xdr:col>19</xdr:col>
          <xdr:colOff>276225</xdr:colOff>
          <xdr:row>469</xdr:row>
          <xdr:rowOff>95250</xdr:rowOff>
        </xdr:to>
        <xdr:sp macro="" textlink="">
          <xdr:nvSpPr>
            <xdr:cNvPr id="5704" name="Option Button 584" hidden="1">
              <a:extLst>
                <a:ext uri="{63B3BB69-23CF-44E3-9099-C40C66FF867C}">
                  <a14:compatExt spid="_x0000_s57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474</xdr:row>
          <xdr:rowOff>76200</xdr:rowOff>
        </xdr:from>
        <xdr:to>
          <xdr:col>19</xdr:col>
          <xdr:colOff>276225</xdr:colOff>
          <xdr:row>475</xdr:row>
          <xdr:rowOff>57150</xdr:rowOff>
        </xdr:to>
        <xdr:sp macro="" textlink="">
          <xdr:nvSpPr>
            <xdr:cNvPr id="5705" name="Option Button 585" hidden="1">
              <a:extLst>
                <a:ext uri="{63B3BB69-23CF-44E3-9099-C40C66FF867C}">
                  <a14:compatExt spid="_x0000_s57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485</xdr:row>
          <xdr:rowOff>457200</xdr:rowOff>
        </xdr:from>
        <xdr:to>
          <xdr:col>19</xdr:col>
          <xdr:colOff>276225</xdr:colOff>
          <xdr:row>486</xdr:row>
          <xdr:rowOff>104775</xdr:rowOff>
        </xdr:to>
        <xdr:sp macro="" textlink="">
          <xdr:nvSpPr>
            <xdr:cNvPr id="5706" name="Option Button 586" hidden="1">
              <a:extLst>
                <a:ext uri="{63B3BB69-23CF-44E3-9099-C40C66FF867C}">
                  <a14:compatExt spid="_x0000_s57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493</xdr:row>
          <xdr:rowOff>457200</xdr:rowOff>
        </xdr:from>
        <xdr:to>
          <xdr:col>19</xdr:col>
          <xdr:colOff>276225</xdr:colOff>
          <xdr:row>494</xdr:row>
          <xdr:rowOff>104775</xdr:rowOff>
        </xdr:to>
        <xdr:sp macro="" textlink="">
          <xdr:nvSpPr>
            <xdr:cNvPr id="5707" name="Option Button 587" hidden="1">
              <a:extLst>
                <a:ext uri="{63B3BB69-23CF-44E3-9099-C40C66FF867C}">
                  <a14:compatExt spid="_x0000_s57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501</xdr:row>
          <xdr:rowOff>457200</xdr:rowOff>
        </xdr:from>
        <xdr:to>
          <xdr:col>19</xdr:col>
          <xdr:colOff>276225</xdr:colOff>
          <xdr:row>502</xdr:row>
          <xdr:rowOff>104775</xdr:rowOff>
        </xdr:to>
        <xdr:sp macro="" textlink="">
          <xdr:nvSpPr>
            <xdr:cNvPr id="5708" name="Option Button 588" hidden="1">
              <a:extLst>
                <a:ext uri="{63B3BB69-23CF-44E3-9099-C40C66FF867C}">
                  <a14:compatExt spid="_x0000_s57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512</xdr:row>
          <xdr:rowOff>66675</xdr:rowOff>
        </xdr:from>
        <xdr:to>
          <xdr:col>19</xdr:col>
          <xdr:colOff>276225</xdr:colOff>
          <xdr:row>513</xdr:row>
          <xdr:rowOff>85725</xdr:rowOff>
        </xdr:to>
        <xdr:sp macro="" textlink="">
          <xdr:nvSpPr>
            <xdr:cNvPr id="5709" name="Option Button 589" hidden="1">
              <a:extLst>
                <a:ext uri="{63B3BB69-23CF-44E3-9099-C40C66FF867C}">
                  <a14:compatExt spid="_x0000_s57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518</xdr:row>
          <xdr:rowOff>114300</xdr:rowOff>
        </xdr:from>
        <xdr:to>
          <xdr:col>19</xdr:col>
          <xdr:colOff>276225</xdr:colOff>
          <xdr:row>519</xdr:row>
          <xdr:rowOff>133350</xdr:rowOff>
        </xdr:to>
        <xdr:sp macro="" textlink="">
          <xdr:nvSpPr>
            <xdr:cNvPr id="5710" name="Option Button 590" hidden="1">
              <a:extLst>
                <a:ext uri="{63B3BB69-23CF-44E3-9099-C40C66FF867C}">
                  <a14:compatExt spid="_x0000_s57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524</xdr:row>
          <xdr:rowOff>57150</xdr:rowOff>
        </xdr:from>
        <xdr:to>
          <xdr:col>19</xdr:col>
          <xdr:colOff>276225</xdr:colOff>
          <xdr:row>525</xdr:row>
          <xdr:rowOff>85725</xdr:rowOff>
        </xdr:to>
        <xdr:sp macro="" textlink="">
          <xdr:nvSpPr>
            <xdr:cNvPr id="5711" name="Option Button 591" hidden="1">
              <a:extLst>
                <a:ext uri="{63B3BB69-23CF-44E3-9099-C40C66FF867C}">
                  <a14:compatExt spid="_x0000_s57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536</xdr:row>
          <xdr:rowOff>76200</xdr:rowOff>
        </xdr:from>
        <xdr:to>
          <xdr:col>19</xdr:col>
          <xdr:colOff>276225</xdr:colOff>
          <xdr:row>537</xdr:row>
          <xdr:rowOff>57150</xdr:rowOff>
        </xdr:to>
        <xdr:sp macro="" textlink="">
          <xdr:nvSpPr>
            <xdr:cNvPr id="5712" name="Option Button 592" hidden="1">
              <a:extLst>
                <a:ext uri="{63B3BB69-23CF-44E3-9099-C40C66FF867C}">
                  <a14:compatExt spid="_x0000_s57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542</xdr:row>
          <xdr:rowOff>66675</xdr:rowOff>
        </xdr:from>
        <xdr:to>
          <xdr:col>19</xdr:col>
          <xdr:colOff>276225</xdr:colOff>
          <xdr:row>543</xdr:row>
          <xdr:rowOff>57150</xdr:rowOff>
        </xdr:to>
        <xdr:sp macro="" textlink="">
          <xdr:nvSpPr>
            <xdr:cNvPr id="5713" name="Option Button 593" hidden="1">
              <a:extLst>
                <a:ext uri="{63B3BB69-23CF-44E3-9099-C40C66FF867C}">
                  <a14:compatExt spid="_x0000_s57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548</xdr:row>
          <xdr:rowOff>76200</xdr:rowOff>
        </xdr:from>
        <xdr:to>
          <xdr:col>19</xdr:col>
          <xdr:colOff>276225</xdr:colOff>
          <xdr:row>549</xdr:row>
          <xdr:rowOff>57150</xdr:rowOff>
        </xdr:to>
        <xdr:sp macro="" textlink="">
          <xdr:nvSpPr>
            <xdr:cNvPr id="5714" name="Option Button 594" hidden="1">
              <a:extLst>
                <a:ext uri="{63B3BB69-23CF-44E3-9099-C40C66FF867C}">
                  <a14:compatExt spid="_x0000_s57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554</xdr:row>
          <xdr:rowOff>76200</xdr:rowOff>
        </xdr:from>
        <xdr:to>
          <xdr:col>19</xdr:col>
          <xdr:colOff>276225</xdr:colOff>
          <xdr:row>555</xdr:row>
          <xdr:rowOff>57150</xdr:rowOff>
        </xdr:to>
        <xdr:sp macro="" textlink="">
          <xdr:nvSpPr>
            <xdr:cNvPr id="5715" name="Option Button 595" hidden="1">
              <a:extLst>
                <a:ext uri="{63B3BB69-23CF-44E3-9099-C40C66FF867C}">
                  <a14:compatExt spid="_x0000_s57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560</xdr:row>
          <xdr:rowOff>114300</xdr:rowOff>
        </xdr:from>
        <xdr:to>
          <xdr:col>19</xdr:col>
          <xdr:colOff>276225</xdr:colOff>
          <xdr:row>561</xdr:row>
          <xdr:rowOff>95250</xdr:rowOff>
        </xdr:to>
        <xdr:sp macro="" textlink="">
          <xdr:nvSpPr>
            <xdr:cNvPr id="5716" name="Option Button 596" hidden="1">
              <a:extLst>
                <a:ext uri="{63B3BB69-23CF-44E3-9099-C40C66FF867C}">
                  <a14:compatExt spid="_x0000_s57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566</xdr:row>
          <xdr:rowOff>114300</xdr:rowOff>
        </xdr:from>
        <xdr:to>
          <xdr:col>19</xdr:col>
          <xdr:colOff>276225</xdr:colOff>
          <xdr:row>567</xdr:row>
          <xdr:rowOff>95250</xdr:rowOff>
        </xdr:to>
        <xdr:sp macro="" textlink="">
          <xdr:nvSpPr>
            <xdr:cNvPr id="5717" name="Option Button 597" hidden="1">
              <a:extLst>
                <a:ext uri="{63B3BB69-23CF-44E3-9099-C40C66FF867C}">
                  <a14:compatExt spid="_x0000_s57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439</xdr:row>
          <xdr:rowOff>19050</xdr:rowOff>
        </xdr:from>
        <xdr:to>
          <xdr:col>20</xdr:col>
          <xdr:colOff>276225</xdr:colOff>
          <xdr:row>440</xdr:row>
          <xdr:rowOff>9525</xdr:rowOff>
        </xdr:to>
        <xdr:sp macro="" textlink="">
          <xdr:nvSpPr>
            <xdr:cNvPr id="5725" name="Option Button 605" hidden="1">
              <a:extLst>
                <a:ext uri="{63B3BB69-23CF-44E3-9099-C40C66FF867C}">
                  <a14:compatExt spid="_x0000_s57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446</xdr:row>
          <xdr:rowOff>19050</xdr:rowOff>
        </xdr:from>
        <xdr:to>
          <xdr:col>20</xdr:col>
          <xdr:colOff>276225</xdr:colOff>
          <xdr:row>447</xdr:row>
          <xdr:rowOff>9525</xdr:rowOff>
        </xdr:to>
        <xdr:sp macro="" textlink="">
          <xdr:nvSpPr>
            <xdr:cNvPr id="5726" name="Option Button 606" hidden="1">
              <a:extLst>
                <a:ext uri="{63B3BB69-23CF-44E3-9099-C40C66FF867C}">
                  <a14:compatExt spid="_x0000_s57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450</xdr:row>
          <xdr:rowOff>476250</xdr:rowOff>
        </xdr:from>
        <xdr:to>
          <xdr:col>20</xdr:col>
          <xdr:colOff>276225</xdr:colOff>
          <xdr:row>450</xdr:row>
          <xdr:rowOff>666750</xdr:rowOff>
        </xdr:to>
        <xdr:sp macro="" textlink="">
          <xdr:nvSpPr>
            <xdr:cNvPr id="5727" name="Option Button 607" hidden="1">
              <a:extLst>
                <a:ext uri="{63B3BB69-23CF-44E3-9099-C40C66FF867C}">
                  <a14:compatExt spid="_x0000_s57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451</xdr:row>
          <xdr:rowOff>476250</xdr:rowOff>
        </xdr:from>
        <xdr:to>
          <xdr:col>20</xdr:col>
          <xdr:colOff>276225</xdr:colOff>
          <xdr:row>451</xdr:row>
          <xdr:rowOff>666750</xdr:rowOff>
        </xdr:to>
        <xdr:sp macro="" textlink="">
          <xdr:nvSpPr>
            <xdr:cNvPr id="5728" name="Option Button 608" hidden="1">
              <a:extLst>
                <a:ext uri="{63B3BB69-23CF-44E3-9099-C40C66FF867C}">
                  <a14:compatExt spid="_x0000_s57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452</xdr:row>
          <xdr:rowOff>476250</xdr:rowOff>
        </xdr:from>
        <xdr:to>
          <xdr:col>20</xdr:col>
          <xdr:colOff>276225</xdr:colOff>
          <xdr:row>452</xdr:row>
          <xdr:rowOff>666750</xdr:rowOff>
        </xdr:to>
        <xdr:sp macro="" textlink="">
          <xdr:nvSpPr>
            <xdr:cNvPr id="5729" name="Option Button 609" hidden="1">
              <a:extLst>
                <a:ext uri="{63B3BB69-23CF-44E3-9099-C40C66FF867C}">
                  <a14:compatExt spid="_x0000_s57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462</xdr:row>
          <xdr:rowOff>133350</xdr:rowOff>
        </xdr:from>
        <xdr:to>
          <xdr:col>20</xdr:col>
          <xdr:colOff>276225</xdr:colOff>
          <xdr:row>463</xdr:row>
          <xdr:rowOff>104775</xdr:rowOff>
        </xdr:to>
        <xdr:sp macro="" textlink="">
          <xdr:nvSpPr>
            <xdr:cNvPr id="5730" name="Option Button 610" hidden="1">
              <a:extLst>
                <a:ext uri="{63B3BB69-23CF-44E3-9099-C40C66FF867C}">
                  <a14:compatExt spid="_x0000_s57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468</xdr:row>
          <xdr:rowOff>123825</xdr:rowOff>
        </xdr:from>
        <xdr:to>
          <xdr:col>20</xdr:col>
          <xdr:colOff>276225</xdr:colOff>
          <xdr:row>469</xdr:row>
          <xdr:rowOff>104775</xdr:rowOff>
        </xdr:to>
        <xdr:sp macro="" textlink="">
          <xdr:nvSpPr>
            <xdr:cNvPr id="5731" name="Option Button 611" hidden="1">
              <a:extLst>
                <a:ext uri="{63B3BB69-23CF-44E3-9099-C40C66FF867C}">
                  <a14:compatExt spid="_x0000_s57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474</xdr:row>
          <xdr:rowOff>85725</xdr:rowOff>
        </xdr:from>
        <xdr:to>
          <xdr:col>20</xdr:col>
          <xdr:colOff>276225</xdr:colOff>
          <xdr:row>475</xdr:row>
          <xdr:rowOff>66675</xdr:rowOff>
        </xdr:to>
        <xdr:sp macro="" textlink="">
          <xdr:nvSpPr>
            <xdr:cNvPr id="5732" name="Option Button 612" hidden="1">
              <a:extLst>
                <a:ext uri="{63B3BB69-23CF-44E3-9099-C40C66FF867C}">
                  <a14:compatExt spid="_x0000_s57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485</xdr:row>
          <xdr:rowOff>476250</xdr:rowOff>
        </xdr:from>
        <xdr:to>
          <xdr:col>20</xdr:col>
          <xdr:colOff>276225</xdr:colOff>
          <xdr:row>486</xdr:row>
          <xdr:rowOff>133350</xdr:rowOff>
        </xdr:to>
        <xdr:sp macro="" textlink="">
          <xdr:nvSpPr>
            <xdr:cNvPr id="5733" name="Option Button 613" hidden="1">
              <a:extLst>
                <a:ext uri="{63B3BB69-23CF-44E3-9099-C40C66FF867C}">
                  <a14:compatExt spid="_x0000_s57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493</xdr:row>
          <xdr:rowOff>476250</xdr:rowOff>
        </xdr:from>
        <xdr:to>
          <xdr:col>20</xdr:col>
          <xdr:colOff>276225</xdr:colOff>
          <xdr:row>494</xdr:row>
          <xdr:rowOff>133350</xdr:rowOff>
        </xdr:to>
        <xdr:sp macro="" textlink="">
          <xdr:nvSpPr>
            <xdr:cNvPr id="5734" name="Option Button 614" hidden="1">
              <a:extLst>
                <a:ext uri="{63B3BB69-23CF-44E3-9099-C40C66FF867C}">
                  <a14:compatExt spid="_x0000_s57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501</xdr:row>
          <xdr:rowOff>476250</xdr:rowOff>
        </xdr:from>
        <xdr:to>
          <xdr:col>20</xdr:col>
          <xdr:colOff>276225</xdr:colOff>
          <xdr:row>502</xdr:row>
          <xdr:rowOff>133350</xdr:rowOff>
        </xdr:to>
        <xdr:sp macro="" textlink="">
          <xdr:nvSpPr>
            <xdr:cNvPr id="5735" name="Option Button 615" hidden="1">
              <a:extLst>
                <a:ext uri="{63B3BB69-23CF-44E3-9099-C40C66FF867C}">
                  <a14:compatExt spid="_x0000_s57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512</xdr:row>
          <xdr:rowOff>95250</xdr:rowOff>
        </xdr:from>
        <xdr:to>
          <xdr:col>20</xdr:col>
          <xdr:colOff>276225</xdr:colOff>
          <xdr:row>513</xdr:row>
          <xdr:rowOff>123825</xdr:rowOff>
        </xdr:to>
        <xdr:sp macro="" textlink="">
          <xdr:nvSpPr>
            <xdr:cNvPr id="5736" name="Option Button 616" hidden="1">
              <a:extLst>
                <a:ext uri="{63B3BB69-23CF-44E3-9099-C40C66FF867C}">
                  <a14:compatExt spid="_x0000_s57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518</xdr:row>
          <xdr:rowOff>152400</xdr:rowOff>
        </xdr:from>
        <xdr:to>
          <xdr:col>20</xdr:col>
          <xdr:colOff>276225</xdr:colOff>
          <xdr:row>520</xdr:row>
          <xdr:rowOff>9525</xdr:rowOff>
        </xdr:to>
        <xdr:sp macro="" textlink="">
          <xdr:nvSpPr>
            <xdr:cNvPr id="5737" name="Option Button 617" hidden="1">
              <a:extLst>
                <a:ext uri="{63B3BB69-23CF-44E3-9099-C40C66FF867C}">
                  <a14:compatExt spid="_x0000_s57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524</xdr:row>
          <xdr:rowOff>95250</xdr:rowOff>
        </xdr:from>
        <xdr:to>
          <xdr:col>20</xdr:col>
          <xdr:colOff>276225</xdr:colOff>
          <xdr:row>525</xdr:row>
          <xdr:rowOff>104775</xdr:rowOff>
        </xdr:to>
        <xdr:sp macro="" textlink="">
          <xdr:nvSpPr>
            <xdr:cNvPr id="5738" name="Option Button 618" hidden="1">
              <a:extLst>
                <a:ext uri="{63B3BB69-23CF-44E3-9099-C40C66FF867C}">
                  <a14:compatExt spid="_x0000_s57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536</xdr:row>
          <xdr:rowOff>95250</xdr:rowOff>
        </xdr:from>
        <xdr:to>
          <xdr:col>20</xdr:col>
          <xdr:colOff>276225</xdr:colOff>
          <xdr:row>537</xdr:row>
          <xdr:rowOff>85725</xdr:rowOff>
        </xdr:to>
        <xdr:sp macro="" textlink="">
          <xdr:nvSpPr>
            <xdr:cNvPr id="5739" name="Option Button 619" hidden="1">
              <a:extLst>
                <a:ext uri="{63B3BB69-23CF-44E3-9099-C40C66FF867C}">
                  <a14:compatExt spid="_x0000_s5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542</xdr:row>
          <xdr:rowOff>85725</xdr:rowOff>
        </xdr:from>
        <xdr:to>
          <xdr:col>20</xdr:col>
          <xdr:colOff>276225</xdr:colOff>
          <xdr:row>543</xdr:row>
          <xdr:rowOff>66675</xdr:rowOff>
        </xdr:to>
        <xdr:sp macro="" textlink="">
          <xdr:nvSpPr>
            <xdr:cNvPr id="5740" name="Option Button 620" hidden="1">
              <a:extLst>
                <a:ext uri="{63B3BB69-23CF-44E3-9099-C40C66FF867C}">
                  <a14:compatExt spid="_x0000_s57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548</xdr:row>
          <xdr:rowOff>95250</xdr:rowOff>
        </xdr:from>
        <xdr:to>
          <xdr:col>20</xdr:col>
          <xdr:colOff>276225</xdr:colOff>
          <xdr:row>549</xdr:row>
          <xdr:rowOff>85725</xdr:rowOff>
        </xdr:to>
        <xdr:sp macro="" textlink="">
          <xdr:nvSpPr>
            <xdr:cNvPr id="5741" name="Option Button 621" hidden="1">
              <a:extLst>
                <a:ext uri="{63B3BB69-23CF-44E3-9099-C40C66FF867C}">
                  <a14:compatExt spid="_x0000_s57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554</xdr:row>
          <xdr:rowOff>95250</xdr:rowOff>
        </xdr:from>
        <xdr:to>
          <xdr:col>20</xdr:col>
          <xdr:colOff>276225</xdr:colOff>
          <xdr:row>555</xdr:row>
          <xdr:rowOff>85725</xdr:rowOff>
        </xdr:to>
        <xdr:sp macro="" textlink="">
          <xdr:nvSpPr>
            <xdr:cNvPr id="5742" name="Option Button 622" hidden="1">
              <a:extLst>
                <a:ext uri="{63B3BB69-23CF-44E3-9099-C40C66FF867C}">
                  <a14:compatExt spid="_x0000_s57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560</xdr:row>
          <xdr:rowOff>133350</xdr:rowOff>
        </xdr:from>
        <xdr:to>
          <xdr:col>20</xdr:col>
          <xdr:colOff>276225</xdr:colOff>
          <xdr:row>561</xdr:row>
          <xdr:rowOff>104775</xdr:rowOff>
        </xdr:to>
        <xdr:sp macro="" textlink="">
          <xdr:nvSpPr>
            <xdr:cNvPr id="5743" name="Option Button 623" hidden="1">
              <a:extLst>
                <a:ext uri="{63B3BB69-23CF-44E3-9099-C40C66FF867C}">
                  <a14:compatExt spid="_x0000_s57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566</xdr:row>
          <xdr:rowOff>133350</xdr:rowOff>
        </xdr:from>
        <xdr:to>
          <xdr:col>20</xdr:col>
          <xdr:colOff>276225</xdr:colOff>
          <xdr:row>567</xdr:row>
          <xdr:rowOff>104775</xdr:rowOff>
        </xdr:to>
        <xdr:sp macro="" textlink="">
          <xdr:nvSpPr>
            <xdr:cNvPr id="5744" name="Option Button 624" hidden="1">
              <a:extLst>
                <a:ext uri="{63B3BB69-23CF-44E3-9099-C40C66FF867C}">
                  <a14:compatExt spid="_x0000_s57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439</xdr:row>
          <xdr:rowOff>9525</xdr:rowOff>
        </xdr:from>
        <xdr:to>
          <xdr:col>21</xdr:col>
          <xdr:colOff>276225</xdr:colOff>
          <xdr:row>440</xdr:row>
          <xdr:rowOff>0</xdr:rowOff>
        </xdr:to>
        <xdr:sp macro="" textlink="">
          <xdr:nvSpPr>
            <xdr:cNvPr id="5752" name="Option Button 632" hidden="1">
              <a:extLst>
                <a:ext uri="{63B3BB69-23CF-44E3-9099-C40C66FF867C}">
                  <a14:compatExt spid="_x0000_s57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446</xdr:row>
          <xdr:rowOff>0</xdr:rowOff>
        </xdr:from>
        <xdr:to>
          <xdr:col>21</xdr:col>
          <xdr:colOff>276225</xdr:colOff>
          <xdr:row>447</xdr:row>
          <xdr:rowOff>0</xdr:rowOff>
        </xdr:to>
        <xdr:sp macro="" textlink="">
          <xdr:nvSpPr>
            <xdr:cNvPr id="5753" name="Option Button 633" hidden="1">
              <a:extLst>
                <a:ext uri="{63B3BB69-23CF-44E3-9099-C40C66FF867C}">
                  <a14:compatExt spid="_x0000_s57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450</xdr:row>
          <xdr:rowOff>466725</xdr:rowOff>
        </xdr:from>
        <xdr:to>
          <xdr:col>21</xdr:col>
          <xdr:colOff>276225</xdr:colOff>
          <xdr:row>450</xdr:row>
          <xdr:rowOff>657225</xdr:rowOff>
        </xdr:to>
        <xdr:sp macro="" textlink="">
          <xdr:nvSpPr>
            <xdr:cNvPr id="5754" name="Option Button 634" hidden="1">
              <a:extLst>
                <a:ext uri="{63B3BB69-23CF-44E3-9099-C40C66FF867C}">
                  <a14:compatExt spid="_x0000_s57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451</xdr:row>
          <xdr:rowOff>466725</xdr:rowOff>
        </xdr:from>
        <xdr:to>
          <xdr:col>21</xdr:col>
          <xdr:colOff>276225</xdr:colOff>
          <xdr:row>451</xdr:row>
          <xdr:rowOff>657225</xdr:rowOff>
        </xdr:to>
        <xdr:sp macro="" textlink="">
          <xdr:nvSpPr>
            <xdr:cNvPr id="5755" name="Option Button 635" hidden="1">
              <a:extLst>
                <a:ext uri="{63B3BB69-23CF-44E3-9099-C40C66FF867C}">
                  <a14:compatExt spid="_x0000_s57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452</xdr:row>
          <xdr:rowOff>466725</xdr:rowOff>
        </xdr:from>
        <xdr:to>
          <xdr:col>21</xdr:col>
          <xdr:colOff>276225</xdr:colOff>
          <xdr:row>452</xdr:row>
          <xdr:rowOff>657225</xdr:rowOff>
        </xdr:to>
        <xdr:sp macro="" textlink="">
          <xdr:nvSpPr>
            <xdr:cNvPr id="5756" name="Option Button 636" hidden="1">
              <a:extLst>
                <a:ext uri="{63B3BB69-23CF-44E3-9099-C40C66FF867C}">
                  <a14:compatExt spid="_x0000_s57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462</xdr:row>
          <xdr:rowOff>114300</xdr:rowOff>
        </xdr:from>
        <xdr:to>
          <xdr:col>21</xdr:col>
          <xdr:colOff>276225</xdr:colOff>
          <xdr:row>463</xdr:row>
          <xdr:rowOff>95250</xdr:rowOff>
        </xdr:to>
        <xdr:sp macro="" textlink="">
          <xdr:nvSpPr>
            <xdr:cNvPr id="5757" name="Option Button 637" hidden="1">
              <a:extLst>
                <a:ext uri="{63B3BB69-23CF-44E3-9099-C40C66FF867C}">
                  <a14:compatExt spid="_x0000_s57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468</xdr:row>
          <xdr:rowOff>114300</xdr:rowOff>
        </xdr:from>
        <xdr:to>
          <xdr:col>21</xdr:col>
          <xdr:colOff>276225</xdr:colOff>
          <xdr:row>469</xdr:row>
          <xdr:rowOff>95250</xdr:rowOff>
        </xdr:to>
        <xdr:sp macro="" textlink="">
          <xdr:nvSpPr>
            <xdr:cNvPr id="5758" name="Option Button 638" hidden="1">
              <a:extLst>
                <a:ext uri="{63B3BB69-23CF-44E3-9099-C40C66FF867C}">
                  <a14:compatExt spid="_x0000_s57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474</xdr:row>
          <xdr:rowOff>76200</xdr:rowOff>
        </xdr:from>
        <xdr:to>
          <xdr:col>21</xdr:col>
          <xdr:colOff>276225</xdr:colOff>
          <xdr:row>475</xdr:row>
          <xdr:rowOff>57150</xdr:rowOff>
        </xdr:to>
        <xdr:sp macro="" textlink="">
          <xdr:nvSpPr>
            <xdr:cNvPr id="5759" name="Option Button 639" hidden="1">
              <a:extLst>
                <a:ext uri="{63B3BB69-23CF-44E3-9099-C40C66FF867C}">
                  <a14:compatExt spid="_x0000_s57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485</xdr:row>
          <xdr:rowOff>466725</xdr:rowOff>
        </xdr:from>
        <xdr:to>
          <xdr:col>21</xdr:col>
          <xdr:colOff>276225</xdr:colOff>
          <xdr:row>486</xdr:row>
          <xdr:rowOff>123825</xdr:rowOff>
        </xdr:to>
        <xdr:sp macro="" textlink="">
          <xdr:nvSpPr>
            <xdr:cNvPr id="5760" name="Option Button 640" hidden="1">
              <a:extLst>
                <a:ext uri="{63B3BB69-23CF-44E3-9099-C40C66FF867C}">
                  <a14:compatExt spid="_x0000_s57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493</xdr:row>
          <xdr:rowOff>466725</xdr:rowOff>
        </xdr:from>
        <xdr:to>
          <xdr:col>21</xdr:col>
          <xdr:colOff>276225</xdr:colOff>
          <xdr:row>494</xdr:row>
          <xdr:rowOff>123825</xdr:rowOff>
        </xdr:to>
        <xdr:sp macro="" textlink="">
          <xdr:nvSpPr>
            <xdr:cNvPr id="5761" name="Option Button 641" hidden="1">
              <a:extLst>
                <a:ext uri="{63B3BB69-23CF-44E3-9099-C40C66FF867C}">
                  <a14:compatExt spid="_x0000_s57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501</xdr:row>
          <xdr:rowOff>466725</xdr:rowOff>
        </xdr:from>
        <xdr:to>
          <xdr:col>21</xdr:col>
          <xdr:colOff>276225</xdr:colOff>
          <xdr:row>502</xdr:row>
          <xdr:rowOff>123825</xdr:rowOff>
        </xdr:to>
        <xdr:sp macro="" textlink="">
          <xdr:nvSpPr>
            <xdr:cNvPr id="5762" name="Option Button 642" hidden="1">
              <a:extLst>
                <a:ext uri="{63B3BB69-23CF-44E3-9099-C40C66FF867C}">
                  <a14:compatExt spid="_x0000_s57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512</xdr:row>
          <xdr:rowOff>85725</xdr:rowOff>
        </xdr:from>
        <xdr:to>
          <xdr:col>21</xdr:col>
          <xdr:colOff>276225</xdr:colOff>
          <xdr:row>513</xdr:row>
          <xdr:rowOff>104775</xdr:rowOff>
        </xdr:to>
        <xdr:sp macro="" textlink="">
          <xdr:nvSpPr>
            <xdr:cNvPr id="5763" name="Option Button 643" hidden="1">
              <a:extLst>
                <a:ext uri="{63B3BB69-23CF-44E3-9099-C40C66FF867C}">
                  <a14:compatExt spid="_x0000_s57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518</xdr:row>
          <xdr:rowOff>142875</xdr:rowOff>
        </xdr:from>
        <xdr:to>
          <xdr:col>21</xdr:col>
          <xdr:colOff>276225</xdr:colOff>
          <xdr:row>520</xdr:row>
          <xdr:rowOff>9525</xdr:rowOff>
        </xdr:to>
        <xdr:sp macro="" textlink="">
          <xdr:nvSpPr>
            <xdr:cNvPr id="5764" name="Option Button 644" hidden="1">
              <a:extLst>
                <a:ext uri="{63B3BB69-23CF-44E3-9099-C40C66FF867C}">
                  <a14:compatExt spid="_x0000_s57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524</xdr:row>
          <xdr:rowOff>85725</xdr:rowOff>
        </xdr:from>
        <xdr:to>
          <xdr:col>21</xdr:col>
          <xdr:colOff>276225</xdr:colOff>
          <xdr:row>525</xdr:row>
          <xdr:rowOff>104775</xdr:rowOff>
        </xdr:to>
        <xdr:sp macro="" textlink="">
          <xdr:nvSpPr>
            <xdr:cNvPr id="5765" name="Option Button 645" hidden="1">
              <a:extLst>
                <a:ext uri="{63B3BB69-23CF-44E3-9099-C40C66FF867C}">
                  <a14:compatExt spid="_x0000_s57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536</xdr:row>
          <xdr:rowOff>76200</xdr:rowOff>
        </xdr:from>
        <xdr:to>
          <xdr:col>21</xdr:col>
          <xdr:colOff>276225</xdr:colOff>
          <xdr:row>537</xdr:row>
          <xdr:rowOff>66675</xdr:rowOff>
        </xdr:to>
        <xdr:sp macro="" textlink="">
          <xdr:nvSpPr>
            <xdr:cNvPr id="5766" name="Option Button 646" hidden="1">
              <a:extLst>
                <a:ext uri="{63B3BB69-23CF-44E3-9099-C40C66FF867C}">
                  <a14:compatExt spid="_x0000_s57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542</xdr:row>
          <xdr:rowOff>76200</xdr:rowOff>
        </xdr:from>
        <xdr:to>
          <xdr:col>21</xdr:col>
          <xdr:colOff>276225</xdr:colOff>
          <xdr:row>543</xdr:row>
          <xdr:rowOff>57150</xdr:rowOff>
        </xdr:to>
        <xdr:sp macro="" textlink="">
          <xdr:nvSpPr>
            <xdr:cNvPr id="5767" name="Option Button 647" hidden="1">
              <a:extLst>
                <a:ext uri="{63B3BB69-23CF-44E3-9099-C40C66FF867C}">
                  <a14:compatExt spid="_x0000_s57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548</xdr:row>
          <xdr:rowOff>85725</xdr:rowOff>
        </xdr:from>
        <xdr:to>
          <xdr:col>21</xdr:col>
          <xdr:colOff>276225</xdr:colOff>
          <xdr:row>549</xdr:row>
          <xdr:rowOff>66675</xdr:rowOff>
        </xdr:to>
        <xdr:sp macro="" textlink="">
          <xdr:nvSpPr>
            <xdr:cNvPr id="5768" name="Option Button 648" hidden="1">
              <a:extLst>
                <a:ext uri="{63B3BB69-23CF-44E3-9099-C40C66FF867C}">
                  <a14:compatExt spid="_x0000_s57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554</xdr:row>
          <xdr:rowOff>85725</xdr:rowOff>
        </xdr:from>
        <xdr:to>
          <xdr:col>21</xdr:col>
          <xdr:colOff>276225</xdr:colOff>
          <xdr:row>555</xdr:row>
          <xdr:rowOff>66675</xdr:rowOff>
        </xdr:to>
        <xdr:sp macro="" textlink="">
          <xdr:nvSpPr>
            <xdr:cNvPr id="5769" name="Option Button 649" hidden="1">
              <a:extLst>
                <a:ext uri="{63B3BB69-23CF-44E3-9099-C40C66FF867C}">
                  <a14:compatExt spid="_x0000_s57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560</xdr:row>
          <xdr:rowOff>123825</xdr:rowOff>
        </xdr:from>
        <xdr:to>
          <xdr:col>21</xdr:col>
          <xdr:colOff>276225</xdr:colOff>
          <xdr:row>561</xdr:row>
          <xdr:rowOff>104775</xdr:rowOff>
        </xdr:to>
        <xdr:sp macro="" textlink="">
          <xdr:nvSpPr>
            <xdr:cNvPr id="5770" name="Option Button 650" hidden="1">
              <a:extLst>
                <a:ext uri="{63B3BB69-23CF-44E3-9099-C40C66FF867C}">
                  <a14:compatExt spid="_x0000_s57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566</xdr:row>
          <xdr:rowOff>123825</xdr:rowOff>
        </xdr:from>
        <xdr:to>
          <xdr:col>21</xdr:col>
          <xdr:colOff>276225</xdr:colOff>
          <xdr:row>567</xdr:row>
          <xdr:rowOff>104775</xdr:rowOff>
        </xdr:to>
        <xdr:sp macro="" textlink="">
          <xdr:nvSpPr>
            <xdr:cNvPr id="5771" name="Option Button 651" hidden="1">
              <a:extLst>
                <a:ext uri="{63B3BB69-23CF-44E3-9099-C40C66FF867C}">
                  <a14:compatExt spid="_x0000_s57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439</xdr:row>
          <xdr:rowOff>9525</xdr:rowOff>
        </xdr:from>
        <xdr:to>
          <xdr:col>22</xdr:col>
          <xdr:colOff>276225</xdr:colOff>
          <xdr:row>440</xdr:row>
          <xdr:rowOff>0</xdr:rowOff>
        </xdr:to>
        <xdr:sp macro="" textlink="">
          <xdr:nvSpPr>
            <xdr:cNvPr id="5779" name="Option Button 659" hidden="1">
              <a:extLst>
                <a:ext uri="{63B3BB69-23CF-44E3-9099-C40C66FF867C}">
                  <a14:compatExt spid="_x0000_s57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446</xdr:row>
          <xdr:rowOff>0</xdr:rowOff>
        </xdr:from>
        <xdr:to>
          <xdr:col>22</xdr:col>
          <xdr:colOff>276225</xdr:colOff>
          <xdr:row>447</xdr:row>
          <xdr:rowOff>0</xdr:rowOff>
        </xdr:to>
        <xdr:sp macro="" textlink="">
          <xdr:nvSpPr>
            <xdr:cNvPr id="5780" name="Option Button 660" hidden="1">
              <a:extLst>
                <a:ext uri="{63B3BB69-23CF-44E3-9099-C40C66FF867C}">
                  <a14:compatExt spid="_x0000_s57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450</xdr:row>
          <xdr:rowOff>466725</xdr:rowOff>
        </xdr:from>
        <xdr:to>
          <xdr:col>22</xdr:col>
          <xdr:colOff>276225</xdr:colOff>
          <xdr:row>450</xdr:row>
          <xdr:rowOff>657225</xdr:rowOff>
        </xdr:to>
        <xdr:sp macro="" textlink="">
          <xdr:nvSpPr>
            <xdr:cNvPr id="5781" name="Option Button 661" hidden="1">
              <a:extLst>
                <a:ext uri="{63B3BB69-23CF-44E3-9099-C40C66FF867C}">
                  <a14:compatExt spid="_x0000_s57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451</xdr:row>
          <xdr:rowOff>466725</xdr:rowOff>
        </xdr:from>
        <xdr:to>
          <xdr:col>22</xdr:col>
          <xdr:colOff>276225</xdr:colOff>
          <xdr:row>451</xdr:row>
          <xdr:rowOff>657225</xdr:rowOff>
        </xdr:to>
        <xdr:sp macro="" textlink="">
          <xdr:nvSpPr>
            <xdr:cNvPr id="5782" name="Option Button 662" hidden="1">
              <a:extLst>
                <a:ext uri="{63B3BB69-23CF-44E3-9099-C40C66FF867C}">
                  <a14:compatExt spid="_x0000_s57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452</xdr:row>
          <xdr:rowOff>466725</xdr:rowOff>
        </xdr:from>
        <xdr:to>
          <xdr:col>22</xdr:col>
          <xdr:colOff>276225</xdr:colOff>
          <xdr:row>452</xdr:row>
          <xdr:rowOff>657225</xdr:rowOff>
        </xdr:to>
        <xdr:sp macro="" textlink="">
          <xdr:nvSpPr>
            <xdr:cNvPr id="5783" name="Option Button 663" hidden="1">
              <a:extLst>
                <a:ext uri="{63B3BB69-23CF-44E3-9099-C40C66FF867C}">
                  <a14:compatExt spid="_x0000_s57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462</xdr:row>
          <xdr:rowOff>114300</xdr:rowOff>
        </xdr:from>
        <xdr:to>
          <xdr:col>22</xdr:col>
          <xdr:colOff>276225</xdr:colOff>
          <xdr:row>463</xdr:row>
          <xdr:rowOff>95250</xdr:rowOff>
        </xdr:to>
        <xdr:sp macro="" textlink="">
          <xdr:nvSpPr>
            <xdr:cNvPr id="5784" name="Option Button 664" hidden="1">
              <a:extLst>
                <a:ext uri="{63B3BB69-23CF-44E3-9099-C40C66FF867C}">
                  <a14:compatExt spid="_x0000_s57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468</xdr:row>
          <xdr:rowOff>114300</xdr:rowOff>
        </xdr:from>
        <xdr:to>
          <xdr:col>22</xdr:col>
          <xdr:colOff>276225</xdr:colOff>
          <xdr:row>469</xdr:row>
          <xdr:rowOff>95250</xdr:rowOff>
        </xdr:to>
        <xdr:sp macro="" textlink="">
          <xdr:nvSpPr>
            <xdr:cNvPr id="5785" name="Option Button 665" hidden="1">
              <a:extLst>
                <a:ext uri="{63B3BB69-23CF-44E3-9099-C40C66FF867C}">
                  <a14:compatExt spid="_x0000_s57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474</xdr:row>
          <xdr:rowOff>76200</xdr:rowOff>
        </xdr:from>
        <xdr:to>
          <xdr:col>22</xdr:col>
          <xdr:colOff>276225</xdr:colOff>
          <xdr:row>475</xdr:row>
          <xdr:rowOff>57150</xdr:rowOff>
        </xdr:to>
        <xdr:sp macro="" textlink="">
          <xdr:nvSpPr>
            <xdr:cNvPr id="5786" name="Option Button 666" hidden="1">
              <a:extLst>
                <a:ext uri="{63B3BB69-23CF-44E3-9099-C40C66FF867C}">
                  <a14:compatExt spid="_x0000_s57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485</xdr:row>
          <xdr:rowOff>466725</xdr:rowOff>
        </xdr:from>
        <xdr:to>
          <xdr:col>22</xdr:col>
          <xdr:colOff>276225</xdr:colOff>
          <xdr:row>486</xdr:row>
          <xdr:rowOff>123825</xdr:rowOff>
        </xdr:to>
        <xdr:sp macro="" textlink="">
          <xdr:nvSpPr>
            <xdr:cNvPr id="5787" name="Option Button 667" hidden="1">
              <a:extLst>
                <a:ext uri="{63B3BB69-23CF-44E3-9099-C40C66FF867C}">
                  <a14:compatExt spid="_x0000_s57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493</xdr:row>
          <xdr:rowOff>466725</xdr:rowOff>
        </xdr:from>
        <xdr:to>
          <xdr:col>22</xdr:col>
          <xdr:colOff>276225</xdr:colOff>
          <xdr:row>494</xdr:row>
          <xdr:rowOff>123825</xdr:rowOff>
        </xdr:to>
        <xdr:sp macro="" textlink="">
          <xdr:nvSpPr>
            <xdr:cNvPr id="5788" name="Option Button 668" hidden="1">
              <a:extLst>
                <a:ext uri="{63B3BB69-23CF-44E3-9099-C40C66FF867C}">
                  <a14:compatExt spid="_x0000_s57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501</xdr:row>
          <xdr:rowOff>466725</xdr:rowOff>
        </xdr:from>
        <xdr:to>
          <xdr:col>22</xdr:col>
          <xdr:colOff>276225</xdr:colOff>
          <xdr:row>502</xdr:row>
          <xdr:rowOff>123825</xdr:rowOff>
        </xdr:to>
        <xdr:sp macro="" textlink="">
          <xdr:nvSpPr>
            <xdr:cNvPr id="5789" name="Option Button 669" hidden="1">
              <a:extLst>
                <a:ext uri="{63B3BB69-23CF-44E3-9099-C40C66FF867C}">
                  <a14:compatExt spid="_x0000_s57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512</xdr:row>
          <xdr:rowOff>85725</xdr:rowOff>
        </xdr:from>
        <xdr:to>
          <xdr:col>22</xdr:col>
          <xdr:colOff>276225</xdr:colOff>
          <xdr:row>513</xdr:row>
          <xdr:rowOff>104775</xdr:rowOff>
        </xdr:to>
        <xdr:sp macro="" textlink="">
          <xdr:nvSpPr>
            <xdr:cNvPr id="5790" name="Option Button 670" hidden="1">
              <a:extLst>
                <a:ext uri="{63B3BB69-23CF-44E3-9099-C40C66FF867C}">
                  <a14:compatExt spid="_x0000_s57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518</xdr:row>
          <xdr:rowOff>142875</xdr:rowOff>
        </xdr:from>
        <xdr:to>
          <xdr:col>22</xdr:col>
          <xdr:colOff>276225</xdr:colOff>
          <xdr:row>520</xdr:row>
          <xdr:rowOff>9525</xdr:rowOff>
        </xdr:to>
        <xdr:sp macro="" textlink="">
          <xdr:nvSpPr>
            <xdr:cNvPr id="5791" name="Option Button 671" hidden="1">
              <a:extLst>
                <a:ext uri="{63B3BB69-23CF-44E3-9099-C40C66FF867C}">
                  <a14:compatExt spid="_x0000_s57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524</xdr:row>
          <xdr:rowOff>85725</xdr:rowOff>
        </xdr:from>
        <xdr:to>
          <xdr:col>22</xdr:col>
          <xdr:colOff>276225</xdr:colOff>
          <xdr:row>525</xdr:row>
          <xdr:rowOff>104775</xdr:rowOff>
        </xdr:to>
        <xdr:sp macro="" textlink="">
          <xdr:nvSpPr>
            <xdr:cNvPr id="5792" name="Option Button 672" hidden="1">
              <a:extLst>
                <a:ext uri="{63B3BB69-23CF-44E3-9099-C40C66FF867C}">
                  <a14:compatExt spid="_x0000_s57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536</xdr:row>
          <xdr:rowOff>76200</xdr:rowOff>
        </xdr:from>
        <xdr:to>
          <xdr:col>22</xdr:col>
          <xdr:colOff>276225</xdr:colOff>
          <xdr:row>537</xdr:row>
          <xdr:rowOff>66675</xdr:rowOff>
        </xdr:to>
        <xdr:sp macro="" textlink="">
          <xdr:nvSpPr>
            <xdr:cNvPr id="5793" name="Option Button 673" hidden="1">
              <a:extLst>
                <a:ext uri="{63B3BB69-23CF-44E3-9099-C40C66FF867C}">
                  <a14:compatExt spid="_x0000_s57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542</xdr:row>
          <xdr:rowOff>76200</xdr:rowOff>
        </xdr:from>
        <xdr:to>
          <xdr:col>22</xdr:col>
          <xdr:colOff>276225</xdr:colOff>
          <xdr:row>543</xdr:row>
          <xdr:rowOff>57150</xdr:rowOff>
        </xdr:to>
        <xdr:sp macro="" textlink="">
          <xdr:nvSpPr>
            <xdr:cNvPr id="5794" name="Option Button 674" hidden="1">
              <a:extLst>
                <a:ext uri="{63B3BB69-23CF-44E3-9099-C40C66FF867C}">
                  <a14:compatExt spid="_x0000_s57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548</xdr:row>
          <xdr:rowOff>85725</xdr:rowOff>
        </xdr:from>
        <xdr:to>
          <xdr:col>22</xdr:col>
          <xdr:colOff>276225</xdr:colOff>
          <xdr:row>549</xdr:row>
          <xdr:rowOff>66675</xdr:rowOff>
        </xdr:to>
        <xdr:sp macro="" textlink="">
          <xdr:nvSpPr>
            <xdr:cNvPr id="5795" name="Option Button 675" hidden="1">
              <a:extLst>
                <a:ext uri="{63B3BB69-23CF-44E3-9099-C40C66FF867C}">
                  <a14:compatExt spid="_x0000_s57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554</xdr:row>
          <xdr:rowOff>85725</xdr:rowOff>
        </xdr:from>
        <xdr:to>
          <xdr:col>22</xdr:col>
          <xdr:colOff>276225</xdr:colOff>
          <xdr:row>555</xdr:row>
          <xdr:rowOff>66675</xdr:rowOff>
        </xdr:to>
        <xdr:sp macro="" textlink="">
          <xdr:nvSpPr>
            <xdr:cNvPr id="5796" name="Option Button 676" hidden="1">
              <a:extLst>
                <a:ext uri="{63B3BB69-23CF-44E3-9099-C40C66FF867C}">
                  <a14:compatExt spid="_x0000_s57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560</xdr:row>
          <xdr:rowOff>123825</xdr:rowOff>
        </xdr:from>
        <xdr:to>
          <xdr:col>22</xdr:col>
          <xdr:colOff>276225</xdr:colOff>
          <xdr:row>561</xdr:row>
          <xdr:rowOff>104775</xdr:rowOff>
        </xdr:to>
        <xdr:sp macro="" textlink="">
          <xdr:nvSpPr>
            <xdr:cNvPr id="5797" name="Option Button 677" hidden="1">
              <a:extLst>
                <a:ext uri="{63B3BB69-23CF-44E3-9099-C40C66FF867C}">
                  <a14:compatExt spid="_x0000_s57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566</xdr:row>
          <xdr:rowOff>123825</xdr:rowOff>
        </xdr:from>
        <xdr:to>
          <xdr:col>22</xdr:col>
          <xdr:colOff>276225</xdr:colOff>
          <xdr:row>567</xdr:row>
          <xdr:rowOff>104775</xdr:rowOff>
        </xdr:to>
        <xdr:sp macro="" textlink="">
          <xdr:nvSpPr>
            <xdr:cNvPr id="5798" name="Option Button 678" hidden="1">
              <a:extLst>
                <a:ext uri="{63B3BB69-23CF-44E3-9099-C40C66FF867C}">
                  <a14:compatExt spid="_x0000_s57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445</xdr:row>
          <xdr:rowOff>190500</xdr:rowOff>
        </xdr:from>
        <xdr:to>
          <xdr:col>23</xdr:col>
          <xdr:colOff>276225</xdr:colOff>
          <xdr:row>446</xdr:row>
          <xdr:rowOff>180975</xdr:rowOff>
        </xdr:to>
        <xdr:sp macro="" textlink="">
          <xdr:nvSpPr>
            <xdr:cNvPr id="5807" name="Option Button 687" hidden="1">
              <a:extLst>
                <a:ext uri="{63B3BB69-23CF-44E3-9099-C40C66FF867C}">
                  <a14:compatExt spid="_x0000_s58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450</xdr:row>
          <xdr:rowOff>457200</xdr:rowOff>
        </xdr:from>
        <xdr:to>
          <xdr:col>23</xdr:col>
          <xdr:colOff>276225</xdr:colOff>
          <xdr:row>450</xdr:row>
          <xdr:rowOff>657225</xdr:rowOff>
        </xdr:to>
        <xdr:sp macro="" textlink="">
          <xdr:nvSpPr>
            <xdr:cNvPr id="5808" name="Option Button 688" hidden="1">
              <a:extLst>
                <a:ext uri="{63B3BB69-23CF-44E3-9099-C40C66FF867C}">
                  <a14:compatExt spid="_x0000_s58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451</xdr:row>
          <xdr:rowOff>457200</xdr:rowOff>
        </xdr:from>
        <xdr:to>
          <xdr:col>23</xdr:col>
          <xdr:colOff>276225</xdr:colOff>
          <xdr:row>451</xdr:row>
          <xdr:rowOff>657225</xdr:rowOff>
        </xdr:to>
        <xdr:sp macro="" textlink="">
          <xdr:nvSpPr>
            <xdr:cNvPr id="5809" name="Option Button 689" hidden="1">
              <a:extLst>
                <a:ext uri="{63B3BB69-23CF-44E3-9099-C40C66FF867C}">
                  <a14:compatExt spid="_x0000_s58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452</xdr:row>
          <xdr:rowOff>457200</xdr:rowOff>
        </xdr:from>
        <xdr:to>
          <xdr:col>23</xdr:col>
          <xdr:colOff>276225</xdr:colOff>
          <xdr:row>452</xdr:row>
          <xdr:rowOff>657225</xdr:rowOff>
        </xdr:to>
        <xdr:sp macro="" textlink="">
          <xdr:nvSpPr>
            <xdr:cNvPr id="5810" name="Option Button 690" hidden="1">
              <a:extLst>
                <a:ext uri="{63B3BB69-23CF-44E3-9099-C40C66FF867C}">
                  <a14:compatExt spid="_x0000_s58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462</xdr:row>
          <xdr:rowOff>104775</xdr:rowOff>
        </xdr:from>
        <xdr:to>
          <xdr:col>23</xdr:col>
          <xdr:colOff>276225</xdr:colOff>
          <xdr:row>463</xdr:row>
          <xdr:rowOff>85725</xdr:rowOff>
        </xdr:to>
        <xdr:sp macro="" textlink="">
          <xdr:nvSpPr>
            <xdr:cNvPr id="5811" name="Option Button 691" hidden="1">
              <a:extLst>
                <a:ext uri="{63B3BB69-23CF-44E3-9099-C40C66FF867C}">
                  <a14:compatExt spid="_x0000_s58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468</xdr:row>
          <xdr:rowOff>104775</xdr:rowOff>
        </xdr:from>
        <xdr:to>
          <xdr:col>23</xdr:col>
          <xdr:colOff>276225</xdr:colOff>
          <xdr:row>469</xdr:row>
          <xdr:rowOff>85725</xdr:rowOff>
        </xdr:to>
        <xdr:sp macro="" textlink="">
          <xdr:nvSpPr>
            <xdr:cNvPr id="5812" name="Option Button 692" hidden="1">
              <a:extLst>
                <a:ext uri="{63B3BB69-23CF-44E3-9099-C40C66FF867C}">
                  <a14:compatExt spid="_x0000_s58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474</xdr:row>
          <xdr:rowOff>66675</xdr:rowOff>
        </xdr:from>
        <xdr:to>
          <xdr:col>23</xdr:col>
          <xdr:colOff>276225</xdr:colOff>
          <xdr:row>475</xdr:row>
          <xdr:rowOff>57150</xdr:rowOff>
        </xdr:to>
        <xdr:sp macro="" textlink="">
          <xdr:nvSpPr>
            <xdr:cNvPr id="5813" name="Option Button 693" hidden="1">
              <a:extLst>
                <a:ext uri="{63B3BB69-23CF-44E3-9099-C40C66FF867C}">
                  <a14:compatExt spid="_x0000_s58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485</xdr:row>
          <xdr:rowOff>457200</xdr:rowOff>
        </xdr:from>
        <xdr:to>
          <xdr:col>23</xdr:col>
          <xdr:colOff>276225</xdr:colOff>
          <xdr:row>486</xdr:row>
          <xdr:rowOff>104775</xdr:rowOff>
        </xdr:to>
        <xdr:sp macro="" textlink="">
          <xdr:nvSpPr>
            <xdr:cNvPr id="5814" name="Option Button 694" hidden="1">
              <a:extLst>
                <a:ext uri="{63B3BB69-23CF-44E3-9099-C40C66FF867C}">
                  <a14:compatExt spid="_x0000_s58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493</xdr:row>
          <xdr:rowOff>457200</xdr:rowOff>
        </xdr:from>
        <xdr:to>
          <xdr:col>23</xdr:col>
          <xdr:colOff>276225</xdr:colOff>
          <xdr:row>494</xdr:row>
          <xdr:rowOff>104775</xdr:rowOff>
        </xdr:to>
        <xdr:sp macro="" textlink="">
          <xdr:nvSpPr>
            <xdr:cNvPr id="5815" name="Option Button 695" hidden="1">
              <a:extLst>
                <a:ext uri="{63B3BB69-23CF-44E3-9099-C40C66FF867C}">
                  <a14:compatExt spid="_x0000_s58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501</xdr:row>
          <xdr:rowOff>457200</xdr:rowOff>
        </xdr:from>
        <xdr:to>
          <xdr:col>23</xdr:col>
          <xdr:colOff>276225</xdr:colOff>
          <xdr:row>502</xdr:row>
          <xdr:rowOff>104775</xdr:rowOff>
        </xdr:to>
        <xdr:sp macro="" textlink="">
          <xdr:nvSpPr>
            <xdr:cNvPr id="5816" name="Option Button 696" hidden="1">
              <a:extLst>
                <a:ext uri="{63B3BB69-23CF-44E3-9099-C40C66FF867C}">
                  <a14:compatExt spid="_x0000_s58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512</xdr:row>
          <xdr:rowOff>76200</xdr:rowOff>
        </xdr:from>
        <xdr:to>
          <xdr:col>23</xdr:col>
          <xdr:colOff>276225</xdr:colOff>
          <xdr:row>513</xdr:row>
          <xdr:rowOff>95250</xdr:rowOff>
        </xdr:to>
        <xdr:sp macro="" textlink="">
          <xdr:nvSpPr>
            <xdr:cNvPr id="5817" name="Option Button 697" hidden="1">
              <a:extLst>
                <a:ext uri="{63B3BB69-23CF-44E3-9099-C40C66FF867C}">
                  <a14:compatExt spid="_x0000_s58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518</xdr:row>
          <xdr:rowOff>133350</xdr:rowOff>
        </xdr:from>
        <xdr:to>
          <xdr:col>23</xdr:col>
          <xdr:colOff>276225</xdr:colOff>
          <xdr:row>519</xdr:row>
          <xdr:rowOff>152400</xdr:rowOff>
        </xdr:to>
        <xdr:sp macro="" textlink="">
          <xdr:nvSpPr>
            <xdr:cNvPr id="5818" name="Option Button 698" hidden="1">
              <a:extLst>
                <a:ext uri="{63B3BB69-23CF-44E3-9099-C40C66FF867C}">
                  <a14:compatExt spid="_x0000_s58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524</xdr:row>
          <xdr:rowOff>76200</xdr:rowOff>
        </xdr:from>
        <xdr:to>
          <xdr:col>23</xdr:col>
          <xdr:colOff>276225</xdr:colOff>
          <xdr:row>525</xdr:row>
          <xdr:rowOff>95250</xdr:rowOff>
        </xdr:to>
        <xdr:sp macro="" textlink="">
          <xdr:nvSpPr>
            <xdr:cNvPr id="5819" name="Option Button 699" hidden="1">
              <a:extLst>
                <a:ext uri="{63B3BB69-23CF-44E3-9099-C40C66FF867C}">
                  <a14:compatExt spid="_x0000_s58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536</xdr:row>
          <xdr:rowOff>66675</xdr:rowOff>
        </xdr:from>
        <xdr:to>
          <xdr:col>23</xdr:col>
          <xdr:colOff>276225</xdr:colOff>
          <xdr:row>537</xdr:row>
          <xdr:rowOff>57150</xdr:rowOff>
        </xdr:to>
        <xdr:sp macro="" textlink="">
          <xdr:nvSpPr>
            <xdr:cNvPr id="5820" name="Option Button 700" hidden="1">
              <a:extLst>
                <a:ext uri="{63B3BB69-23CF-44E3-9099-C40C66FF867C}">
                  <a14:compatExt spid="_x0000_s58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542</xdr:row>
          <xdr:rowOff>57150</xdr:rowOff>
        </xdr:from>
        <xdr:to>
          <xdr:col>23</xdr:col>
          <xdr:colOff>276225</xdr:colOff>
          <xdr:row>543</xdr:row>
          <xdr:rowOff>38100</xdr:rowOff>
        </xdr:to>
        <xdr:sp macro="" textlink="">
          <xdr:nvSpPr>
            <xdr:cNvPr id="5821" name="Option Button 701" hidden="1">
              <a:extLst>
                <a:ext uri="{63B3BB69-23CF-44E3-9099-C40C66FF867C}">
                  <a14:compatExt spid="_x0000_s58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548</xdr:row>
          <xdr:rowOff>66675</xdr:rowOff>
        </xdr:from>
        <xdr:to>
          <xdr:col>23</xdr:col>
          <xdr:colOff>276225</xdr:colOff>
          <xdr:row>549</xdr:row>
          <xdr:rowOff>57150</xdr:rowOff>
        </xdr:to>
        <xdr:sp macro="" textlink="">
          <xdr:nvSpPr>
            <xdr:cNvPr id="5822" name="Option Button 702" hidden="1">
              <a:extLst>
                <a:ext uri="{63B3BB69-23CF-44E3-9099-C40C66FF867C}">
                  <a14:compatExt spid="_x0000_s58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554</xdr:row>
          <xdr:rowOff>66675</xdr:rowOff>
        </xdr:from>
        <xdr:to>
          <xdr:col>23</xdr:col>
          <xdr:colOff>276225</xdr:colOff>
          <xdr:row>555</xdr:row>
          <xdr:rowOff>57150</xdr:rowOff>
        </xdr:to>
        <xdr:sp macro="" textlink="">
          <xdr:nvSpPr>
            <xdr:cNvPr id="5823" name="Option Button 703" hidden="1">
              <a:extLst>
                <a:ext uri="{63B3BB69-23CF-44E3-9099-C40C66FF867C}">
                  <a14:compatExt spid="_x0000_s58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560</xdr:row>
          <xdr:rowOff>104775</xdr:rowOff>
        </xdr:from>
        <xdr:to>
          <xdr:col>23</xdr:col>
          <xdr:colOff>276225</xdr:colOff>
          <xdr:row>561</xdr:row>
          <xdr:rowOff>85725</xdr:rowOff>
        </xdr:to>
        <xdr:sp macro="" textlink="">
          <xdr:nvSpPr>
            <xdr:cNvPr id="5824" name="Option Button 704" hidden="1">
              <a:extLst>
                <a:ext uri="{63B3BB69-23CF-44E3-9099-C40C66FF867C}">
                  <a14:compatExt spid="_x0000_s58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566</xdr:row>
          <xdr:rowOff>104775</xdr:rowOff>
        </xdr:from>
        <xdr:to>
          <xdr:col>23</xdr:col>
          <xdr:colOff>276225</xdr:colOff>
          <xdr:row>567</xdr:row>
          <xdr:rowOff>85725</xdr:rowOff>
        </xdr:to>
        <xdr:sp macro="" textlink="">
          <xdr:nvSpPr>
            <xdr:cNvPr id="5825" name="Option Button 705" hidden="1">
              <a:extLst>
                <a:ext uri="{63B3BB69-23CF-44E3-9099-C40C66FF867C}">
                  <a14:compatExt spid="_x0000_s58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439</xdr:row>
          <xdr:rowOff>9525</xdr:rowOff>
        </xdr:from>
        <xdr:to>
          <xdr:col>23</xdr:col>
          <xdr:colOff>276225</xdr:colOff>
          <xdr:row>440</xdr:row>
          <xdr:rowOff>0</xdr:rowOff>
        </xdr:to>
        <xdr:sp macro="" textlink="">
          <xdr:nvSpPr>
            <xdr:cNvPr id="5826" name="Option Button 706" hidden="1">
              <a:extLst>
                <a:ext uri="{63B3BB69-23CF-44E3-9099-C40C66FF867C}">
                  <a14:compatExt spid="_x0000_s58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23</xdr:row>
          <xdr:rowOff>0</xdr:rowOff>
        </xdr:from>
        <xdr:to>
          <xdr:col>24</xdr:col>
          <xdr:colOff>9525</xdr:colOff>
          <xdr:row>24</xdr:row>
          <xdr:rowOff>9525</xdr:rowOff>
        </xdr:to>
        <xdr:sp macro="" textlink="">
          <xdr:nvSpPr>
            <xdr:cNvPr id="5148" name="Group Box 28" hidden="1">
              <a:extLst>
                <a:ext uri="{63B3BB69-23CF-44E3-9099-C40C66FF867C}">
                  <a14:compatExt spid="_x0000_s5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25</xdr:row>
          <xdr:rowOff>0</xdr:rowOff>
        </xdr:from>
        <xdr:to>
          <xdr:col>24</xdr:col>
          <xdr:colOff>9525</xdr:colOff>
          <xdr:row>26</xdr:row>
          <xdr:rowOff>9525</xdr:rowOff>
        </xdr:to>
        <xdr:sp macro="" textlink="">
          <xdr:nvSpPr>
            <xdr:cNvPr id="5150" name="Group Box 30" hidden="1">
              <a:extLst>
                <a:ext uri="{63B3BB69-23CF-44E3-9099-C40C66FF867C}">
                  <a14:compatExt spid="_x0000_s5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28</xdr:row>
          <xdr:rowOff>0</xdr:rowOff>
        </xdr:from>
        <xdr:to>
          <xdr:col>24</xdr:col>
          <xdr:colOff>9525</xdr:colOff>
          <xdr:row>29</xdr:row>
          <xdr:rowOff>9525</xdr:rowOff>
        </xdr:to>
        <xdr:sp macro="" textlink="">
          <xdr:nvSpPr>
            <xdr:cNvPr id="5153" name="Group Box 33" hidden="1">
              <a:extLst>
                <a:ext uri="{63B3BB69-23CF-44E3-9099-C40C66FF867C}">
                  <a14:compatExt spid="_x0000_s5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30</xdr:row>
          <xdr:rowOff>0</xdr:rowOff>
        </xdr:from>
        <xdr:to>
          <xdr:col>24</xdr:col>
          <xdr:colOff>9525</xdr:colOff>
          <xdr:row>31</xdr:row>
          <xdr:rowOff>9525</xdr:rowOff>
        </xdr:to>
        <xdr:sp macro="" textlink="">
          <xdr:nvSpPr>
            <xdr:cNvPr id="5155" name="Group Box 35" hidden="1">
              <a:extLst>
                <a:ext uri="{63B3BB69-23CF-44E3-9099-C40C66FF867C}">
                  <a14:compatExt spid="_x0000_s5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31</xdr:row>
          <xdr:rowOff>0</xdr:rowOff>
        </xdr:from>
        <xdr:to>
          <xdr:col>24</xdr:col>
          <xdr:colOff>9525</xdr:colOff>
          <xdr:row>32</xdr:row>
          <xdr:rowOff>9525</xdr:rowOff>
        </xdr:to>
        <xdr:sp macro="" textlink="">
          <xdr:nvSpPr>
            <xdr:cNvPr id="5156" name="Group Box 36" hidden="1">
              <a:extLst>
                <a:ext uri="{63B3BB69-23CF-44E3-9099-C40C66FF867C}">
                  <a14:compatExt spid="_x0000_s5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33</xdr:row>
          <xdr:rowOff>0</xdr:rowOff>
        </xdr:from>
        <xdr:to>
          <xdr:col>24</xdr:col>
          <xdr:colOff>9525</xdr:colOff>
          <xdr:row>34</xdr:row>
          <xdr:rowOff>9525</xdr:rowOff>
        </xdr:to>
        <xdr:sp macro="" textlink="">
          <xdr:nvSpPr>
            <xdr:cNvPr id="5158" name="Group Box 38" hidden="1">
              <a:extLst>
                <a:ext uri="{63B3BB69-23CF-44E3-9099-C40C66FF867C}">
                  <a14:compatExt spid="_x0000_s5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36</xdr:row>
          <xdr:rowOff>0</xdr:rowOff>
        </xdr:from>
        <xdr:to>
          <xdr:col>24</xdr:col>
          <xdr:colOff>19050</xdr:colOff>
          <xdr:row>37</xdr:row>
          <xdr:rowOff>19050</xdr:rowOff>
        </xdr:to>
        <xdr:sp macro="" textlink="">
          <xdr:nvSpPr>
            <xdr:cNvPr id="5241" name="Group Box 121" hidden="1">
              <a:extLst>
                <a:ext uri="{63B3BB69-23CF-44E3-9099-C40C66FF867C}">
                  <a14:compatExt spid="_x0000_s5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48</xdr:row>
          <xdr:rowOff>0</xdr:rowOff>
        </xdr:from>
        <xdr:to>
          <xdr:col>24</xdr:col>
          <xdr:colOff>9525</xdr:colOff>
          <xdr:row>49</xdr:row>
          <xdr:rowOff>9525</xdr:rowOff>
        </xdr:to>
        <xdr:sp macro="" textlink="">
          <xdr:nvSpPr>
            <xdr:cNvPr id="5248" name="Group Box 128" hidden="1">
              <a:extLst>
                <a:ext uri="{63B3BB69-23CF-44E3-9099-C40C66FF867C}">
                  <a14:compatExt spid="_x0000_s5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49</xdr:row>
          <xdr:rowOff>0</xdr:rowOff>
        </xdr:from>
        <xdr:to>
          <xdr:col>24</xdr:col>
          <xdr:colOff>9525</xdr:colOff>
          <xdr:row>50</xdr:row>
          <xdr:rowOff>9525</xdr:rowOff>
        </xdr:to>
        <xdr:sp macro="" textlink="">
          <xdr:nvSpPr>
            <xdr:cNvPr id="5249" name="Group Box 129" hidden="1">
              <a:extLst>
                <a:ext uri="{63B3BB69-23CF-44E3-9099-C40C66FF867C}">
                  <a14:compatExt spid="_x0000_s5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239</xdr:row>
          <xdr:rowOff>9525</xdr:rowOff>
        </xdr:from>
        <xdr:to>
          <xdr:col>24</xdr:col>
          <xdr:colOff>0</xdr:colOff>
          <xdr:row>245</xdr:row>
          <xdr:rowOff>0</xdr:rowOff>
        </xdr:to>
        <xdr:sp macro="" textlink="">
          <xdr:nvSpPr>
            <xdr:cNvPr id="5416" name="Group Box 296" hidden="1">
              <a:extLst>
                <a:ext uri="{63B3BB69-23CF-44E3-9099-C40C66FF867C}">
                  <a14:compatExt spid="_x0000_s54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245</xdr:row>
          <xdr:rowOff>9525</xdr:rowOff>
        </xdr:from>
        <xdr:to>
          <xdr:col>24</xdr:col>
          <xdr:colOff>0</xdr:colOff>
          <xdr:row>251</xdr:row>
          <xdr:rowOff>0</xdr:rowOff>
        </xdr:to>
        <xdr:sp macro="" textlink="">
          <xdr:nvSpPr>
            <xdr:cNvPr id="5418" name="Group Box 298" hidden="1">
              <a:extLst>
                <a:ext uri="{63B3BB69-23CF-44E3-9099-C40C66FF867C}">
                  <a14:compatExt spid="_x0000_s5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251</xdr:row>
          <xdr:rowOff>9525</xdr:rowOff>
        </xdr:from>
        <xdr:to>
          <xdr:col>24</xdr:col>
          <xdr:colOff>0</xdr:colOff>
          <xdr:row>257</xdr:row>
          <xdr:rowOff>0</xdr:rowOff>
        </xdr:to>
        <xdr:sp macro="" textlink="">
          <xdr:nvSpPr>
            <xdr:cNvPr id="5419" name="Group Box 299" hidden="1">
              <a:extLst>
                <a:ext uri="{63B3BB69-23CF-44E3-9099-C40C66FF867C}">
                  <a14:compatExt spid="_x0000_s5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263</xdr:row>
          <xdr:rowOff>9525</xdr:rowOff>
        </xdr:from>
        <xdr:to>
          <xdr:col>24</xdr:col>
          <xdr:colOff>0</xdr:colOff>
          <xdr:row>269</xdr:row>
          <xdr:rowOff>0</xdr:rowOff>
        </xdr:to>
        <xdr:sp macro="" textlink="">
          <xdr:nvSpPr>
            <xdr:cNvPr id="5421" name="Group Box 301" hidden="1">
              <a:extLst>
                <a:ext uri="{63B3BB69-23CF-44E3-9099-C40C66FF867C}">
                  <a14:compatExt spid="_x0000_s54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269</xdr:row>
          <xdr:rowOff>9525</xdr:rowOff>
        </xdr:from>
        <xdr:to>
          <xdr:col>24</xdr:col>
          <xdr:colOff>0</xdr:colOff>
          <xdr:row>275</xdr:row>
          <xdr:rowOff>0</xdr:rowOff>
        </xdr:to>
        <xdr:sp macro="" textlink="">
          <xdr:nvSpPr>
            <xdr:cNvPr id="5422" name="Group Box 302" hidden="1">
              <a:extLst>
                <a:ext uri="{63B3BB69-23CF-44E3-9099-C40C66FF867C}">
                  <a14:compatExt spid="_x0000_s54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275</xdr:row>
          <xdr:rowOff>9525</xdr:rowOff>
        </xdr:from>
        <xdr:to>
          <xdr:col>24</xdr:col>
          <xdr:colOff>0</xdr:colOff>
          <xdr:row>281</xdr:row>
          <xdr:rowOff>0</xdr:rowOff>
        </xdr:to>
        <xdr:sp macro="" textlink="">
          <xdr:nvSpPr>
            <xdr:cNvPr id="5424" name="Group Box 304" hidden="1">
              <a:extLst>
                <a:ext uri="{63B3BB69-23CF-44E3-9099-C40C66FF867C}">
                  <a14:compatExt spid="_x0000_s54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253</xdr:row>
          <xdr:rowOff>152400</xdr:rowOff>
        </xdr:from>
        <xdr:to>
          <xdr:col>23</xdr:col>
          <xdr:colOff>285750</xdr:colOff>
          <xdr:row>254</xdr:row>
          <xdr:rowOff>142875</xdr:rowOff>
        </xdr:to>
        <xdr:sp macro="" textlink="">
          <xdr:nvSpPr>
            <xdr:cNvPr id="5428" name="Option Button 308" hidden="1">
              <a:extLst>
                <a:ext uri="{63B3BB69-23CF-44E3-9099-C40C66FF867C}">
                  <a14:compatExt spid="_x0000_s54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259</xdr:row>
          <xdr:rowOff>142875</xdr:rowOff>
        </xdr:from>
        <xdr:to>
          <xdr:col>23</xdr:col>
          <xdr:colOff>266700</xdr:colOff>
          <xdr:row>260</xdr:row>
          <xdr:rowOff>133350</xdr:rowOff>
        </xdr:to>
        <xdr:sp macro="" textlink="">
          <xdr:nvSpPr>
            <xdr:cNvPr id="5429" name="Option Button 309" hidden="1">
              <a:extLst>
                <a:ext uri="{63B3BB69-23CF-44E3-9099-C40C66FF867C}">
                  <a14:compatExt spid="_x0000_s54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299</xdr:row>
          <xdr:rowOff>9525</xdr:rowOff>
        </xdr:from>
        <xdr:to>
          <xdr:col>24</xdr:col>
          <xdr:colOff>0</xdr:colOff>
          <xdr:row>305</xdr:row>
          <xdr:rowOff>0</xdr:rowOff>
        </xdr:to>
        <xdr:sp macro="" textlink="">
          <xdr:nvSpPr>
            <xdr:cNvPr id="5468" name="Group Box 348" hidden="1">
              <a:extLst>
                <a:ext uri="{63B3BB69-23CF-44E3-9099-C40C66FF867C}">
                  <a14:compatExt spid="_x0000_s54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306</xdr:row>
          <xdr:rowOff>9525</xdr:rowOff>
        </xdr:from>
        <xdr:to>
          <xdr:col>24</xdr:col>
          <xdr:colOff>0</xdr:colOff>
          <xdr:row>309</xdr:row>
          <xdr:rowOff>0</xdr:rowOff>
        </xdr:to>
        <xdr:sp macro="" textlink="">
          <xdr:nvSpPr>
            <xdr:cNvPr id="5470" name="Group Box 350" hidden="1">
              <a:extLst>
                <a:ext uri="{63B3BB69-23CF-44E3-9099-C40C66FF867C}">
                  <a14:compatExt spid="_x0000_s54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321</xdr:row>
          <xdr:rowOff>9525</xdr:rowOff>
        </xdr:from>
        <xdr:to>
          <xdr:col>24</xdr:col>
          <xdr:colOff>0</xdr:colOff>
          <xdr:row>327</xdr:row>
          <xdr:rowOff>0</xdr:rowOff>
        </xdr:to>
        <xdr:sp macro="" textlink="">
          <xdr:nvSpPr>
            <xdr:cNvPr id="5508" name="Group Box 388" hidden="1">
              <a:extLst>
                <a:ext uri="{63B3BB69-23CF-44E3-9099-C40C66FF867C}">
                  <a14:compatExt spid="_x0000_s5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327</xdr:row>
          <xdr:rowOff>9525</xdr:rowOff>
        </xdr:from>
        <xdr:to>
          <xdr:col>24</xdr:col>
          <xdr:colOff>0</xdr:colOff>
          <xdr:row>333</xdr:row>
          <xdr:rowOff>0</xdr:rowOff>
        </xdr:to>
        <xdr:sp macro="" textlink="">
          <xdr:nvSpPr>
            <xdr:cNvPr id="5509" name="Group Box 389" hidden="1">
              <a:extLst>
                <a:ext uri="{63B3BB69-23CF-44E3-9099-C40C66FF867C}">
                  <a14:compatExt spid="_x0000_s5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345</xdr:row>
          <xdr:rowOff>9525</xdr:rowOff>
        </xdr:from>
        <xdr:to>
          <xdr:col>24</xdr:col>
          <xdr:colOff>0</xdr:colOff>
          <xdr:row>351</xdr:row>
          <xdr:rowOff>0</xdr:rowOff>
        </xdr:to>
        <xdr:sp macro="" textlink="">
          <xdr:nvSpPr>
            <xdr:cNvPr id="5514" name="Group Box 394" hidden="1">
              <a:extLst>
                <a:ext uri="{63B3BB69-23CF-44E3-9099-C40C66FF867C}">
                  <a14:compatExt spid="_x0000_s55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374</xdr:row>
          <xdr:rowOff>9525</xdr:rowOff>
        </xdr:from>
        <xdr:to>
          <xdr:col>23</xdr:col>
          <xdr:colOff>276225</xdr:colOff>
          <xdr:row>377</xdr:row>
          <xdr:rowOff>9525</xdr:rowOff>
        </xdr:to>
        <xdr:sp macro="" textlink="">
          <xdr:nvSpPr>
            <xdr:cNvPr id="5524" name="Group Box 404" hidden="1">
              <a:extLst>
                <a:ext uri="{63B3BB69-23CF-44E3-9099-C40C66FF867C}">
                  <a14:compatExt spid="_x0000_s55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377</xdr:row>
          <xdr:rowOff>9525</xdr:rowOff>
        </xdr:from>
        <xdr:to>
          <xdr:col>23</xdr:col>
          <xdr:colOff>276225</xdr:colOff>
          <xdr:row>378</xdr:row>
          <xdr:rowOff>0</xdr:rowOff>
        </xdr:to>
        <xdr:sp macro="" textlink="">
          <xdr:nvSpPr>
            <xdr:cNvPr id="5525" name="Group Box 405" hidden="1">
              <a:extLst>
                <a:ext uri="{63B3BB69-23CF-44E3-9099-C40C66FF867C}">
                  <a14:compatExt spid="_x0000_s55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378</xdr:row>
          <xdr:rowOff>9525</xdr:rowOff>
        </xdr:from>
        <xdr:to>
          <xdr:col>23</xdr:col>
          <xdr:colOff>276225</xdr:colOff>
          <xdr:row>378</xdr:row>
          <xdr:rowOff>971550</xdr:rowOff>
        </xdr:to>
        <xdr:sp macro="" textlink="">
          <xdr:nvSpPr>
            <xdr:cNvPr id="5526" name="Group Box 406" hidden="1">
              <a:extLst>
                <a:ext uri="{63B3BB69-23CF-44E3-9099-C40C66FF867C}">
                  <a14:compatExt spid="_x0000_s55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385</xdr:row>
          <xdr:rowOff>9525</xdr:rowOff>
        </xdr:from>
        <xdr:to>
          <xdr:col>23</xdr:col>
          <xdr:colOff>276225</xdr:colOff>
          <xdr:row>392</xdr:row>
          <xdr:rowOff>0</xdr:rowOff>
        </xdr:to>
        <xdr:sp macro="" textlink="">
          <xdr:nvSpPr>
            <xdr:cNvPr id="5547" name="Group Box 427" hidden="1">
              <a:extLst>
                <a:ext uri="{63B3BB69-23CF-44E3-9099-C40C66FF867C}">
                  <a14:compatExt spid="_x0000_s55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392</xdr:row>
          <xdr:rowOff>9525</xdr:rowOff>
        </xdr:from>
        <xdr:to>
          <xdr:col>23</xdr:col>
          <xdr:colOff>276225</xdr:colOff>
          <xdr:row>399</xdr:row>
          <xdr:rowOff>0</xdr:rowOff>
        </xdr:to>
        <xdr:sp macro="" textlink="">
          <xdr:nvSpPr>
            <xdr:cNvPr id="5548" name="Group Box 428" hidden="1">
              <a:extLst>
                <a:ext uri="{63B3BB69-23CF-44E3-9099-C40C66FF867C}">
                  <a14:compatExt spid="_x0000_s55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406</xdr:row>
          <xdr:rowOff>9525</xdr:rowOff>
        </xdr:from>
        <xdr:to>
          <xdr:col>23</xdr:col>
          <xdr:colOff>276225</xdr:colOff>
          <xdr:row>413</xdr:row>
          <xdr:rowOff>0</xdr:rowOff>
        </xdr:to>
        <xdr:sp macro="" textlink="">
          <xdr:nvSpPr>
            <xdr:cNvPr id="5551" name="Group Box 431" hidden="1">
              <a:extLst>
                <a:ext uri="{63B3BB69-23CF-44E3-9099-C40C66FF867C}">
                  <a14:compatExt spid="_x0000_s55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413</xdr:row>
          <xdr:rowOff>9525</xdr:rowOff>
        </xdr:from>
        <xdr:to>
          <xdr:col>23</xdr:col>
          <xdr:colOff>276225</xdr:colOff>
          <xdr:row>420</xdr:row>
          <xdr:rowOff>0</xdr:rowOff>
        </xdr:to>
        <xdr:sp macro="" textlink="">
          <xdr:nvSpPr>
            <xdr:cNvPr id="5552" name="Group Box 432" hidden="1">
              <a:extLst>
                <a:ext uri="{63B3BB69-23CF-44E3-9099-C40C66FF867C}">
                  <a14:compatExt spid="_x0000_s55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420</xdr:row>
          <xdr:rowOff>9525</xdr:rowOff>
        </xdr:from>
        <xdr:to>
          <xdr:col>23</xdr:col>
          <xdr:colOff>276225</xdr:colOff>
          <xdr:row>427</xdr:row>
          <xdr:rowOff>0</xdr:rowOff>
        </xdr:to>
        <xdr:sp macro="" textlink="">
          <xdr:nvSpPr>
            <xdr:cNvPr id="5553" name="Group Box 433" hidden="1">
              <a:extLst>
                <a:ext uri="{63B3BB69-23CF-44E3-9099-C40C66FF867C}">
                  <a14:compatExt spid="_x0000_s55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451</xdr:row>
          <xdr:rowOff>0</xdr:rowOff>
        </xdr:from>
        <xdr:to>
          <xdr:col>23</xdr:col>
          <xdr:colOff>276225</xdr:colOff>
          <xdr:row>452</xdr:row>
          <xdr:rowOff>0</xdr:rowOff>
        </xdr:to>
        <xdr:sp macro="" textlink="">
          <xdr:nvSpPr>
            <xdr:cNvPr id="5673" name="Group Box 553" hidden="1">
              <a:extLst>
                <a:ext uri="{63B3BB69-23CF-44E3-9099-C40C66FF867C}">
                  <a14:compatExt spid="_x0000_s56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460</xdr:row>
          <xdr:rowOff>0</xdr:rowOff>
        </xdr:from>
        <xdr:to>
          <xdr:col>23</xdr:col>
          <xdr:colOff>276225</xdr:colOff>
          <xdr:row>466</xdr:row>
          <xdr:rowOff>9525</xdr:rowOff>
        </xdr:to>
        <xdr:sp macro="" textlink="">
          <xdr:nvSpPr>
            <xdr:cNvPr id="5675" name="Group Box 555" hidden="1">
              <a:extLst>
                <a:ext uri="{63B3BB69-23CF-44E3-9099-C40C66FF867C}">
                  <a14:compatExt spid="_x0000_s56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472</xdr:row>
          <xdr:rowOff>0</xdr:rowOff>
        </xdr:from>
        <xdr:to>
          <xdr:col>23</xdr:col>
          <xdr:colOff>276225</xdr:colOff>
          <xdr:row>478</xdr:row>
          <xdr:rowOff>9525</xdr:rowOff>
        </xdr:to>
        <xdr:sp macro="" textlink="">
          <xdr:nvSpPr>
            <xdr:cNvPr id="5677" name="Group Box 557" hidden="1">
              <a:extLst>
                <a:ext uri="{63B3BB69-23CF-44E3-9099-C40C66FF867C}">
                  <a14:compatExt spid="_x0000_s56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501</xdr:row>
          <xdr:rowOff>0</xdr:rowOff>
        </xdr:from>
        <xdr:to>
          <xdr:col>23</xdr:col>
          <xdr:colOff>276225</xdr:colOff>
          <xdr:row>503</xdr:row>
          <xdr:rowOff>0</xdr:rowOff>
        </xdr:to>
        <xdr:sp macro="" textlink="">
          <xdr:nvSpPr>
            <xdr:cNvPr id="5680" name="Group Box 560" hidden="1">
              <a:extLst>
                <a:ext uri="{63B3BB69-23CF-44E3-9099-C40C66FF867C}">
                  <a14:compatExt spid="_x0000_s56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516</xdr:row>
          <xdr:rowOff>0</xdr:rowOff>
        </xdr:from>
        <xdr:to>
          <xdr:col>23</xdr:col>
          <xdr:colOff>276225</xdr:colOff>
          <xdr:row>521</xdr:row>
          <xdr:rowOff>152400</xdr:rowOff>
        </xdr:to>
        <xdr:sp macro="" textlink="">
          <xdr:nvSpPr>
            <xdr:cNvPr id="5682" name="Group Box 562" hidden="1">
              <a:extLst>
                <a:ext uri="{63B3BB69-23CF-44E3-9099-C40C66FF867C}">
                  <a14:compatExt spid="_x0000_s56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540</xdr:row>
          <xdr:rowOff>0</xdr:rowOff>
        </xdr:from>
        <xdr:to>
          <xdr:col>23</xdr:col>
          <xdr:colOff>276225</xdr:colOff>
          <xdr:row>546</xdr:row>
          <xdr:rowOff>0</xdr:rowOff>
        </xdr:to>
        <xdr:sp macro="" textlink="">
          <xdr:nvSpPr>
            <xdr:cNvPr id="5685" name="Group Box 565" hidden="1">
              <a:extLst>
                <a:ext uri="{63B3BB69-23CF-44E3-9099-C40C66FF867C}">
                  <a14:compatExt spid="_x0000_s56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552</xdr:row>
          <xdr:rowOff>0</xdr:rowOff>
        </xdr:from>
        <xdr:to>
          <xdr:col>23</xdr:col>
          <xdr:colOff>276225</xdr:colOff>
          <xdr:row>558</xdr:row>
          <xdr:rowOff>0</xdr:rowOff>
        </xdr:to>
        <xdr:sp macro="" textlink="">
          <xdr:nvSpPr>
            <xdr:cNvPr id="5687" name="Group Box 567" hidden="1">
              <a:extLst>
                <a:ext uri="{63B3BB69-23CF-44E3-9099-C40C66FF867C}">
                  <a14:compatExt spid="_x0000_s56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265</xdr:row>
          <xdr:rowOff>152400</xdr:rowOff>
        </xdr:from>
        <xdr:to>
          <xdr:col>23</xdr:col>
          <xdr:colOff>266700</xdr:colOff>
          <xdr:row>266</xdr:row>
          <xdr:rowOff>142875</xdr:rowOff>
        </xdr:to>
        <xdr:sp macro="" textlink="">
          <xdr:nvSpPr>
            <xdr:cNvPr id="5430" name="Option Button 310" hidden="1">
              <a:extLst>
                <a:ext uri="{63B3BB69-23CF-44E3-9099-C40C66FF867C}">
                  <a14:compatExt spid="_x0000_s54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271</xdr:row>
          <xdr:rowOff>142875</xdr:rowOff>
        </xdr:from>
        <xdr:to>
          <xdr:col>23</xdr:col>
          <xdr:colOff>266700</xdr:colOff>
          <xdr:row>272</xdr:row>
          <xdr:rowOff>133350</xdr:rowOff>
        </xdr:to>
        <xdr:sp macro="" textlink="">
          <xdr:nvSpPr>
            <xdr:cNvPr id="5431" name="Option Button 311" hidden="1">
              <a:extLst>
                <a:ext uri="{63B3BB69-23CF-44E3-9099-C40C66FF867C}">
                  <a14:compatExt spid="_x0000_s5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277</xdr:row>
          <xdr:rowOff>104775</xdr:rowOff>
        </xdr:from>
        <xdr:to>
          <xdr:col>23</xdr:col>
          <xdr:colOff>266700</xdr:colOff>
          <xdr:row>278</xdr:row>
          <xdr:rowOff>95250</xdr:rowOff>
        </xdr:to>
        <xdr:sp macro="" textlink="">
          <xdr:nvSpPr>
            <xdr:cNvPr id="5433" name="Option Button 313" hidden="1">
              <a:extLst>
                <a:ext uri="{63B3BB69-23CF-44E3-9099-C40C66FF867C}">
                  <a14:compatExt spid="_x0000_s5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289</xdr:row>
          <xdr:rowOff>104775</xdr:rowOff>
        </xdr:from>
        <xdr:to>
          <xdr:col>23</xdr:col>
          <xdr:colOff>276225</xdr:colOff>
          <xdr:row>290</xdr:row>
          <xdr:rowOff>114300</xdr:rowOff>
        </xdr:to>
        <xdr:sp macro="" textlink="">
          <xdr:nvSpPr>
            <xdr:cNvPr id="5473" name="Option Button 353" hidden="1">
              <a:extLst>
                <a:ext uri="{63B3BB69-23CF-44E3-9099-C40C66FF867C}">
                  <a14:compatExt spid="_x0000_s54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295</xdr:row>
          <xdr:rowOff>123825</xdr:rowOff>
        </xdr:from>
        <xdr:to>
          <xdr:col>23</xdr:col>
          <xdr:colOff>276225</xdr:colOff>
          <xdr:row>296</xdr:row>
          <xdr:rowOff>133350</xdr:rowOff>
        </xdr:to>
        <xdr:sp macro="" textlink="">
          <xdr:nvSpPr>
            <xdr:cNvPr id="5474" name="Option Button 354" hidden="1">
              <a:extLst>
                <a:ext uri="{63B3BB69-23CF-44E3-9099-C40C66FF867C}">
                  <a14:compatExt spid="_x0000_s54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311</xdr:row>
          <xdr:rowOff>66675</xdr:rowOff>
        </xdr:from>
        <xdr:to>
          <xdr:col>23</xdr:col>
          <xdr:colOff>276225</xdr:colOff>
          <xdr:row>312</xdr:row>
          <xdr:rowOff>76200</xdr:rowOff>
        </xdr:to>
        <xdr:sp macro="" textlink="">
          <xdr:nvSpPr>
            <xdr:cNvPr id="5478" name="Option Button 358" hidden="1">
              <a:extLst>
                <a:ext uri="{63B3BB69-23CF-44E3-9099-C40C66FF867C}">
                  <a14:compatExt spid="_x0000_s54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323</xdr:row>
          <xdr:rowOff>47625</xdr:rowOff>
        </xdr:from>
        <xdr:to>
          <xdr:col>23</xdr:col>
          <xdr:colOff>285750</xdr:colOff>
          <xdr:row>324</xdr:row>
          <xdr:rowOff>66675</xdr:rowOff>
        </xdr:to>
        <xdr:sp macro="" textlink="">
          <xdr:nvSpPr>
            <xdr:cNvPr id="5517" name="Option Button 397" hidden="1">
              <a:extLst>
                <a:ext uri="{63B3BB69-23CF-44E3-9099-C40C66FF867C}">
                  <a14:compatExt spid="_x0000_s55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23</xdr:row>
          <xdr:rowOff>85725</xdr:rowOff>
        </xdr:from>
        <xdr:to>
          <xdr:col>23</xdr:col>
          <xdr:colOff>276225</xdr:colOff>
          <xdr:row>23</xdr:row>
          <xdr:rowOff>276225</xdr:rowOff>
        </xdr:to>
        <xdr:sp macro="" textlink="">
          <xdr:nvSpPr>
            <xdr:cNvPr id="11769" name="Option Button 3577" hidden="1">
              <a:extLst>
                <a:ext uri="{63B3BB69-23CF-44E3-9099-C40C66FF867C}">
                  <a14:compatExt spid="_x0000_s117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24</xdr:row>
          <xdr:rowOff>85725</xdr:rowOff>
        </xdr:from>
        <xdr:to>
          <xdr:col>23</xdr:col>
          <xdr:colOff>276225</xdr:colOff>
          <xdr:row>24</xdr:row>
          <xdr:rowOff>276225</xdr:rowOff>
        </xdr:to>
        <xdr:sp macro="" textlink="">
          <xdr:nvSpPr>
            <xdr:cNvPr id="11770" name="Option Button 3578" hidden="1">
              <a:extLst>
                <a:ext uri="{63B3BB69-23CF-44E3-9099-C40C66FF867C}">
                  <a14:compatExt spid="_x0000_s117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25</xdr:row>
          <xdr:rowOff>85725</xdr:rowOff>
        </xdr:from>
        <xdr:to>
          <xdr:col>23</xdr:col>
          <xdr:colOff>276225</xdr:colOff>
          <xdr:row>25</xdr:row>
          <xdr:rowOff>276225</xdr:rowOff>
        </xdr:to>
        <xdr:sp macro="" textlink="">
          <xdr:nvSpPr>
            <xdr:cNvPr id="11771" name="Option Button 3579" hidden="1">
              <a:extLst>
                <a:ext uri="{63B3BB69-23CF-44E3-9099-C40C66FF867C}">
                  <a14:compatExt spid="_x0000_s117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26</xdr:row>
          <xdr:rowOff>85725</xdr:rowOff>
        </xdr:from>
        <xdr:to>
          <xdr:col>23</xdr:col>
          <xdr:colOff>276225</xdr:colOff>
          <xdr:row>26</xdr:row>
          <xdr:rowOff>276225</xdr:rowOff>
        </xdr:to>
        <xdr:sp macro="" textlink="">
          <xdr:nvSpPr>
            <xdr:cNvPr id="11772" name="Option Button 3580" hidden="1">
              <a:extLst>
                <a:ext uri="{63B3BB69-23CF-44E3-9099-C40C66FF867C}">
                  <a14:compatExt spid="_x0000_s117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27</xdr:row>
          <xdr:rowOff>85725</xdr:rowOff>
        </xdr:from>
        <xdr:to>
          <xdr:col>23</xdr:col>
          <xdr:colOff>276225</xdr:colOff>
          <xdr:row>27</xdr:row>
          <xdr:rowOff>276225</xdr:rowOff>
        </xdr:to>
        <xdr:sp macro="" textlink="">
          <xdr:nvSpPr>
            <xdr:cNvPr id="11773" name="Option Button 3581" hidden="1">
              <a:extLst>
                <a:ext uri="{63B3BB69-23CF-44E3-9099-C40C66FF867C}">
                  <a14:compatExt spid="_x0000_s117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28</xdr:row>
          <xdr:rowOff>85725</xdr:rowOff>
        </xdr:from>
        <xdr:to>
          <xdr:col>23</xdr:col>
          <xdr:colOff>276225</xdr:colOff>
          <xdr:row>28</xdr:row>
          <xdr:rowOff>276225</xdr:rowOff>
        </xdr:to>
        <xdr:sp macro="" textlink="">
          <xdr:nvSpPr>
            <xdr:cNvPr id="11774" name="Option Button 3582" hidden="1">
              <a:extLst>
                <a:ext uri="{63B3BB69-23CF-44E3-9099-C40C66FF867C}">
                  <a14:compatExt spid="_x0000_s117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29</xdr:row>
          <xdr:rowOff>85725</xdr:rowOff>
        </xdr:from>
        <xdr:to>
          <xdr:col>23</xdr:col>
          <xdr:colOff>276225</xdr:colOff>
          <xdr:row>29</xdr:row>
          <xdr:rowOff>276225</xdr:rowOff>
        </xdr:to>
        <xdr:sp macro="" textlink="">
          <xdr:nvSpPr>
            <xdr:cNvPr id="11775" name="Option Button 3583" hidden="1">
              <a:extLst>
                <a:ext uri="{63B3BB69-23CF-44E3-9099-C40C66FF867C}">
                  <a14:compatExt spid="_x0000_s117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30</xdr:row>
          <xdr:rowOff>85725</xdr:rowOff>
        </xdr:from>
        <xdr:to>
          <xdr:col>23</xdr:col>
          <xdr:colOff>276225</xdr:colOff>
          <xdr:row>30</xdr:row>
          <xdr:rowOff>276225</xdr:rowOff>
        </xdr:to>
        <xdr:sp macro="" textlink="">
          <xdr:nvSpPr>
            <xdr:cNvPr id="11776" name="Option Button 3584" hidden="1">
              <a:extLst>
                <a:ext uri="{63B3BB69-23CF-44E3-9099-C40C66FF867C}">
                  <a14:compatExt spid="_x0000_s117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31</xdr:row>
          <xdr:rowOff>85725</xdr:rowOff>
        </xdr:from>
        <xdr:to>
          <xdr:col>23</xdr:col>
          <xdr:colOff>276225</xdr:colOff>
          <xdr:row>31</xdr:row>
          <xdr:rowOff>276225</xdr:rowOff>
        </xdr:to>
        <xdr:sp macro="" textlink="">
          <xdr:nvSpPr>
            <xdr:cNvPr id="11777" name="Option Button 3585" hidden="1">
              <a:extLst>
                <a:ext uri="{63B3BB69-23CF-44E3-9099-C40C66FF867C}">
                  <a14:compatExt spid="_x0000_s117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32</xdr:row>
          <xdr:rowOff>85725</xdr:rowOff>
        </xdr:from>
        <xdr:to>
          <xdr:col>23</xdr:col>
          <xdr:colOff>276225</xdr:colOff>
          <xdr:row>32</xdr:row>
          <xdr:rowOff>276225</xdr:rowOff>
        </xdr:to>
        <xdr:sp macro="" textlink="">
          <xdr:nvSpPr>
            <xdr:cNvPr id="11778" name="Option Button 3586" hidden="1">
              <a:extLst>
                <a:ext uri="{63B3BB69-23CF-44E3-9099-C40C66FF867C}">
                  <a14:compatExt spid="_x0000_s117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33</xdr:row>
          <xdr:rowOff>85725</xdr:rowOff>
        </xdr:from>
        <xdr:to>
          <xdr:col>23</xdr:col>
          <xdr:colOff>276225</xdr:colOff>
          <xdr:row>33</xdr:row>
          <xdr:rowOff>276225</xdr:rowOff>
        </xdr:to>
        <xdr:sp macro="" textlink="">
          <xdr:nvSpPr>
            <xdr:cNvPr id="11779" name="Option Button 3587" hidden="1">
              <a:extLst>
                <a:ext uri="{63B3BB69-23CF-44E3-9099-C40C66FF867C}">
                  <a14:compatExt spid="_x0000_s117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34</xdr:row>
          <xdr:rowOff>85725</xdr:rowOff>
        </xdr:from>
        <xdr:to>
          <xdr:col>23</xdr:col>
          <xdr:colOff>276225</xdr:colOff>
          <xdr:row>34</xdr:row>
          <xdr:rowOff>276225</xdr:rowOff>
        </xdr:to>
        <xdr:sp macro="" textlink="">
          <xdr:nvSpPr>
            <xdr:cNvPr id="11780" name="Option Button 3588" hidden="1">
              <a:extLst>
                <a:ext uri="{63B3BB69-23CF-44E3-9099-C40C66FF867C}">
                  <a14:compatExt spid="_x0000_s117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35</xdr:row>
          <xdr:rowOff>85725</xdr:rowOff>
        </xdr:from>
        <xdr:to>
          <xdr:col>23</xdr:col>
          <xdr:colOff>276225</xdr:colOff>
          <xdr:row>35</xdr:row>
          <xdr:rowOff>276225</xdr:rowOff>
        </xdr:to>
        <xdr:sp macro="" textlink="">
          <xdr:nvSpPr>
            <xdr:cNvPr id="11781" name="Option Button 3589" hidden="1">
              <a:extLst>
                <a:ext uri="{63B3BB69-23CF-44E3-9099-C40C66FF867C}">
                  <a14:compatExt spid="_x0000_s117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169</xdr:row>
          <xdr:rowOff>0</xdr:rowOff>
        </xdr:from>
        <xdr:to>
          <xdr:col>17</xdr:col>
          <xdr:colOff>0</xdr:colOff>
          <xdr:row>170</xdr:row>
          <xdr:rowOff>0</xdr:rowOff>
        </xdr:to>
        <xdr:sp macro="" textlink="">
          <xdr:nvSpPr>
            <xdr:cNvPr id="286853" name="Group Box 184453" hidden="1">
              <a:extLst>
                <a:ext uri="{63B3BB69-23CF-44E3-9099-C40C66FF867C}">
                  <a14:compatExt spid="_x0000_s2868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169</xdr:row>
          <xdr:rowOff>419100</xdr:rowOff>
        </xdr:from>
        <xdr:to>
          <xdr:col>12</xdr:col>
          <xdr:colOff>419100</xdr:colOff>
          <xdr:row>169</xdr:row>
          <xdr:rowOff>609600</xdr:rowOff>
        </xdr:to>
        <xdr:sp macro="" textlink="">
          <xdr:nvSpPr>
            <xdr:cNvPr id="286854" name="Option Button 184454" hidden="1">
              <a:extLst>
                <a:ext uri="{63B3BB69-23CF-44E3-9099-C40C66FF867C}">
                  <a14:compatExt spid="_x0000_s2868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169</xdr:row>
          <xdr:rowOff>419100</xdr:rowOff>
        </xdr:from>
        <xdr:to>
          <xdr:col>13</xdr:col>
          <xdr:colOff>390525</xdr:colOff>
          <xdr:row>169</xdr:row>
          <xdr:rowOff>609600</xdr:rowOff>
        </xdr:to>
        <xdr:sp macro="" textlink="">
          <xdr:nvSpPr>
            <xdr:cNvPr id="286855" name="Option Button 184455" hidden="1">
              <a:extLst>
                <a:ext uri="{63B3BB69-23CF-44E3-9099-C40C66FF867C}">
                  <a14:compatExt spid="_x0000_s2868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169</xdr:row>
          <xdr:rowOff>419100</xdr:rowOff>
        </xdr:from>
        <xdr:to>
          <xdr:col>14</xdr:col>
          <xdr:colOff>390525</xdr:colOff>
          <xdr:row>169</xdr:row>
          <xdr:rowOff>609600</xdr:rowOff>
        </xdr:to>
        <xdr:sp macro="" textlink="">
          <xdr:nvSpPr>
            <xdr:cNvPr id="286856" name="Option Button 184456" hidden="1">
              <a:extLst>
                <a:ext uri="{63B3BB69-23CF-44E3-9099-C40C66FF867C}">
                  <a14:compatExt spid="_x0000_s2868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169</xdr:row>
          <xdr:rowOff>419100</xdr:rowOff>
        </xdr:from>
        <xdr:to>
          <xdr:col>15</xdr:col>
          <xdr:colOff>390525</xdr:colOff>
          <xdr:row>169</xdr:row>
          <xdr:rowOff>609600</xdr:rowOff>
        </xdr:to>
        <xdr:sp macro="" textlink="">
          <xdr:nvSpPr>
            <xdr:cNvPr id="286857" name="Option Button 184457" hidden="1">
              <a:extLst>
                <a:ext uri="{63B3BB69-23CF-44E3-9099-C40C66FF867C}">
                  <a14:compatExt spid="_x0000_s2868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169</xdr:row>
          <xdr:rowOff>419100</xdr:rowOff>
        </xdr:from>
        <xdr:to>
          <xdr:col>16</xdr:col>
          <xdr:colOff>390525</xdr:colOff>
          <xdr:row>169</xdr:row>
          <xdr:rowOff>609600</xdr:rowOff>
        </xdr:to>
        <xdr:sp macro="" textlink="">
          <xdr:nvSpPr>
            <xdr:cNvPr id="286858" name="Option Button 184458" hidden="1">
              <a:extLst>
                <a:ext uri="{63B3BB69-23CF-44E3-9099-C40C66FF867C}">
                  <a14:compatExt spid="_x0000_s2868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170</xdr:row>
          <xdr:rowOff>0</xdr:rowOff>
        </xdr:from>
        <xdr:to>
          <xdr:col>17</xdr:col>
          <xdr:colOff>0</xdr:colOff>
          <xdr:row>171</xdr:row>
          <xdr:rowOff>0</xdr:rowOff>
        </xdr:to>
        <xdr:sp macro="" textlink="">
          <xdr:nvSpPr>
            <xdr:cNvPr id="286863" name="Group Box 184463" hidden="1">
              <a:extLst>
                <a:ext uri="{63B3BB69-23CF-44E3-9099-C40C66FF867C}">
                  <a14:compatExt spid="_x0000_s2868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170</xdr:row>
          <xdr:rowOff>419100</xdr:rowOff>
        </xdr:from>
        <xdr:to>
          <xdr:col>12</xdr:col>
          <xdr:colOff>419100</xdr:colOff>
          <xdr:row>170</xdr:row>
          <xdr:rowOff>609600</xdr:rowOff>
        </xdr:to>
        <xdr:sp macro="" textlink="">
          <xdr:nvSpPr>
            <xdr:cNvPr id="286864" name="Option Button 184464" hidden="1">
              <a:extLst>
                <a:ext uri="{63B3BB69-23CF-44E3-9099-C40C66FF867C}">
                  <a14:compatExt spid="_x0000_s2868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170</xdr:row>
          <xdr:rowOff>419100</xdr:rowOff>
        </xdr:from>
        <xdr:to>
          <xdr:col>13</xdr:col>
          <xdr:colOff>390525</xdr:colOff>
          <xdr:row>170</xdr:row>
          <xdr:rowOff>609600</xdr:rowOff>
        </xdr:to>
        <xdr:sp macro="" textlink="">
          <xdr:nvSpPr>
            <xdr:cNvPr id="286865" name="Option Button 184465" hidden="1">
              <a:extLst>
                <a:ext uri="{63B3BB69-23CF-44E3-9099-C40C66FF867C}">
                  <a14:compatExt spid="_x0000_s2868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170</xdr:row>
          <xdr:rowOff>419100</xdr:rowOff>
        </xdr:from>
        <xdr:to>
          <xdr:col>14</xdr:col>
          <xdr:colOff>390525</xdr:colOff>
          <xdr:row>170</xdr:row>
          <xdr:rowOff>609600</xdr:rowOff>
        </xdr:to>
        <xdr:sp macro="" textlink="">
          <xdr:nvSpPr>
            <xdr:cNvPr id="286866" name="Option Button 184466" hidden="1">
              <a:extLst>
                <a:ext uri="{63B3BB69-23CF-44E3-9099-C40C66FF867C}">
                  <a14:compatExt spid="_x0000_s2868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170</xdr:row>
          <xdr:rowOff>419100</xdr:rowOff>
        </xdr:from>
        <xdr:to>
          <xdr:col>15</xdr:col>
          <xdr:colOff>390525</xdr:colOff>
          <xdr:row>170</xdr:row>
          <xdr:rowOff>609600</xdr:rowOff>
        </xdr:to>
        <xdr:sp macro="" textlink="">
          <xdr:nvSpPr>
            <xdr:cNvPr id="286867" name="Option Button 184467" hidden="1">
              <a:extLst>
                <a:ext uri="{63B3BB69-23CF-44E3-9099-C40C66FF867C}">
                  <a14:compatExt spid="_x0000_s2868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170</xdr:row>
          <xdr:rowOff>419100</xdr:rowOff>
        </xdr:from>
        <xdr:to>
          <xdr:col>16</xdr:col>
          <xdr:colOff>390525</xdr:colOff>
          <xdr:row>170</xdr:row>
          <xdr:rowOff>609600</xdr:rowOff>
        </xdr:to>
        <xdr:sp macro="" textlink="">
          <xdr:nvSpPr>
            <xdr:cNvPr id="286868" name="Option Button 184468" hidden="1">
              <a:extLst>
                <a:ext uri="{63B3BB69-23CF-44E3-9099-C40C66FF867C}">
                  <a14:compatExt spid="_x0000_s2868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171</xdr:row>
          <xdr:rowOff>0</xdr:rowOff>
        </xdr:from>
        <xdr:to>
          <xdr:col>17</xdr:col>
          <xdr:colOff>0</xdr:colOff>
          <xdr:row>172</xdr:row>
          <xdr:rowOff>0</xdr:rowOff>
        </xdr:to>
        <xdr:sp macro="" textlink="">
          <xdr:nvSpPr>
            <xdr:cNvPr id="286869" name="Group Box 184469" hidden="1">
              <a:extLst>
                <a:ext uri="{63B3BB69-23CF-44E3-9099-C40C66FF867C}">
                  <a14:compatExt spid="_x0000_s2868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171</xdr:row>
          <xdr:rowOff>419100</xdr:rowOff>
        </xdr:from>
        <xdr:to>
          <xdr:col>12</xdr:col>
          <xdr:colOff>419100</xdr:colOff>
          <xdr:row>171</xdr:row>
          <xdr:rowOff>609600</xdr:rowOff>
        </xdr:to>
        <xdr:sp macro="" textlink="">
          <xdr:nvSpPr>
            <xdr:cNvPr id="286870" name="Option Button 184470" hidden="1">
              <a:extLst>
                <a:ext uri="{63B3BB69-23CF-44E3-9099-C40C66FF867C}">
                  <a14:compatExt spid="_x0000_s2868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171</xdr:row>
          <xdr:rowOff>419100</xdr:rowOff>
        </xdr:from>
        <xdr:to>
          <xdr:col>13</xdr:col>
          <xdr:colOff>390525</xdr:colOff>
          <xdr:row>171</xdr:row>
          <xdr:rowOff>609600</xdr:rowOff>
        </xdr:to>
        <xdr:sp macro="" textlink="">
          <xdr:nvSpPr>
            <xdr:cNvPr id="286871" name="Option Button 184471" hidden="1">
              <a:extLst>
                <a:ext uri="{63B3BB69-23CF-44E3-9099-C40C66FF867C}">
                  <a14:compatExt spid="_x0000_s2868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171</xdr:row>
          <xdr:rowOff>419100</xdr:rowOff>
        </xdr:from>
        <xdr:to>
          <xdr:col>14</xdr:col>
          <xdr:colOff>390525</xdr:colOff>
          <xdr:row>171</xdr:row>
          <xdr:rowOff>609600</xdr:rowOff>
        </xdr:to>
        <xdr:sp macro="" textlink="">
          <xdr:nvSpPr>
            <xdr:cNvPr id="286872" name="Option Button 184472" hidden="1">
              <a:extLst>
                <a:ext uri="{63B3BB69-23CF-44E3-9099-C40C66FF867C}">
                  <a14:compatExt spid="_x0000_s2868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171</xdr:row>
          <xdr:rowOff>419100</xdr:rowOff>
        </xdr:from>
        <xdr:to>
          <xdr:col>15</xdr:col>
          <xdr:colOff>390525</xdr:colOff>
          <xdr:row>171</xdr:row>
          <xdr:rowOff>609600</xdr:rowOff>
        </xdr:to>
        <xdr:sp macro="" textlink="">
          <xdr:nvSpPr>
            <xdr:cNvPr id="286873" name="Option Button 184473" hidden="1">
              <a:extLst>
                <a:ext uri="{63B3BB69-23CF-44E3-9099-C40C66FF867C}">
                  <a14:compatExt spid="_x0000_s2868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171</xdr:row>
          <xdr:rowOff>419100</xdr:rowOff>
        </xdr:from>
        <xdr:to>
          <xdr:col>16</xdr:col>
          <xdr:colOff>390525</xdr:colOff>
          <xdr:row>171</xdr:row>
          <xdr:rowOff>609600</xdr:rowOff>
        </xdr:to>
        <xdr:sp macro="" textlink="">
          <xdr:nvSpPr>
            <xdr:cNvPr id="286874" name="Option Button 184474" hidden="1">
              <a:extLst>
                <a:ext uri="{63B3BB69-23CF-44E3-9099-C40C66FF867C}">
                  <a14:compatExt spid="_x0000_s2868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172</xdr:row>
          <xdr:rowOff>0</xdr:rowOff>
        </xdr:from>
        <xdr:to>
          <xdr:col>17</xdr:col>
          <xdr:colOff>0</xdr:colOff>
          <xdr:row>173</xdr:row>
          <xdr:rowOff>0</xdr:rowOff>
        </xdr:to>
        <xdr:sp macro="" textlink="">
          <xdr:nvSpPr>
            <xdr:cNvPr id="286875" name="Group Box 184475" hidden="1">
              <a:extLst>
                <a:ext uri="{63B3BB69-23CF-44E3-9099-C40C66FF867C}">
                  <a14:compatExt spid="_x0000_s2868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172</xdr:row>
          <xdr:rowOff>419100</xdr:rowOff>
        </xdr:from>
        <xdr:to>
          <xdr:col>12</xdr:col>
          <xdr:colOff>419100</xdr:colOff>
          <xdr:row>172</xdr:row>
          <xdr:rowOff>609600</xdr:rowOff>
        </xdr:to>
        <xdr:sp macro="" textlink="">
          <xdr:nvSpPr>
            <xdr:cNvPr id="286876" name="Option Button 184476" hidden="1">
              <a:extLst>
                <a:ext uri="{63B3BB69-23CF-44E3-9099-C40C66FF867C}">
                  <a14:compatExt spid="_x0000_s2868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172</xdr:row>
          <xdr:rowOff>419100</xdr:rowOff>
        </xdr:from>
        <xdr:to>
          <xdr:col>13</xdr:col>
          <xdr:colOff>390525</xdr:colOff>
          <xdr:row>172</xdr:row>
          <xdr:rowOff>609600</xdr:rowOff>
        </xdr:to>
        <xdr:sp macro="" textlink="">
          <xdr:nvSpPr>
            <xdr:cNvPr id="286877" name="Option Button 184477" hidden="1">
              <a:extLst>
                <a:ext uri="{63B3BB69-23CF-44E3-9099-C40C66FF867C}">
                  <a14:compatExt spid="_x0000_s2868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172</xdr:row>
          <xdr:rowOff>419100</xdr:rowOff>
        </xdr:from>
        <xdr:to>
          <xdr:col>14</xdr:col>
          <xdr:colOff>390525</xdr:colOff>
          <xdr:row>172</xdr:row>
          <xdr:rowOff>609600</xdr:rowOff>
        </xdr:to>
        <xdr:sp macro="" textlink="">
          <xdr:nvSpPr>
            <xdr:cNvPr id="286878" name="Option Button 184478" hidden="1">
              <a:extLst>
                <a:ext uri="{63B3BB69-23CF-44E3-9099-C40C66FF867C}">
                  <a14:compatExt spid="_x0000_s2868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172</xdr:row>
          <xdr:rowOff>419100</xdr:rowOff>
        </xdr:from>
        <xdr:to>
          <xdr:col>15</xdr:col>
          <xdr:colOff>390525</xdr:colOff>
          <xdr:row>172</xdr:row>
          <xdr:rowOff>609600</xdr:rowOff>
        </xdr:to>
        <xdr:sp macro="" textlink="">
          <xdr:nvSpPr>
            <xdr:cNvPr id="286879" name="Option Button 184479" hidden="1">
              <a:extLst>
                <a:ext uri="{63B3BB69-23CF-44E3-9099-C40C66FF867C}">
                  <a14:compatExt spid="_x0000_s2868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172</xdr:row>
          <xdr:rowOff>419100</xdr:rowOff>
        </xdr:from>
        <xdr:to>
          <xdr:col>16</xdr:col>
          <xdr:colOff>390525</xdr:colOff>
          <xdr:row>172</xdr:row>
          <xdr:rowOff>609600</xdr:rowOff>
        </xdr:to>
        <xdr:sp macro="" textlink="">
          <xdr:nvSpPr>
            <xdr:cNvPr id="286880" name="Option Button 184480" hidden="1">
              <a:extLst>
                <a:ext uri="{63B3BB69-23CF-44E3-9099-C40C66FF867C}">
                  <a14:compatExt spid="_x0000_s2868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173</xdr:row>
          <xdr:rowOff>0</xdr:rowOff>
        </xdr:from>
        <xdr:to>
          <xdr:col>17</xdr:col>
          <xdr:colOff>0</xdr:colOff>
          <xdr:row>174</xdr:row>
          <xdr:rowOff>0</xdr:rowOff>
        </xdr:to>
        <xdr:sp macro="" textlink="">
          <xdr:nvSpPr>
            <xdr:cNvPr id="286881" name="Group Box 184481" hidden="1">
              <a:extLst>
                <a:ext uri="{63B3BB69-23CF-44E3-9099-C40C66FF867C}">
                  <a14:compatExt spid="_x0000_s2868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173</xdr:row>
          <xdr:rowOff>419100</xdr:rowOff>
        </xdr:from>
        <xdr:to>
          <xdr:col>12</xdr:col>
          <xdr:colOff>419100</xdr:colOff>
          <xdr:row>173</xdr:row>
          <xdr:rowOff>609600</xdr:rowOff>
        </xdr:to>
        <xdr:sp macro="" textlink="">
          <xdr:nvSpPr>
            <xdr:cNvPr id="286882" name="Option Button 184482" hidden="1">
              <a:extLst>
                <a:ext uri="{63B3BB69-23CF-44E3-9099-C40C66FF867C}">
                  <a14:compatExt spid="_x0000_s2868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173</xdr:row>
          <xdr:rowOff>419100</xdr:rowOff>
        </xdr:from>
        <xdr:to>
          <xdr:col>13</xdr:col>
          <xdr:colOff>390525</xdr:colOff>
          <xdr:row>173</xdr:row>
          <xdr:rowOff>609600</xdr:rowOff>
        </xdr:to>
        <xdr:sp macro="" textlink="">
          <xdr:nvSpPr>
            <xdr:cNvPr id="286883" name="Option Button 184483" hidden="1">
              <a:extLst>
                <a:ext uri="{63B3BB69-23CF-44E3-9099-C40C66FF867C}">
                  <a14:compatExt spid="_x0000_s2868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173</xdr:row>
          <xdr:rowOff>419100</xdr:rowOff>
        </xdr:from>
        <xdr:to>
          <xdr:col>14</xdr:col>
          <xdr:colOff>390525</xdr:colOff>
          <xdr:row>173</xdr:row>
          <xdr:rowOff>609600</xdr:rowOff>
        </xdr:to>
        <xdr:sp macro="" textlink="">
          <xdr:nvSpPr>
            <xdr:cNvPr id="286884" name="Option Button 184484" hidden="1">
              <a:extLst>
                <a:ext uri="{63B3BB69-23CF-44E3-9099-C40C66FF867C}">
                  <a14:compatExt spid="_x0000_s2868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173</xdr:row>
          <xdr:rowOff>419100</xdr:rowOff>
        </xdr:from>
        <xdr:to>
          <xdr:col>15</xdr:col>
          <xdr:colOff>390525</xdr:colOff>
          <xdr:row>173</xdr:row>
          <xdr:rowOff>609600</xdr:rowOff>
        </xdr:to>
        <xdr:sp macro="" textlink="">
          <xdr:nvSpPr>
            <xdr:cNvPr id="286885" name="Option Button 184485" hidden="1">
              <a:extLst>
                <a:ext uri="{63B3BB69-23CF-44E3-9099-C40C66FF867C}">
                  <a14:compatExt spid="_x0000_s2868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173</xdr:row>
          <xdr:rowOff>419100</xdr:rowOff>
        </xdr:from>
        <xdr:to>
          <xdr:col>16</xdr:col>
          <xdr:colOff>390525</xdr:colOff>
          <xdr:row>173</xdr:row>
          <xdr:rowOff>609600</xdr:rowOff>
        </xdr:to>
        <xdr:sp macro="" textlink="">
          <xdr:nvSpPr>
            <xdr:cNvPr id="286886" name="Option Button 184486" hidden="1">
              <a:extLst>
                <a:ext uri="{63B3BB69-23CF-44E3-9099-C40C66FF867C}">
                  <a14:compatExt spid="_x0000_s2868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174</xdr:row>
          <xdr:rowOff>0</xdr:rowOff>
        </xdr:from>
        <xdr:to>
          <xdr:col>17</xdr:col>
          <xdr:colOff>0</xdr:colOff>
          <xdr:row>175</xdr:row>
          <xdr:rowOff>0</xdr:rowOff>
        </xdr:to>
        <xdr:sp macro="" textlink="">
          <xdr:nvSpPr>
            <xdr:cNvPr id="286887" name="Group Box 184487" hidden="1">
              <a:extLst>
                <a:ext uri="{63B3BB69-23CF-44E3-9099-C40C66FF867C}">
                  <a14:compatExt spid="_x0000_s2868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174</xdr:row>
          <xdr:rowOff>419100</xdr:rowOff>
        </xdr:from>
        <xdr:to>
          <xdr:col>12</xdr:col>
          <xdr:colOff>419100</xdr:colOff>
          <xdr:row>174</xdr:row>
          <xdr:rowOff>609600</xdr:rowOff>
        </xdr:to>
        <xdr:sp macro="" textlink="">
          <xdr:nvSpPr>
            <xdr:cNvPr id="286888" name="Option Button 184488" hidden="1">
              <a:extLst>
                <a:ext uri="{63B3BB69-23CF-44E3-9099-C40C66FF867C}">
                  <a14:compatExt spid="_x0000_s2868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174</xdr:row>
          <xdr:rowOff>419100</xdr:rowOff>
        </xdr:from>
        <xdr:to>
          <xdr:col>13</xdr:col>
          <xdr:colOff>390525</xdr:colOff>
          <xdr:row>174</xdr:row>
          <xdr:rowOff>609600</xdr:rowOff>
        </xdr:to>
        <xdr:sp macro="" textlink="">
          <xdr:nvSpPr>
            <xdr:cNvPr id="286889" name="Option Button 184489" hidden="1">
              <a:extLst>
                <a:ext uri="{63B3BB69-23CF-44E3-9099-C40C66FF867C}">
                  <a14:compatExt spid="_x0000_s2868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174</xdr:row>
          <xdr:rowOff>419100</xdr:rowOff>
        </xdr:from>
        <xdr:to>
          <xdr:col>14</xdr:col>
          <xdr:colOff>390525</xdr:colOff>
          <xdr:row>174</xdr:row>
          <xdr:rowOff>609600</xdr:rowOff>
        </xdr:to>
        <xdr:sp macro="" textlink="">
          <xdr:nvSpPr>
            <xdr:cNvPr id="286890" name="Option Button 184490" hidden="1">
              <a:extLst>
                <a:ext uri="{63B3BB69-23CF-44E3-9099-C40C66FF867C}">
                  <a14:compatExt spid="_x0000_s2868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174</xdr:row>
          <xdr:rowOff>419100</xdr:rowOff>
        </xdr:from>
        <xdr:to>
          <xdr:col>15</xdr:col>
          <xdr:colOff>390525</xdr:colOff>
          <xdr:row>174</xdr:row>
          <xdr:rowOff>609600</xdr:rowOff>
        </xdr:to>
        <xdr:sp macro="" textlink="">
          <xdr:nvSpPr>
            <xdr:cNvPr id="286891" name="Option Button 184491" hidden="1">
              <a:extLst>
                <a:ext uri="{63B3BB69-23CF-44E3-9099-C40C66FF867C}">
                  <a14:compatExt spid="_x0000_s2868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174</xdr:row>
          <xdr:rowOff>419100</xdr:rowOff>
        </xdr:from>
        <xdr:to>
          <xdr:col>16</xdr:col>
          <xdr:colOff>390525</xdr:colOff>
          <xdr:row>174</xdr:row>
          <xdr:rowOff>609600</xdr:rowOff>
        </xdr:to>
        <xdr:sp macro="" textlink="">
          <xdr:nvSpPr>
            <xdr:cNvPr id="286892" name="Option Button 184492" hidden="1">
              <a:extLst>
                <a:ext uri="{63B3BB69-23CF-44E3-9099-C40C66FF867C}">
                  <a14:compatExt spid="_x0000_s2868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175</xdr:row>
          <xdr:rowOff>0</xdr:rowOff>
        </xdr:from>
        <xdr:to>
          <xdr:col>17</xdr:col>
          <xdr:colOff>0</xdr:colOff>
          <xdr:row>176</xdr:row>
          <xdr:rowOff>0</xdr:rowOff>
        </xdr:to>
        <xdr:sp macro="" textlink="">
          <xdr:nvSpPr>
            <xdr:cNvPr id="286893" name="Group Box 184493" hidden="1">
              <a:extLst>
                <a:ext uri="{63B3BB69-23CF-44E3-9099-C40C66FF867C}">
                  <a14:compatExt spid="_x0000_s2868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175</xdr:row>
          <xdr:rowOff>419100</xdr:rowOff>
        </xdr:from>
        <xdr:to>
          <xdr:col>12</xdr:col>
          <xdr:colOff>419100</xdr:colOff>
          <xdr:row>175</xdr:row>
          <xdr:rowOff>609600</xdr:rowOff>
        </xdr:to>
        <xdr:sp macro="" textlink="">
          <xdr:nvSpPr>
            <xdr:cNvPr id="286894" name="Option Button 184494" hidden="1">
              <a:extLst>
                <a:ext uri="{63B3BB69-23CF-44E3-9099-C40C66FF867C}">
                  <a14:compatExt spid="_x0000_s2868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175</xdr:row>
          <xdr:rowOff>419100</xdr:rowOff>
        </xdr:from>
        <xdr:to>
          <xdr:col>13</xdr:col>
          <xdr:colOff>390525</xdr:colOff>
          <xdr:row>175</xdr:row>
          <xdr:rowOff>609600</xdr:rowOff>
        </xdr:to>
        <xdr:sp macro="" textlink="">
          <xdr:nvSpPr>
            <xdr:cNvPr id="286895" name="Option Button 184495" hidden="1">
              <a:extLst>
                <a:ext uri="{63B3BB69-23CF-44E3-9099-C40C66FF867C}">
                  <a14:compatExt spid="_x0000_s2868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175</xdr:row>
          <xdr:rowOff>419100</xdr:rowOff>
        </xdr:from>
        <xdr:to>
          <xdr:col>14</xdr:col>
          <xdr:colOff>390525</xdr:colOff>
          <xdr:row>175</xdr:row>
          <xdr:rowOff>609600</xdr:rowOff>
        </xdr:to>
        <xdr:sp macro="" textlink="">
          <xdr:nvSpPr>
            <xdr:cNvPr id="286896" name="Option Button 184496" hidden="1">
              <a:extLst>
                <a:ext uri="{63B3BB69-23CF-44E3-9099-C40C66FF867C}">
                  <a14:compatExt spid="_x0000_s2868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175</xdr:row>
          <xdr:rowOff>419100</xdr:rowOff>
        </xdr:from>
        <xdr:to>
          <xdr:col>15</xdr:col>
          <xdr:colOff>390525</xdr:colOff>
          <xdr:row>175</xdr:row>
          <xdr:rowOff>609600</xdr:rowOff>
        </xdr:to>
        <xdr:sp macro="" textlink="">
          <xdr:nvSpPr>
            <xdr:cNvPr id="286897" name="Option Button 184497" hidden="1">
              <a:extLst>
                <a:ext uri="{63B3BB69-23CF-44E3-9099-C40C66FF867C}">
                  <a14:compatExt spid="_x0000_s2868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175</xdr:row>
          <xdr:rowOff>419100</xdr:rowOff>
        </xdr:from>
        <xdr:to>
          <xdr:col>16</xdr:col>
          <xdr:colOff>390525</xdr:colOff>
          <xdr:row>175</xdr:row>
          <xdr:rowOff>609600</xdr:rowOff>
        </xdr:to>
        <xdr:sp macro="" textlink="">
          <xdr:nvSpPr>
            <xdr:cNvPr id="286898" name="Option Button 184498" hidden="1">
              <a:extLst>
                <a:ext uri="{63B3BB69-23CF-44E3-9099-C40C66FF867C}">
                  <a14:compatExt spid="_x0000_s2868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176</xdr:row>
          <xdr:rowOff>0</xdr:rowOff>
        </xdr:from>
        <xdr:to>
          <xdr:col>17</xdr:col>
          <xdr:colOff>0</xdr:colOff>
          <xdr:row>177</xdr:row>
          <xdr:rowOff>0</xdr:rowOff>
        </xdr:to>
        <xdr:sp macro="" textlink="">
          <xdr:nvSpPr>
            <xdr:cNvPr id="286899" name="Group Box 184499" hidden="1">
              <a:extLst>
                <a:ext uri="{63B3BB69-23CF-44E3-9099-C40C66FF867C}">
                  <a14:compatExt spid="_x0000_s2868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176</xdr:row>
          <xdr:rowOff>419100</xdr:rowOff>
        </xdr:from>
        <xdr:to>
          <xdr:col>12</xdr:col>
          <xdr:colOff>419100</xdr:colOff>
          <xdr:row>176</xdr:row>
          <xdr:rowOff>609600</xdr:rowOff>
        </xdr:to>
        <xdr:sp macro="" textlink="">
          <xdr:nvSpPr>
            <xdr:cNvPr id="286900" name="Option Button 184500" hidden="1">
              <a:extLst>
                <a:ext uri="{63B3BB69-23CF-44E3-9099-C40C66FF867C}">
                  <a14:compatExt spid="_x0000_s2869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176</xdr:row>
          <xdr:rowOff>419100</xdr:rowOff>
        </xdr:from>
        <xdr:to>
          <xdr:col>13</xdr:col>
          <xdr:colOff>390525</xdr:colOff>
          <xdr:row>176</xdr:row>
          <xdr:rowOff>609600</xdr:rowOff>
        </xdr:to>
        <xdr:sp macro="" textlink="">
          <xdr:nvSpPr>
            <xdr:cNvPr id="286901" name="Option Button 184501" hidden="1">
              <a:extLst>
                <a:ext uri="{63B3BB69-23CF-44E3-9099-C40C66FF867C}">
                  <a14:compatExt spid="_x0000_s2869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176</xdr:row>
          <xdr:rowOff>419100</xdr:rowOff>
        </xdr:from>
        <xdr:to>
          <xdr:col>14</xdr:col>
          <xdr:colOff>390525</xdr:colOff>
          <xdr:row>176</xdr:row>
          <xdr:rowOff>609600</xdr:rowOff>
        </xdr:to>
        <xdr:sp macro="" textlink="">
          <xdr:nvSpPr>
            <xdr:cNvPr id="286902" name="Option Button 184502" hidden="1">
              <a:extLst>
                <a:ext uri="{63B3BB69-23CF-44E3-9099-C40C66FF867C}">
                  <a14:compatExt spid="_x0000_s2869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176</xdr:row>
          <xdr:rowOff>419100</xdr:rowOff>
        </xdr:from>
        <xdr:to>
          <xdr:col>15</xdr:col>
          <xdr:colOff>390525</xdr:colOff>
          <xdr:row>176</xdr:row>
          <xdr:rowOff>609600</xdr:rowOff>
        </xdr:to>
        <xdr:sp macro="" textlink="">
          <xdr:nvSpPr>
            <xdr:cNvPr id="286903" name="Option Button 184503" hidden="1">
              <a:extLst>
                <a:ext uri="{63B3BB69-23CF-44E3-9099-C40C66FF867C}">
                  <a14:compatExt spid="_x0000_s2869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176</xdr:row>
          <xdr:rowOff>419100</xdr:rowOff>
        </xdr:from>
        <xdr:to>
          <xdr:col>16</xdr:col>
          <xdr:colOff>390525</xdr:colOff>
          <xdr:row>176</xdr:row>
          <xdr:rowOff>609600</xdr:rowOff>
        </xdr:to>
        <xdr:sp macro="" textlink="">
          <xdr:nvSpPr>
            <xdr:cNvPr id="286904" name="Option Button 184504" hidden="1">
              <a:extLst>
                <a:ext uri="{63B3BB69-23CF-44E3-9099-C40C66FF867C}">
                  <a14:compatExt spid="_x0000_s2869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177</xdr:row>
          <xdr:rowOff>419100</xdr:rowOff>
        </xdr:from>
        <xdr:to>
          <xdr:col>12</xdr:col>
          <xdr:colOff>419100</xdr:colOff>
          <xdr:row>177</xdr:row>
          <xdr:rowOff>609600</xdr:rowOff>
        </xdr:to>
        <xdr:sp macro="" textlink="">
          <xdr:nvSpPr>
            <xdr:cNvPr id="286936" name="Option Button 184536" hidden="1">
              <a:extLst>
                <a:ext uri="{63B3BB69-23CF-44E3-9099-C40C66FF867C}">
                  <a14:compatExt spid="_x0000_s2869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177</xdr:row>
          <xdr:rowOff>419100</xdr:rowOff>
        </xdr:from>
        <xdr:to>
          <xdr:col>13</xdr:col>
          <xdr:colOff>390525</xdr:colOff>
          <xdr:row>177</xdr:row>
          <xdr:rowOff>609600</xdr:rowOff>
        </xdr:to>
        <xdr:sp macro="" textlink="">
          <xdr:nvSpPr>
            <xdr:cNvPr id="286937" name="Option Button 184537" hidden="1">
              <a:extLst>
                <a:ext uri="{63B3BB69-23CF-44E3-9099-C40C66FF867C}">
                  <a14:compatExt spid="_x0000_s2869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177</xdr:row>
          <xdr:rowOff>419100</xdr:rowOff>
        </xdr:from>
        <xdr:to>
          <xdr:col>14</xdr:col>
          <xdr:colOff>390525</xdr:colOff>
          <xdr:row>177</xdr:row>
          <xdr:rowOff>609600</xdr:rowOff>
        </xdr:to>
        <xdr:sp macro="" textlink="">
          <xdr:nvSpPr>
            <xdr:cNvPr id="286938" name="Option Button 184538" hidden="1">
              <a:extLst>
                <a:ext uri="{63B3BB69-23CF-44E3-9099-C40C66FF867C}">
                  <a14:compatExt spid="_x0000_s2869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177</xdr:row>
          <xdr:rowOff>419100</xdr:rowOff>
        </xdr:from>
        <xdr:to>
          <xdr:col>15</xdr:col>
          <xdr:colOff>390525</xdr:colOff>
          <xdr:row>177</xdr:row>
          <xdr:rowOff>609600</xdr:rowOff>
        </xdr:to>
        <xdr:sp macro="" textlink="">
          <xdr:nvSpPr>
            <xdr:cNvPr id="286939" name="Option Button 184539" hidden="1">
              <a:extLst>
                <a:ext uri="{63B3BB69-23CF-44E3-9099-C40C66FF867C}">
                  <a14:compatExt spid="_x0000_s2869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177</xdr:row>
          <xdr:rowOff>419100</xdr:rowOff>
        </xdr:from>
        <xdr:to>
          <xdr:col>16</xdr:col>
          <xdr:colOff>390525</xdr:colOff>
          <xdr:row>177</xdr:row>
          <xdr:rowOff>609600</xdr:rowOff>
        </xdr:to>
        <xdr:sp macro="" textlink="">
          <xdr:nvSpPr>
            <xdr:cNvPr id="286940" name="Option Button 184540" hidden="1">
              <a:extLst>
                <a:ext uri="{63B3BB69-23CF-44E3-9099-C40C66FF867C}">
                  <a14:compatExt spid="_x0000_s2869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75</xdr:row>
          <xdr:rowOff>0</xdr:rowOff>
        </xdr:from>
        <xdr:to>
          <xdr:col>16</xdr:col>
          <xdr:colOff>638175</xdr:colOff>
          <xdr:row>123</xdr:row>
          <xdr:rowOff>0</xdr:rowOff>
        </xdr:to>
        <xdr:sp macro="" textlink="">
          <xdr:nvSpPr>
            <xdr:cNvPr id="286947" name="Group Box 184547" hidden="1">
              <a:extLst>
                <a:ext uri="{63B3BB69-23CF-44E3-9099-C40C66FF867C}">
                  <a14:compatExt spid="_x0000_s2869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77</xdr:row>
          <xdr:rowOff>38100</xdr:rowOff>
        </xdr:from>
        <xdr:to>
          <xdr:col>12</xdr:col>
          <xdr:colOff>419100</xdr:colOff>
          <xdr:row>85</xdr:row>
          <xdr:rowOff>180975</xdr:rowOff>
        </xdr:to>
        <xdr:sp macro="" textlink="">
          <xdr:nvSpPr>
            <xdr:cNvPr id="286948" name="Option Button 184548" hidden="1">
              <a:extLst>
                <a:ext uri="{63B3BB69-23CF-44E3-9099-C40C66FF867C}">
                  <a14:compatExt spid="_x0000_s2869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77</xdr:row>
          <xdr:rowOff>38100</xdr:rowOff>
        </xdr:from>
        <xdr:to>
          <xdr:col>13</xdr:col>
          <xdr:colOff>390525</xdr:colOff>
          <xdr:row>85</xdr:row>
          <xdr:rowOff>180975</xdr:rowOff>
        </xdr:to>
        <xdr:sp macro="" textlink="">
          <xdr:nvSpPr>
            <xdr:cNvPr id="286949" name="Option Button 184549" hidden="1">
              <a:extLst>
                <a:ext uri="{63B3BB69-23CF-44E3-9099-C40C66FF867C}">
                  <a14:compatExt spid="_x0000_s2869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77</xdr:row>
          <xdr:rowOff>38100</xdr:rowOff>
        </xdr:from>
        <xdr:to>
          <xdr:col>14</xdr:col>
          <xdr:colOff>390525</xdr:colOff>
          <xdr:row>85</xdr:row>
          <xdr:rowOff>180975</xdr:rowOff>
        </xdr:to>
        <xdr:sp macro="" textlink="">
          <xdr:nvSpPr>
            <xdr:cNvPr id="286950" name="Option Button 184550" hidden="1">
              <a:extLst>
                <a:ext uri="{63B3BB69-23CF-44E3-9099-C40C66FF867C}">
                  <a14:compatExt spid="_x0000_s2869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77</xdr:row>
          <xdr:rowOff>38100</xdr:rowOff>
        </xdr:from>
        <xdr:to>
          <xdr:col>15</xdr:col>
          <xdr:colOff>390525</xdr:colOff>
          <xdr:row>85</xdr:row>
          <xdr:rowOff>180975</xdr:rowOff>
        </xdr:to>
        <xdr:sp macro="" textlink="">
          <xdr:nvSpPr>
            <xdr:cNvPr id="286951" name="Option Button 184551" hidden="1">
              <a:extLst>
                <a:ext uri="{63B3BB69-23CF-44E3-9099-C40C66FF867C}">
                  <a14:compatExt spid="_x0000_s2869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77</xdr:row>
          <xdr:rowOff>38100</xdr:rowOff>
        </xdr:from>
        <xdr:to>
          <xdr:col>16</xdr:col>
          <xdr:colOff>390525</xdr:colOff>
          <xdr:row>85</xdr:row>
          <xdr:rowOff>180975</xdr:rowOff>
        </xdr:to>
        <xdr:sp macro="" textlink="">
          <xdr:nvSpPr>
            <xdr:cNvPr id="286952" name="Option Button 184552" hidden="1">
              <a:extLst>
                <a:ext uri="{63B3BB69-23CF-44E3-9099-C40C66FF867C}">
                  <a14:compatExt spid="_x0000_s2869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135</xdr:row>
          <xdr:rowOff>0</xdr:rowOff>
        </xdr:from>
        <xdr:to>
          <xdr:col>16</xdr:col>
          <xdr:colOff>638175</xdr:colOff>
          <xdr:row>158</xdr:row>
          <xdr:rowOff>9525</xdr:rowOff>
        </xdr:to>
        <xdr:sp macro="" textlink="">
          <xdr:nvSpPr>
            <xdr:cNvPr id="286953" name="Group Box 184553" hidden="1">
              <a:extLst>
                <a:ext uri="{63B3BB69-23CF-44E3-9099-C40C66FF867C}">
                  <a14:compatExt spid="_x0000_s2869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137</xdr:row>
          <xdr:rowOff>38100</xdr:rowOff>
        </xdr:from>
        <xdr:to>
          <xdr:col>12</xdr:col>
          <xdr:colOff>419100</xdr:colOff>
          <xdr:row>141</xdr:row>
          <xdr:rowOff>38100</xdr:rowOff>
        </xdr:to>
        <xdr:sp macro="" textlink="">
          <xdr:nvSpPr>
            <xdr:cNvPr id="286954" name="Option Button 184554" hidden="1">
              <a:extLst>
                <a:ext uri="{63B3BB69-23CF-44E3-9099-C40C66FF867C}">
                  <a14:compatExt spid="_x0000_s2869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137</xdr:row>
          <xdr:rowOff>38100</xdr:rowOff>
        </xdr:from>
        <xdr:to>
          <xdr:col>13</xdr:col>
          <xdr:colOff>390525</xdr:colOff>
          <xdr:row>141</xdr:row>
          <xdr:rowOff>38100</xdr:rowOff>
        </xdr:to>
        <xdr:sp macro="" textlink="">
          <xdr:nvSpPr>
            <xdr:cNvPr id="286955" name="Option Button 184555" hidden="1">
              <a:extLst>
                <a:ext uri="{63B3BB69-23CF-44E3-9099-C40C66FF867C}">
                  <a14:compatExt spid="_x0000_s2869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137</xdr:row>
          <xdr:rowOff>38100</xdr:rowOff>
        </xdr:from>
        <xdr:to>
          <xdr:col>14</xdr:col>
          <xdr:colOff>390525</xdr:colOff>
          <xdr:row>141</xdr:row>
          <xdr:rowOff>38100</xdr:rowOff>
        </xdr:to>
        <xdr:sp macro="" textlink="">
          <xdr:nvSpPr>
            <xdr:cNvPr id="286956" name="Option Button 184556" hidden="1">
              <a:extLst>
                <a:ext uri="{63B3BB69-23CF-44E3-9099-C40C66FF867C}">
                  <a14:compatExt spid="_x0000_s2869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137</xdr:row>
          <xdr:rowOff>38100</xdr:rowOff>
        </xdr:from>
        <xdr:to>
          <xdr:col>15</xdr:col>
          <xdr:colOff>390525</xdr:colOff>
          <xdr:row>141</xdr:row>
          <xdr:rowOff>38100</xdr:rowOff>
        </xdr:to>
        <xdr:sp macro="" textlink="">
          <xdr:nvSpPr>
            <xdr:cNvPr id="286957" name="Option Button 184557" hidden="1">
              <a:extLst>
                <a:ext uri="{63B3BB69-23CF-44E3-9099-C40C66FF867C}">
                  <a14:compatExt spid="_x0000_s2869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137</xdr:row>
          <xdr:rowOff>38100</xdr:rowOff>
        </xdr:from>
        <xdr:to>
          <xdr:col>16</xdr:col>
          <xdr:colOff>390525</xdr:colOff>
          <xdr:row>141</xdr:row>
          <xdr:rowOff>38100</xdr:rowOff>
        </xdr:to>
        <xdr:sp macro="" textlink="">
          <xdr:nvSpPr>
            <xdr:cNvPr id="286958" name="Option Button 184558" hidden="1">
              <a:extLst>
                <a:ext uri="{63B3BB69-23CF-44E3-9099-C40C66FF867C}">
                  <a14:compatExt spid="_x0000_s2869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178</xdr:row>
          <xdr:rowOff>0</xdr:rowOff>
        </xdr:from>
        <xdr:to>
          <xdr:col>17</xdr:col>
          <xdr:colOff>0</xdr:colOff>
          <xdr:row>179</xdr:row>
          <xdr:rowOff>0</xdr:rowOff>
        </xdr:to>
        <xdr:sp macro="" textlink="">
          <xdr:nvSpPr>
            <xdr:cNvPr id="319418" name="Group Box 206778" hidden="1">
              <a:extLst>
                <a:ext uri="{63B3BB69-23CF-44E3-9099-C40C66FF867C}">
                  <a14:compatExt spid="_x0000_s319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178</xdr:row>
          <xdr:rowOff>419100</xdr:rowOff>
        </xdr:from>
        <xdr:to>
          <xdr:col>12</xdr:col>
          <xdr:colOff>419100</xdr:colOff>
          <xdr:row>178</xdr:row>
          <xdr:rowOff>609600</xdr:rowOff>
        </xdr:to>
        <xdr:sp macro="" textlink="">
          <xdr:nvSpPr>
            <xdr:cNvPr id="319419" name="Option Button 206779" hidden="1">
              <a:extLst>
                <a:ext uri="{63B3BB69-23CF-44E3-9099-C40C66FF867C}">
                  <a14:compatExt spid="_x0000_s319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178</xdr:row>
          <xdr:rowOff>419100</xdr:rowOff>
        </xdr:from>
        <xdr:to>
          <xdr:col>13</xdr:col>
          <xdr:colOff>390525</xdr:colOff>
          <xdr:row>178</xdr:row>
          <xdr:rowOff>609600</xdr:rowOff>
        </xdr:to>
        <xdr:sp macro="" textlink="">
          <xdr:nvSpPr>
            <xdr:cNvPr id="319420" name="Option Button 206780" hidden="1">
              <a:extLst>
                <a:ext uri="{63B3BB69-23CF-44E3-9099-C40C66FF867C}">
                  <a14:compatExt spid="_x0000_s3194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152400</xdr:colOff>
          <xdr:row>178</xdr:row>
          <xdr:rowOff>419100</xdr:rowOff>
        </xdr:from>
        <xdr:to>
          <xdr:col>14</xdr:col>
          <xdr:colOff>390525</xdr:colOff>
          <xdr:row>178</xdr:row>
          <xdr:rowOff>609600</xdr:rowOff>
        </xdr:to>
        <xdr:sp macro="" textlink="">
          <xdr:nvSpPr>
            <xdr:cNvPr id="319421" name="Option Button 206781" hidden="1">
              <a:extLst>
                <a:ext uri="{63B3BB69-23CF-44E3-9099-C40C66FF867C}">
                  <a14:compatExt spid="_x0000_s3194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178</xdr:row>
          <xdr:rowOff>419100</xdr:rowOff>
        </xdr:from>
        <xdr:to>
          <xdr:col>15</xdr:col>
          <xdr:colOff>390525</xdr:colOff>
          <xdr:row>178</xdr:row>
          <xdr:rowOff>609600</xdr:rowOff>
        </xdr:to>
        <xdr:sp macro="" textlink="">
          <xdr:nvSpPr>
            <xdr:cNvPr id="319422" name="Option Button 206782" hidden="1">
              <a:extLst>
                <a:ext uri="{63B3BB69-23CF-44E3-9099-C40C66FF867C}">
                  <a14:compatExt spid="_x0000_s3194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178</xdr:row>
          <xdr:rowOff>419100</xdr:rowOff>
        </xdr:from>
        <xdr:to>
          <xdr:col>16</xdr:col>
          <xdr:colOff>390525</xdr:colOff>
          <xdr:row>178</xdr:row>
          <xdr:rowOff>609600</xdr:rowOff>
        </xdr:to>
        <xdr:sp macro="" textlink="">
          <xdr:nvSpPr>
            <xdr:cNvPr id="319423" name="Option Button 206783" hidden="1">
              <a:extLst>
                <a:ext uri="{63B3BB69-23CF-44E3-9099-C40C66FF867C}">
                  <a14:compatExt spid="_x0000_s3194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187</xdr:row>
          <xdr:rowOff>0</xdr:rowOff>
        </xdr:from>
        <xdr:to>
          <xdr:col>24</xdr:col>
          <xdr:colOff>0</xdr:colOff>
          <xdr:row>189</xdr:row>
          <xdr:rowOff>0</xdr:rowOff>
        </xdr:to>
        <xdr:sp macro="" textlink="">
          <xdr:nvSpPr>
            <xdr:cNvPr id="407691" name="Group Box 263307" hidden="1">
              <a:extLst>
                <a:ext uri="{63B3BB69-23CF-44E3-9099-C40C66FF867C}">
                  <a14:compatExt spid="_x0000_s4076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66675</xdr:colOff>
          <xdr:row>187</xdr:row>
          <xdr:rowOff>200025</xdr:rowOff>
        </xdr:from>
        <xdr:to>
          <xdr:col>20</xdr:col>
          <xdr:colOff>9525</xdr:colOff>
          <xdr:row>188</xdr:row>
          <xdr:rowOff>9525</xdr:rowOff>
        </xdr:to>
        <xdr:sp macro="" textlink="">
          <xdr:nvSpPr>
            <xdr:cNvPr id="407692" name="Option Button 263308" hidden="1">
              <a:extLst>
                <a:ext uri="{63B3BB69-23CF-44E3-9099-C40C66FF867C}">
                  <a14:compatExt spid="_x0000_s4076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187</xdr:row>
          <xdr:rowOff>200025</xdr:rowOff>
        </xdr:from>
        <xdr:to>
          <xdr:col>20</xdr:col>
          <xdr:colOff>276225</xdr:colOff>
          <xdr:row>188</xdr:row>
          <xdr:rowOff>9525</xdr:rowOff>
        </xdr:to>
        <xdr:sp macro="" textlink="">
          <xdr:nvSpPr>
            <xdr:cNvPr id="407693" name="Option Button 263309" hidden="1">
              <a:extLst>
                <a:ext uri="{63B3BB69-23CF-44E3-9099-C40C66FF867C}">
                  <a14:compatExt spid="_x0000_s4076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187</xdr:row>
          <xdr:rowOff>200025</xdr:rowOff>
        </xdr:from>
        <xdr:to>
          <xdr:col>21</xdr:col>
          <xdr:colOff>276225</xdr:colOff>
          <xdr:row>188</xdr:row>
          <xdr:rowOff>9525</xdr:rowOff>
        </xdr:to>
        <xdr:sp macro="" textlink="">
          <xdr:nvSpPr>
            <xdr:cNvPr id="407694" name="Option Button 263310" hidden="1">
              <a:extLst>
                <a:ext uri="{63B3BB69-23CF-44E3-9099-C40C66FF867C}">
                  <a14:compatExt spid="_x0000_s4076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187</xdr:row>
          <xdr:rowOff>219075</xdr:rowOff>
        </xdr:from>
        <xdr:to>
          <xdr:col>22</xdr:col>
          <xdr:colOff>276225</xdr:colOff>
          <xdr:row>188</xdr:row>
          <xdr:rowOff>28575</xdr:rowOff>
        </xdr:to>
        <xdr:sp macro="" textlink="">
          <xdr:nvSpPr>
            <xdr:cNvPr id="407695" name="Option Button 263311" hidden="1">
              <a:extLst>
                <a:ext uri="{63B3BB69-23CF-44E3-9099-C40C66FF867C}">
                  <a14:compatExt spid="_x0000_s4076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187</xdr:row>
          <xdr:rowOff>190500</xdr:rowOff>
        </xdr:from>
        <xdr:to>
          <xdr:col>23</xdr:col>
          <xdr:colOff>285750</xdr:colOff>
          <xdr:row>188</xdr:row>
          <xdr:rowOff>9525</xdr:rowOff>
        </xdr:to>
        <xdr:sp macro="" textlink="">
          <xdr:nvSpPr>
            <xdr:cNvPr id="407696" name="Option Button 263312" hidden="1">
              <a:extLst>
                <a:ext uri="{63B3BB69-23CF-44E3-9099-C40C66FF867C}">
                  <a14:compatExt spid="_x0000_s4076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189</xdr:row>
          <xdr:rowOff>0</xdr:rowOff>
        </xdr:from>
        <xdr:to>
          <xdr:col>24</xdr:col>
          <xdr:colOff>0</xdr:colOff>
          <xdr:row>191</xdr:row>
          <xdr:rowOff>0</xdr:rowOff>
        </xdr:to>
        <xdr:sp macro="" textlink="">
          <xdr:nvSpPr>
            <xdr:cNvPr id="411763" name="Group Box 265331" hidden="1">
              <a:extLst>
                <a:ext uri="{63B3BB69-23CF-44E3-9099-C40C66FF867C}">
                  <a14:compatExt spid="_x0000_s4117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66675</xdr:colOff>
          <xdr:row>189</xdr:row>
          <xdr:rowOff>200025</xdr:rowOff>
        </xdr:from>
        <xdr:to>
          <xdr:col>20</xdr:col>
          <xdr:colOff>9525</xdr:colOff>
          <xdr:row>190</xdr:row>
          <xdr:rowOff>9525</xdr:rowOff>
        </xdr:to>
        <xdr:sp macro="" textlink="">
          <xdr:nvSpPr>
            <xdr:cNvPr id="411764" name="Option Button 265332" hidden="1">
              <a:extLst>
                <a:ext uri="{63B3BB69-23CF-44E3-9099-C40C66FF867C}">
                  <a14:compatExt spid="_x0000_s4117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189</xdr:row>
          <xdr:rowOff>200025</xdr:rowOff>
        </xdr:from>
        <xdr:to>
          <xdr:col>20</xdr:col>
          <xdr:colOff>276225</xdr:colOff>
          <xdr:row>190</xdr:row>
          <xdr:rowOff>9525</xdr:rowOff>
        </xdr:to>
        <xdr:sp macro="" textlink="">
          <xdr:nvSpPr>
            <xdr:cNvPr id="411765" name="Option Button 265333" hidden="1">
              <a:extLst>
                <a:ext uri="{63B3BB69-23CF-44E3-9099-C40C66FF867C}">
                  <a14:compatExt spid="_x0000_s4117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189</xdr:row>
          <xdr:rowOff>200025</xdr:rowOff>
        </xdr:from>
        <xdr:to>
          <xdr:col>21</xdr:col>
          <xdr:colOff>276225</xdr:colOff>
          <xdr:row>190</xdr:row>
          <xdr:rowOff>9525</xdr:rowOff>
        </xdr:to>
        <xdr:sp macro="" textlink="">
          <xdr:nvSpPr>
            <xdr:cNvPr id="411766" name="Option Button 265334" hidden="1">
              <a:extLst>
                <a:ext uri="{63B3BB69-23CF-44E3-9099-C40C66FF867C}">
                  <a14:compatExt spid="_x0000_s4117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189</xdr:row>
          <xdr:rowOff>219075</xdr:rowOff>
        </xdr:from>
        <xdr:to>
          <xdr:col>22</xdr:col>
          <xdr:colOff>276225</xdr:colOff>
          <xdr:row>190</xdr:row>
          <xdr:rowOff>28575</xdr:rowOff>
        </xdr:to>
        <xdr:sp macro="" textlink="">
          <xdr:nvSpPr>
            <xdr:cNvPr id="411767" name="Option Button 265335" hidden="1">
              <a:extLst>
                <a:ext uri="{63B3BB69-23CF-44E3-9099-C40C66FF867C}">
                  <a14:compatExt spid="_x0000_s4117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189</xdr:row>
          <xdr:rowOff>190500</xdr:rowOff>
        </xdr:from>
        <xdr:to>
          <xdr:col>23</xdr:col>
          <xdr:colOff>285750</xdr:colOff>
          <xdr:row>190</xdr:row>
          <xdr:rowOff>9525</xdr:rowOff>
        </xdr:to>
        <xdr:sp macro="" textlink="">
          <xdr:nvSpPr>
            <xdr:cNvPr id="411768" name="Option Button 265336" hidden="1">
              <a:extLst>
                <a:ext uri="{63B3BB69-23CF-44E3-9099-C40C66FF867C}">
                  <a14:compatExt spid="_x0000_s4117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191</xdr:row>
          <xdr:rowOff>0</xdr:rowOff>
        </xdr:from>
        <xdr:to>
          <xdr:col>24</xdr:col>
          <xdr:colOff>0</xdr:colOff>
          <xdr:row>193</xdr:row>
          <xdr:rowOff>0</xdr:rowOff>
        </xdr:to>
        <xdr:sp macro="" textlink="">
          <xdr:nvSpPr>
            <xdr:cNvPr id="411769" name="Group Box 265337" hidden="1">
              <a:extLst>
                <a:ext uri="{63B3BB69-23CF-44E3-9099-C40C66FF867C}">
                  <a14:compatExt spid="_x0000_s4117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66675</xdr:colOff>
          <xdr:row>191</xdr:row>
          <xdr:rowOff>200025</xdr:rowOff>
        </xdr:from>
        <xdr:to>
          <xdr:col>20</xdr:col>
          <xdr:colOff>9525</xdr:colOff>
          <xdr:row>192</xdr:row>
          <xdr:rowOff>9525</xdr:rowOff>
        </xdr:to>
        <xdr:sp macro="" textlink="">
          <xdr:nvSpPr>
            <xdr:cNvPr id="411770" name="Option Button 265338" hidden="1">
              <a:extLst>
                <a:ext uri="{63B3BB69-23CF-44E3-9099-C40C66FF867C}">
                  <a14:compatExt spid="_x0000_s4117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191</xdr:row>
          <xdr:rowOff>200025</xdr:rowOff>
        </xdr:from>
        <xdr:to>
          <xdr:col>20</xdr:col>
          <xdr:colOff>276225</xdr:colOff>
          <xdr:row>192</xdr:row>
          <xdr:rowOff>9525</xdr:rowOff>
        </xdr:to>
        <xdr:sp macro="" textlink="">
          <xdr:nvSpPr>
            <xdr:cNvPr id="411771" name="Option Button 265339" hidden="1">
              <a:extLst>
                <a:ext uri="{63B3BB69-23CF-44E3-9099-C40C66FF867C}">
                  <a14:compatExt spid="_x0000_s4117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191</xdr:row>
          <xdr:rowOff>200025</xdr:rowOff>
        </xdr:from>
        <xdr:to>
          <xdr:col>21</xdr:col>
          <xdr:colOff>276225</xdr:colOff>
          <xdr:row>192</xdr:row>
          <xdr:rowOff>9525</xdr:rowOff>
        </xdr:to>
        <xdr:sp macro="" textlink="">
          <xdr:nvSpPr>
            <xdr:cNvPr id="411772" name="Option Button 265340" hidden="1">
              <a:extLst>
                <a:ext uri="{63B3BB69-23CF-44E3-9099-C40C66FF867C}">
                  <a14:compatExt spid="_x0000_s4117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191</xdr:row>
          <xdr:rowOff>219075</xdr:rowOff>
        </xdr:from>
        <xdr:to>
          <xdr:col>22</xdr:col>
          <xdr:colOff>276225</xdr:colOff>
          <xdr:row>192</xdr:row>
          <xdr:rowOff>28575</xdr:rowOff>
        </xdr:to>
        <xdr:sp macro="" textlink="">
          <xdr:nvSpPr>
            <xdr:cNvPr id="411773" name="Option Button 265341" hidden="1">
              <a:extLst>
                <a:ext uri="{63B3BB69-23CF-44E3-9099-C40C66FF867C}">
                  <a14:compatExt spid="_x0000_s4117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191</xdr:row>
          <xdr:rowOff>190500</xdr:rowOff>
        </xdr:from>
        <xdr:to>
          <xdr:col>23</xdr:col>
          <xdr:colOff>285750</xdr:colOff>
          <xdr:row>192</xdr:row>
          <xdr:rowOff>9525</xdr:rowOff>
        </xdr:to>
        <xdr:sp macro="" textlink="">
          <xdr:nvSpPr>
            <xdr:cNvPr id="411774" name="Option Button 265342" hidden="1">
              <a:extLst>
                <a:ext uri="{63B3BB69-23CF-44E3-9099-C40C66FF867C}">
                  <a14:compatExt spid="_x0000_s4117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193</xdr:row>
          <xdr:rowOff>0</xdr:rowOff>
        </xdr:from>
        <xdr:to>
          <xdr:col>24</xdr:col>
          <xdr:colOff>0</xdr:colOff>
          <xdr:row>195</xdr:row>
          <xdr:rowOff>0</xdr:rowOff>
        </xdr:to>
        <xdr:sp macro="" textlink="">
          <xdr:nvSpPr>
            <xdr:cNvPr id="411775" name="Group Box 265343" hidden="1">
              <a:extLst>
                <a:ext uri="{63B3BB69-23CF-44E3-9099-C40C66FF867C}">
                  <a14:compatExt spid="_x0000_s4117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66675</xdr:colOff>
          <xdr:row>193</xdr:row>
          <xdr:rowOff>200025</xdr:rowOff>
        </xdr:from>
        <xdr:to>
          <xdr:col>20</xdr:col>
          <xdr:colOff>9525</xdr:colOff>
          <xdr:row>194</xdr:row>
          <xdr:rowOff>9525</xdr:rowOff>
        </xdr:to>
        <xdr:sp macro="" textlink="">
          <xdr:nvSpPr>
            <xdr:cNvPr id="411776" name="Option Button 265344" hidden="1">
              <a:extLst>
                <a:ext uri="{63B3BB69-23CF-44E3-9099-C40C66FF867C}">
                  <a14:compatExt spid="_x0000_s4117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193</xdr:row>
          <xdr:rowOff>200025</xdr:rowOff>
        </xdr:from>
        <xdr:to>
          <xdr:col>20</xdr:col>
          <xdr:colOff>276225</xdr:colOff>
          <xdr:row>194</xdr:row>
          <xdr:rowOff>9525</xdr:rowOff>
        </xdr:to>
        <xdr:sp macro="" textlink="">
          <xdr:nvSpPr>
            <xdr:cNvPr id="411777" name="Option Button 265345" hidden="1">
              <a:extLst>
                <a:ext uri="{63B3BB69-23CF-44E3-9099-C40C66FF867C}">
                  <a14:compatExt spid="_x0000_s4117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193</xdr:row>
          <xdr:rowOff>200025</xdr:rowOff>
        </xdr:from>
        <xdr:to>
          <xdr:col>21</xdr:col>
          <xdr:colOff>276225</xdr:colOff>
          <xdr:row>194</xdr:row>
          <xdr:rowOff>9525</xdr:rowOff>
        </xdr:to>
        <xdr:sp macro="" textlink="">
          <xdr:nvSpPr>
            <xdr:cNvPr id="411778" name="Option Button 265346" hidden="1">
              <a:extLst>
                <a:ext uri="{63B3BB69-23CF-44E3-9099-C40C66FF867C}">
                  <a14:compatExt spid="_x0000_s4117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193</xdr:row>
          <xdr:rowOff>219075</xdr:rowOff>
        </xdr:from>
        <xdr:to>
          <xdr:col>22</xdr:col>
          <xdr:colOff>276225</xdr:colOff>
          <xdr:row>194</xdr:row>
          <xdr:rowOff>28575</xdr:rowOff>
        </xdr:to>
        <xdr:sp macro="" textlink="">
          <xdr:nvSpPr>
            <xdr:cNvPr id="411779" name="Option Button 265347" hidden="1">
              <a:extLst>
                <a:ext uri="{63B3BB69-23CF-44E3-9099-C40C66FF867C}">
                  <a14:compatExt spid="_x0000_s4117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193</xdr:row>
          <xdr:rowOff>190500</xdr:rowOff>
        </xdr:from>
        <xdr:to>
          <xdr:col>23</xdr:col>
          <xdr:colOff>285750</xdr:colOff>
          <xdr:row>194</xdr:row>
          <xdr:rowOff>9525</xdr:rowOff>
        </xdr:to>
        <xdr:sp macro="" textlink="">
          <xdr:nvSpPr>
            <xdr:cNvPr id="411780" name="Option Button 265348" hidden="1">
              <a:extLst>
                <a:ext uri="{63B3BB69-23CF-44E3-9099-C40C66FF867C}">
                  <a14:compatExt spid="_x0000_s4117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177</xdr:row>
          <xdr:rowOff>0</xdr:rowOff>
        </xdr:from>
        <xdr:to>
          <xdr:col>17</xdr:col>
          <xdr:colOff>0</xdr:colOff>
          <xdr:row>178</xdr:row>
          <xdr:rowOff>0</xdr:rowOff>
        </xdr:to>
        <xdr:sp macro="" textlink="">
          <xdr:nvSpPr>
            <xdr:cNvPr id="471598" name="Group Box 305710" hidden="1">
              <a:extLst>
                <a:ext uri="{63B3BB69-23CF-44E3-9099-C40C66FF867C}">
                  <a14:compatExt spid="_x0000_s4715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226</xdr:row>
          <xdr:rowOff>9525</xdr:rowOff>
        </xdr:from>
        <xdr:to>
          <xdr:col>16</xdr:col>
          <xdr:colOff>0</xdr:colOff>
          <xdr:row>226</xdr:row>
          <xdr:rowOff>381000</xdr:rowOff>
        </xdr:to>
        <xdr:sp macro="" textlink="">
          <xdr:nvSpPr>
            <xdr:cNvPr id="602430" name="Group Box 394558" hidden="1">
              <a:extLst>
                <a:ext uri="{63B3BB69-23CF-44E3-9099-C40C66FF867C}">
                  <a14:compatExt spid="_x0000_s6024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226</xdr:row>
          <xdr:rowOff>114300</xdr:rowOff>
        </xdr:from>
        <xdr:to>
          <xdr:col>11</xdr:col>
          <xdr:colOff>438150</xdr:colOff>
          <xdr:row>226</xdr:row>
          <xdr:rowOff>295275</xdr:rowOff>
        </xdr:to>
        <xdr:sp macro="" textlink="">
          <xdr:nvSpPr>
            <xdr:cNvPr id="602431" name="Option Button 394559" hidden="1">
              <a:extLst>
                <a:ext uri="{63B3BB69-23CF-44E3-9099-C40C66FF867C}">
                  <a14:compatExt spid="_x0000_s602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226</xdr:row>
          <xdr:rowOff>114300</xdr:rowOff>
        </xdr:from>
        <xdr:to>
          <xdr:col>12</xdr:col>
          <xdr:colOff>438150</xdr:colOff>
          <xdr:row>226</xdr:row>
          <xdr:rowOff>295275</xdr:rowOff>
        </xdr:to>
        <xdr:sp macro="" textlink="">
          <xdr:nvSpPr>
            <xdr:cNvPr id="602432" name="Option Button 394560" hidden="1">
              <a:extLst>
                <a:ext uri="{63B3BB69-23CF-44E3-9099-C40C66FF867C}">
                  <a14:compatExt spid="_x0000_s6024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226</xdr:row>
          <xdr:rowOff>114300</xdr:rowOff>
        </xdr:from>
        <xdr:to>
          <xdr:col>13</xdr:col>
          <xdr:colOff>438150</xdr:colOff>
          <xdr:row>226</xdr:row>
          <xdr:rowOff>295275</xdr:rowOff>
        </xdr:to>
        <xdr:sp macro="" textlink="">
          <xdr:nvSpPr>
            <xdr:cNvPr id="602433" name="Option Button 394561" hidden="1">
              <a:extLst>
                <a:ext uri="{63B3BB69-23CF-44E3-9099-C40C66FF867C}">
                  <a14:compatExt spid="_x0000_s602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226</xdr:row>
          <xdr:rowOff>114300</xdr:rowOff>
        </xdr:from>
        <xdr:to>
          <xdr:col>14</xdr:col>
          <xdr:colOff>438150</xdr:colOff>
          <xdr:row>226</xdr:row>
          <xdr:rowOff>295275</xdr:rowOff>
        </xdr:to>
        <xdr:sp macro="" textlink="">
          <xdr:nvSpPr>
            <xdr:cNvPr id="602434" name="Option Button 394562" hidden="1">
              <a:extLst>
                <a:ext uri="{63B3BB69-23CF-44E3-9099-C40C66FF867C}">
                  <a14:compatExt spid="_x0000_s6024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209</xdr:row>
          <xdr:rowOff>171450</xdr:rowOff>
        </xdr:from>
        <xdr:to>
          <xdr:col>16</xdr:col>
          <xdr:colOff>0</xdr:colOff>
          <xdr:row>210</xdr:row>
          <xdr:rowOff>381000</xdr:rowOff>
        </xdr:to>
        <xdr:sp macro="" textlink="">
          <xdr:nvSpPr>
            <xdr:cNvPr id="602435" name="Group Box 394563" hidden="1">
              <a:extLst>
                <a:ext uri="{63B3BB69-23CF-44E3-9099-C40C66FF867C}">
                  <a14:compatExt spid="_x0000_s6024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210</xdr:row>
          <xdr:rowOff>104775</xdr:rowOff>
        </xdr:from>
        <xdr:to>
          <xdr:col>11</xdr:col>
          <xdr:colOff>438150</xdr:colOff>
          <xdr:row>210</xdr:row>
          <xdr:rowOff>285750</xdr:rowOff>
        </xdr:to>
        <xdr:sp macro="" textlink="">
          <xdr:nvSpPr>
            <xdr:cNvPr id="602436" name="Option Button 394564" hidden="1">
              <a:extLst>
                <a:ext uri="{63B3BB69-23CF-44E3-9099-C40C66FF867C}">
                  <a14:compatExt spid="_x0000_s6024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210</xdr:row>
          <xdr:rowOff>104775</xdr:rowOff>
        </xdr:from>
        <xdr:to>
          <xdr:col>12</xdr:col>
          <xdr:colOff>438150</xdr:colOff>
          <xdr:row>210</xdr:row>
          <xdr:rowOff>285750</xdr:rowOff>
        </xdr:to>
        <xdr:sp macro="" textlink="">
          <xdr:nvSpPr>
            <xdr:cNvPr id="602437" name="Option Button 394565" hidden="1">
              <a:extLst>
                <a:ext uri="{63B3BB69-23CF-44E3-9099-C40C66FF867C}">
                  <a14:compatExt spid="_x0000_s6024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210</xdr:row>
          <xdr:rowOff>104775</xdr:rowOff>
        </xdr:from>
        <xdr:to>
          <xdr:col>13</xdr:col>
          <xdr:colOff>438150</xdr:colOff>
          <xdr:row>210</xdr:row>
          <xdr:rowOff>285750</xdr:rowOff>
        </xdr:to>
        <xdr:sp macro="" textlink="">
          <xdr:nvSpPr>
            <xdr:cNvPr id="602438" name="Option Button 394566" hidden="1">
              <a:extLst>
                <a:ext uri="{63B3BB69-23CF-44E3-9099-C40C66FF867C}">
                  <a14:compatExt spid="_x0000_s602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210</xdr:row>
          <xdr:rowOff>104775</xdr:rowOff>
        </xdr:from>
        <xdr:to>
          <xdr:col>14</xdr:col>
          <xdr:colOff>438150</xdr:colOff>
          <xdr:row>210</xdr:row>
          <xdr:rowOff>285750</xdr:rowOff>
        </xdr:to>
        <xdr:sp macro="" textlink="">
          <xdr:nvSpPr>
            <xdr:cNvPr id="602439" name="Option Button 394567" hidden="1">
              <a:extLst>
                <a:ext uri="{63B3BB69-23CF-44E3-9099-C40C66FF867C}">
                  <a14:compatExt spid="_x0000_s602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210</xdr:row>
          <xdr:rowOff>381000</xdr:rowOff>
        </xdr:from>
        <xdr:to>
          <xdr:col>16</xdr:col>
          <xdr:colOff>0</xdr:colOff>
          <xdr:row>211</xdr:row>
          <xdr:rowOff>381000</xdr:rowOff>
        </xdr:to>
        <xdr:sp macro="" textlink="">
          <xdr:nvSpPr>
            <xdr:cNvPr id="602440" name="Group Box 394568" hidden="1">
              <a:extLst>
                <a:ext uri="{63B3BB69-23CF-44E3-9099-C40C66FF867C}">
                  <a14:compatExt spid="_x0000_s6024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211</xdr:row>
          <xdr:rowOff>104775</xdr:rowOff>
        </xdr:from>
        <xdr:to>
          <xdr:col>11</xdr:col>
          <xdr:colOff>438150</xdr:colOff>
          <xdr:row>211</xdr:row>
          <xdr:rowOff>285750</xdr:rowOff>
        </xdr:to>
        <xdr:sp macro="" textlink="">
          <xdr:nvSpPr>
            <xdr:cNvPr id="602441" name="Option Button 394569" hidden="1">
              <a:extLst>
                <a:ext uri="{63B3BB69-23CF-44E3-9099-C40C66FF867C}">
                  <a14:compatExt spid="_x0000_s602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211</xdr:row>
          <xdr:rowOff>104775</xdr:rowOff>
        </xdr:from>
        <xdr:to>
          <xdr:col>12</xdr:col>
          <xdr:colOff>438150</xdr:colOff>
          <xdr:row>211</xdr:row>
          <xdr:rowOff>285750</xdr:rowOff>
        </xdr:to>
        <xdr:sp macro="" textlink="">
          <xdr:nvSpPr>
            <xdr:cNvPr id="602442" name="Option Button 394570" hidden="1">
              <a:extLst>
                <a:ext uri="{63B3BB69-23CF-44E3-9099-C40C66FF867C}">
                  <a14:compatExt spid="_x0000_s602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211</xdr:row>
          <xdr:rowOff>104775</xdr:rowOff>
        </xdr:from>
        <xdr:to>
          <xdr:col>13</xdr:col>
          <xdr:colOff>438150</xdr:colOff>
          <xdr:row>211</xdr:row>
          <xdr:rowOff>285750</xdr:rowOff>
        </xdr:to>
        <xdr:sp macro="" textlink="">
          <xdr:nvSpPr>
            <xdr:cNvPr id="602443" name="Option Button 394571" hidden="1">
              <a:extLst>
                <a:ext uri="{63B3BB69-23CF-44E3-9099-C40C66FF867C}">
                  <a14:compatExt spid="_x0000_s602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211</xdr:row>
          <xdr:rowOff>104775</xdr:rowOff>
        </xdr:from>
        <xdr:to>
          <xdr:col>14</xdr:col>
          <xdr:colOff>438150</xdr:colOff>
          <xdr:row>211</xdr:row>
          <xdr:rowOff>285750</xdr:rowOff>
        </xdr:to>
        <xdr:sp macro="" textlink="">
          <xdr:nvSpPr>
            <xdr:cNvPr id="602444" name="Option Button 394572" hidden="1">
              <a:extLst>
                <a:ext uri="{63B3BB69-23CF-44E3-9099-C40C66FF867C}">
                  <a14:compatExt spid="_x0000_s6024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211</xdr:row>
          <xdr:rowOff>381000</xdr:rowOff>
        </xdr:from>
        <xdr:to>
          <xdr:col>16</xdr:col>
          <xdr:colOff>0</xdr:colOff>
          <xdr:row>212</xdr:row>
          <xdr:rowOff>381000</xdr:rowOff>
        </xdr:to>
        <xdr:sp macro="" textlink="">
          <xdr:nvSpPr>
            <xdr:cNvPr id="602445" name="Group Box 394573" hidden="1">
              <a:extLst>
                <a:ext uri="{63B3BB69-23CF-44E3-9099-C40C66FF867C}">
                  <a14:compatExt spid="_x0000_s6024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212</xdr:row>
          <xdr:rowOff>104775</xdr:rowOff>
        </xdr:from>
        <xdr:to>
          <xdr:col>11</xdr:col>
          <xdr:colOff>438150</xdr:colOff>
          <xdr:row>212</xdr:row>
          <xdr:rowOff>285750</xdr:rowOff>
        </xdr:to>
        <xdr:sp macro="" textlink="">
          <xdr:nvSpPr>
            <xdr:cNvPr id="602446" name="Option Button 394574" hidden="1">
              <a:extLst>
                <a:ext uri="{63B3BB69-23CF-44E3-9099-C40C66FF867C}">
                  <a14:compatExt spid="_x0000_s6024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212</xdr:row>
          <xdr:rowOff>104775</xdr:rowOff>
        </xdr:from>
        <xdr:to>
          <xdr:col>12</xdr:col>
          <xdr:colOff>438150</xdr:colOff>
          <xdr:row>212</xdr:row>
          <xdr:rowOff>285750</xdr:rowOff>
        </xdr:to>
        <xdr:sp macro="" textlink="">
          <xdr:nvSpPr>
            <xdr:cNvPr id="602447" name="Option Button 394575" hidden="1">
              <a:extLst>
                <a:ext uri="{63B3BB69-23CF-44E3-9099-C40C66FF867C}">
                  <a14:compatExt spid="_x0000_s6024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212</xdr:row>
          <xdr:rowOff>104775</xdr:rowOff>
        </xdr:from>
        <xdr:to>
          <xdr:col>13</xdr:col>
          <xdr:colOff>438150</xdr:colOff>
          <xdr:row>212</xdr:row>
          <xdr:rowOff>285750</xdr:rowOff>
        </xdr:to>
        <xdr:sp macro="" textlink="">
          <xdr:nvSpPr>
            <xdr:cNvPr id="602448" name="Option Button 394576" hidden="1">
              <a:extLst>
                <a:ext uri="{63B3BB69-23CF-44E3-9099-C40C66FF867C}">
                  <a14:compatExt spid="_x0000_s6024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212</xdr:row>
          <xdr:rowOff>104775</xdr:rowOff>
        </xdr:from>
        <xdr:to>
          <xdr:col>14</xdr:col>
          <xdr:colOff>438150</xdr:colOff>
          <xdr:row>212</xdr:row>
          <xdr:rowOff>285750</xdr:rowOff>
        </xdr:to>
        <xdr:sp macro="" textlink="">
          <xdr:nvSpPr>
            <xdr:cNvPr id="602449" name="Option Button 394577" hidden="1">
              <a:extLst>
                <a:ext uri="{63B3BB69-23CF-44E3-9099-C40C66FF867C}">
                  <a14:compatExt spid="_x0000_s602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212</xdr:row>
          <xdr:rowOff>381000</xdr:rowOff>
        </xdr:from>
        <xdr:to>
          <xdr:col>16</xdr:col>
          <xdr:colOff>0</xdr:colOff>
          <xdr:row>213</xdr:row>
          <xdr:rowOff>381000</xdr:rowOff>
        </xdr:to>
        <xdr:sp macro="" textlink="">
          <xdr:nvSpPr>
            <xdr:cNvPr id="602450" name="Group Box 394578" hidden="1">
              <a:extLst>
                <a:ext uri="{63B3BB69-23CF-44E3-9099-C40C66FF867C}">
                  <a14:compatExt spid="_x0000_s6024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213</xdr:row>
          <xdr:rowOff>104775</xdr:rowOff>
        </xdr:from>
        <xdr:to>
          <xdr:col>11</xdr:col>
          <xdr:colOff>438150</xdr:colOff>
          <xdr:row>213</xdr:row>
          <xdr:rowOff>285750</xdr:rowOff>
        </xdr:to>
        <xdr:sp macro="" textlink="">
          <xdr:nvSpPr>
            <xdr:cNvPr id="602451" name="Option Button 394579" hidden="1">
              <a:extLst>
                <a:ext uri="{63B3BB69-23CF-44E3-9099-C40C66FF867C}">
                  <a14:compatExt spid="_x0000_s6024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213</xdr:row>
          <xdr:rowOff>104775</xdr:rowOff>
        </xdr:from>
        <xdr:to>
          <xdr:col>12</xdr:col>
          <xdr:colOff>438150</xdr:colOff>
          <xdr:row>213</xdr:row>
          <xdr:rowOff>285750</xdr:rowOff>
        </xdr:to>
        <xdr:sp macro="" textlink="">
          <xdr:nvSpPr>
            <xdr:cNvPr id="602452" name="Option Button 394580" hidden="1">
              <a:extLst>
                <a:ext uri="{63B3BB69-23CF-44E3-9099-C40C66FF867C}">
                  <a14:compatExt spid="_x0000_s6024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213</xdr:row>
          <xdr:rowOff>104775</xdr:rowOff>
        </xdr:from>
        <xdr:to>
          <xdr:col>13</xdr:col>
          <xdr:colOff>438150</xdr:colOff>
          <xdr:row>213</xdr:row>
          <xdr:rowOff>285750</xdr:rowOff>
        </xdr:to>
        <xdr:sp macro="" textlink="">
          <xdr:nvSpPr>
            <xdr:cNvPr id="602453" name="Option Button 394581" hidden="1">
              <a:extLst>
                <a:ext uri="{63B3BB69-23CF-44E3-9099-C40C66FF867C}">
                  <a14:compatExt spid="_x0000_s6024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213</xdr:row>
          <xdr:rowOff>104775</xdr:rowOff>
        </xdr:from>
        <xdr:to>
          <xdr:col>14</xdr:col>
          <xdr:colOff>438150</xdr:colOff>
          <xdr:row>213</xdr:row>
          <xdr:rowOff>285750</xdr:rowOff>
        </xdr:to>
        <xdr:sp macro="" textlink="">
          <xdr:nvSpPr>
            <xdr:cNvPr id="602454" name="Option Button 394582" hidden="1">
              <a:extLst>
                <a:ext uri="{63B3BB69-23CF-44E3-9099-C40C66FF867C}">
                  <a14:compatExt spid="_x0000_s6024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214</xdr:row>
          <xdr:rowOff>171450</xdr:rowOff>
        </xdr:from>
        <xdr:to>
          <xdr:col>16</xdr:col>
          <xdr:colOff>0</xdr:colOff>
          <xdr:row>215</xdr:row>
          <xdr:rowOff>381000</xdr:rowOff>
        </xdr:to>
        <xdr:sp macro="" textlink="">
          <xdr:nvSpPr>
            <xdr:cNvPr id="602455" name="Group Box 394583" hidden="1">
              <a:extLst>
                <a:ext uri="{63B3BB69-23CF-44E3-9099-C40C66FF867C}">
                  <a14:compatExt spid="_x0000_s6024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215</xdr:row>
          <xdr:rowOff>114300</xdr:rowOff>
        </xdr:from>
        <xdr:to>
          <xdr:col>11</xdr:col>
          <xdr:colOff>438150</xdr:colOff>
          <xdr:row>215</xdr:row>
          <xdr:rowOff>295275</xdr:rowOff>
        </xdr:to>
        <xdr:sp macro="" textlink="">
          <xdr:nvSpPr>
            <xdr:cNvPr id="602456" name="Option Button 394584" hidden="1">
              <a:extLst>
                <a:ext uri="{63B3BB69-23CF-44E3-9099-C40C66FF867C}">
                  <a14:compatExt spid="_x0000_s602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215</xdr:row>
          <xdr:rowOff>114300</xdr:rowOff>
        </xdr:from>
        <xdr:to>
          <xdr:col>12</xdr:col>
          <xdr:colOff>438150</xdr:colOff>
          <xdr:row>215</xdr:row>
          <xdr:rowOff>295275</xdr:rowOff>
        </xdr:to>
        <xdr:sp macro="" textlink="">
          <xdr:nvSpPr>
            <xdr:cNvPr id="602457" name="Option Button 394585" hidden="1">
              <a:extLst>
                <a:ext uri="{63B3BB69-23CF-44E3-9099-C40C66FF867C}">
                  <a14:compatExt spid="_x0000_s602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215</xdr:row>
          <xdr:rowOff>114300</xdr:rowOff>
        </xdr:from>
        <xdr:to>
          <xdr:col>13</xdr:col>
          <xdr:colOff>438150</xdr:colOff>
          <xdr:row>215</xdr:row>
          <xdr:rowOff>295275</xdr:rowOff>
        </xdr:to>
        <xdr:sp macro="" textlink="">
          <xdr:nvSpPr>
            <xdr:cNvPr id="602458" name="Option Button 394586" hidden="1">
              <a:extLst>
                <a:ext uri="{63B3BB69-23CF-44E3-9099-C40C66FF867C}">
                  <a14:compatExt spid="_x0000_s602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215</xdr:row>
          <xdr:rowOff>114300</xdr:rowOff>
        </xdr:from>
        <xdr:to>
          <xdr:col>14</xdr:col>
          <xdr:colOff>438150</xdr:colOff>
          <xdr:row>215</xdr:row>
          <xdr:rowOff>295275</xdr:rowOff>
        </xdr:to>
        <xdr:sp macro="" textlink="">
          <xdr:nvSpPr>
            <xdr:cNvPr id="602459" name="Option Button 394587" hidden="1">
              <a:extLst>
                <a:ext uri="{63B3BB69-23CF-44E3-9099-C40C66FF867C}">
                  <a14:compatExt spid="_x0000_s602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215</xdr:row>
          <xdr:rowOff>381000</xdr:rowOff>
        </xdr:from>
        <xdr:to>
          <xdr:col>16</xdr:col>
          <xdr:colOff>0</xdr:colOff>
          <xdr:row>216</xdr:row>
          <xdr:rowOff>381000</xdr:rowOff>
        </xdr:to>
        <xdr:sp macro="" textlink="">
          <xdr:nvSpPr>
            <xdr:cNvPr id="602460" name="Group Box 394588" hidden="1">
              <a:extLst>
                <a:ext uri="{63B3BB69-23CF-44E3-9099-C40C66FF867C}">
                  <a14:compatExt spid="_x0000_s602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216</xdr:row>
          <xdr:rowOff>114300</xdr:rowOff>
        </xdr:from>
        <xdr:to>
          <xdr:col>11</xdr:col>
          <xdr:colOff>438150</xdr:colOff>
          <xdr:row>216</xdr:row>
          <xdr:rowOff>295275</xdr:rowOff>
        </xdr:to>
        <xdr:sp macro="" textlink="">
          <xdr:nvSpPr>
            <xdr:cNvPr id="602461" name="Option Button 394589" hidden="1">
              <a:extLst>
                <a:ext uri="{63B3BB69-23CF-44E3-9099-C40C66FF867C}">
                  <a14:compatExt spid="_x0000_s602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216</xdr:row>
          <xdr:rowOff>114300</xdr:rowOff>
        </xdr:from>
        <xdr:to>
          <xdr:col>12</xdr:col>
          <xdr:colOff>438150</xdr:colOff>
          <xdr:row>216</xdr:row>
          <xdr:rowOff>295275</xdr:rowOff>
        </xdr:to>
        <xdr:sp macro="" textlink="">
          <xdr:nvSpPr>
            <xdr:cNvPr id="602462" name="Option Button 394590" hidden="1">
              <a:extLst>
                <a:ext uri="{63B3BB69-23CF-44E3-9099-C40C66FF867C}">
                  <a14:compatExt spid="_x0000_s602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216</xdr:row>
          <xdr:rowOff>114300</xdr:rowOff>
        </xdr:from>
        <xdr:to>
          <xdr:col>13</xdr:col>
          <xdr:colOff>438150</xdr:colOff>
          <xdr:row>216</xdr:row>
          <xdr:rowOff>295275</xdr:rowOff>
        </xdr:to>
        <xdr:sp macro="" textlink="">
          <xdr:nvSpPr>
            <xdr:cNvPr id="602463" name="Option Button 394591" hidden="1">
              <a:extLst>
                <a:ext uri="{63B3BB69-23CF-44E3-9099-C40C66FF867C}">
                  <a14:compatExt spid="_x0000_s6024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216</xdr:row>
          <xdr:rowOff>114300</xdr:rowOff>
        </xdr:from>
        <xdr:to>
          <xdr:col>14</xdr:col>
          <xdr:colOff>438150</xdr:colOff>
          <xdr:row>216</xdr:row>
          <xdr:rowOff>295275</xdr:rowOff>
        </xdr:to>
        <xdr:sp macro="" textlink="">
          <xdr:nvSpPr>
            <xdr:cNvPr id="602464" name="Option Button 394592" hidden="1">
              <a:extLst>
                <a:ext uri="{63B3BB69-23CF-44E3-9099-C40C66FF867C}">
                  <a14:compatExt spid="_x0000_s6024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220</xdr:row>
          <xdr:rowOff>171450</xdr:rowOff>
        </xdr:from>
        <xdr:to>
          <xdr:col>16</xdr:col>
          <xdr:colOff>0</xdr:colOff>
          <xdr:row>222</xdr:row>
          <xdr:rowOff>9525</xdr:rowOff>
        </xdr:to>
        <xdr:sp macro="" textlink="">
          <xdr:nvSpPr>
            <xdr:cNvPr id="602465" name="Group Box 394593" hidden="1">
              <a:extLst>
                <a:ext uri="{63B3BB69-23CF-44E3-9099-C40C66FF867C}">
                  <a14:compatExt spid="_x0000_s602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221</xdr:row>
          <xdr:rowOff>104775</xdr:rowOff>
        </xdr:from>
        <xdr:to>
          <xdr:col>11</xdr:col>
          <xdr:colOff>438150</xdr:colOff>
          <xdr:row>221</xdr:row>
          <xdr:rowOff>295275</xdr:rowOff>
        </xdr:to>
        <xdr:sp macro="" textlink="">
          <xdr:nvSpPr>
            <xdr:cNvPr id="602466" name="Option Button 394594" hidden="1">
              <a:extLst>
                <a:ext uri="{63B3BB69-23CF-44E3-9099-C40C66FF867C}">
                  <a14:compatExt spid="_x0000_s6024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221</xdr:row>
          <xdr:rowOff>104775</xdr:rowOff>
        </xdr:from>
        <xdr:to>
          <xdr:col>12</xdr:col>
          <xdr:colOff>438150</xdr:colOff>
          <xdr:row>221</xdr:row>
          <xdr:rowOff>295275</xdr:rowOff>
        </xdr:to>
        <xdr:sp macro="" textlink="">
          <xdr:nvSpPr>
            <xdr:cNvPr id="602467" name="Option Button 394595" hidden="1">
              <a:extLst>
                <a:ext uri="{63B3BB69-23CF-44E3-9099-C40C66FF867C}">
                  <a14:compatExt spid="_x0000_s6024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221</xdr:row>
          <xdr:rowOff>104775</xdr:rowOff>
        </xdr:from>
        <xdr:to>
          <xdr:col>13</xdr:col>
          <xdr:colOff>438150</xdr:colOff>
          <xdr:row>221</xdr:row>
          <xdr:rowOff>295275</xdr:rowOff>
        </xdr:to>
        <xdr:sp macro="" textlink="">
          <xdr:nvSpPr>
            <xdr:cNvPr id="602468" name="Option Button 394596" hidden="1">
              <a:extLst>
                <a:ext uri="{63B3BB69-23CF-44E3-9099-C40C66FF867C}">
                  <a14:compatExt spid="_x0000_s6024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221</xdr:row>
          <xdr:rowOff>104775</xdr:rowOff>
        </xdr:from>
        <xdr:to>
          <xdr:col>14</xdr:col>
          <xdr:colOff>438150</xdr:colOff>
          <xdr:row>221</xdr:row>
          <xdr:rowOff>295275</xdr:rowOff>
        </xdr:to>
        <xdr:sp macro="" textlink="">
          <xdr:nvSpPr>
            <xdr:cNvPr id="602469" name="Option Button 394597" hidden="1">
              <a:extLst>
                <a:ext uri="{63B3BB69-23CF-44E3-9099-C40C66FF867C}">
                  <a14:compatExt spid="_x0000_s6024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221</xdr:row>
          <xdr:rowOff>381000</xdr:rowOff>
        </xdr:from>
        <xdr:to>
          <xdr:col>16</xdr:col>
          <xdr:colOff>0</xdr:colOff>
          <xdr:row>222</xdr:row>
          <xdr:rowOff>381000</xdr:rowOff>
        </xdr:to>
        <xdr:sp macro="" textlink="">
          <xdr:nvSpPr>
            <xdr:cNvPr id="602470" name="Group Box 394598" hidden="1">
              <a:extLst>
                <a:ext uri="{63B3BB69-23CF-44E3-9099-C40C66FF867C}">
                  <a14:compatExt spid="_x0000_s6024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222</xdr:row>
          <xdr:rowOff>104775</xdr:rowOff>
        </xdr:from>
        <xdr:to>
          <xdr:col>11</xdr:col>
          <xdr:colOff>438150</xdr:colOff>
          <xdr:row>222</xdr:row>
          <xdr:rowOff>285750</xdr:rowOff>
        </xdr:to>
        <xdr:sp macro="" textlink="">
          <xdr:nvSpPr>
            <xdr:cNvPr id="602471" name="Option Button 394599" hidden="1">
              <a:extLst>
                <a:ext uri="{63B3BB69-23CF-44E3-9099-C40C66FF867C}">
                  <a14:compatExt spid="_x0000_s6024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222</xdr:row>
          <xdr:rowOff>104775</xdr:rowOff>
        </xdr:from>
        <xdr:to>
          <xdr:col>12</xdr:col>
          <xdr:colOff>438150</xdr:colOff>
          <xdr:row>222</xdr:row>
          <xdr:rowOff>285750</xdr:rowOff>
        </xdr:to>
        <xdr:sp macro="" textlink="">
          <xdr:nvSpPr>
            <xdr:cNvPr id="602472" name="Option Button 394600" hidden="1">
              <a:extLst>
                <a:ext uri="{63B3BB69-23CF-44E3-9099-C40C66FF867C}">
                  <a14:compatExt spid="_x0000_s6024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222</xdr:row>
          <xdr:rowOff>104775</xdr:rowOff>
        </xdr:from>
        <xdr:to>
          <xdr:col>13</xdr:col>
          <xdr:colOff>438150</xdr:colOff>
          <xdr:row>222</xdr:row>
          <xdr:rowOff>285750</xdr:rowOff>
        </xdr:to>
        <xdr:sp macro="" textlink="">
          <xdr:nvSpPr>
            <xdr:cNvPr id="602473" name="Option Button 394601" hidden="1">
              <a:extLst>
                <a:ext uri="{63B3BB69-23CF-44E3-9099-C40C66FF867C}">
                  <a14:compatExt spid="_x0000_s6024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222</xdr:row>
          <xdr:rowOff>104775</xdr:rowOff>
        </xdr:from>
        <xdr:to>
          <xdr:col>14</xdr:col>
          <xdr:colOff>438150</xdr:colOff>
          <xdr:row>222</xdr:row>
          <xdr:rowOff>285750</xdr:rowOff>
        </xdr:to>
        <xdr:sp macro="" textlink="">
          <xdr:nvSpPr>
            <xdr:cNvPr id="602474" name="Option Button 394602" hidden="1">
              <a:extLst>
                <a:ext uri="{63B3BB69-23CF-44E3-9099-C40C66FF867C}">
                  <a14:compatExt spid="_x0000_s6024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222</xdr:row>
          <xdr:rowOff>381000</xdr:rowOff>
        </xdr:from>
        <xdr:to>
          <xdr:col>16</xdr:col>
          <xdr:colOff>0</xdr:colOff>
          <xdr:row>223</xdr:row>
          <xdr:rowOff>381000</xdr:rowOff>
        </xdr:to>
        <xdr:sp macro="" textlink="">
          <xdr:nvSpPr>
            <xdr:cNvPr id="602475" name="Group Box 394603" hidden="1">
              <a:extLst>
                <a:ext uri="{63B3BB69-23CF-44E3-9099-C40C66FF867C}">
                  <a14:compatExt spid="_x0000_s6024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223</xdr:row>
          <xdr:rowOff>104775</xdr:rowOff>
        </xdr:from>
        <xdr:to>
          <xdr:col>11</xdr:col>
          <xdr:colOff>438150</xdr:colOff>
          <xdr:row>223</xdr:row>
          <xdr:rowOff>285750</xdr:rowOff>
        </xdr:to>
        <xdr:sp macro="" textlink="">
          <xdr:nvSpPr>
            <xdr:cNvPr id="602476" name="Option Button 394604" hidden="1">
              <a:extLst>
                <a:ext uri="{63B3BB69-23CF-44E3-9099-C40C66FF867C}">
                  <a14:compatExt spid="_x0000_s602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223</xdr:row>
          <xdr:rowOff>104775</xdr:rowOff>
        </xdr:from>
        <xdr:to>
          <xdr:col>12</xdr:col>
          <xdr:colOff>438150</xdr:colOff>
          <xdr:row>223</xdr:row>
          <xdr:rowOff>285750</xdr:rowOff>
        </xdr:to>
        <xdr:sp macro="" textlink="">
          <xdr:nvSpPr>
            <xdr:cNvPr id="602477" name="Option Button 394605" hidden="1">
              <a:extLst>
                <a:ext uri="{63B3BB69-23CF-44E3-9099-C40C66FF867C}">
                  <a14:compatExt spid="_x0000_s602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223</xdr:row>
          <xdr:rowOff>104775</xdr:rowOff>
        </xdr:from>
        <xdr:to>
          <xdr:col>13</xdr:col>
          <xdr:colOff>438150</xdr:colOff>
          <xdr:row>223</xdr:row>
          <xdr:rowOff>285750</xdr:rowOff>
        </xdr:to>
        <xdr:sp macro="" textlink="">
          <xdr:nvSpPr>
            <xdr:cNvPr id="602478" name="Option Button 394606" hidden="1">
              <a:extLst>
                <a:ext uri="{63B3BB69-23CF-44E3-9099-C40C66FF867C}">
                  <a14:compatExt spid="_x0000_s6024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223</xdr:row>
          <xdr:rowOff>104775</xdr:rowOff>
        </xdr:from>
        <xdr:to>
          <xdr:col>14</xdr:col>
          <xdr:colOff>438150</xdr:colOff>
          <xdr:row>223</xdr:row>
          <xdr:rowOff>285750</xdr:rowOff>
        </xdr:to>
        <xdr:sp macro="" textlink="">
          <xdr:nvSpPr>
            <xdr:cNvPr id="602479" name="Option Button 394607" hidden="1">
              <a:extLst>
                <a:ext uri="{63B3BB69-23CF-44E3-9099-C40C66FF867C}">
                  <a14:compatExt spid="_x0000_s602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227</xdr:row>
          <xdr:rowOff>9525</xdr:rowOff>
        </xdr:from>
        <xdr:to>
          <xdr:col>16</xdr:col>
          <xdr:colOff>0</xdr:colOff>
          <xdr:row>227</xdr:row>
          <xdr:rowOff>381000</xdr:rowOff>
        </xdr:to>
        <xdr:sp macro="" textlink="">
          <xdr:nvSpPr>
            <xdr:cNvPr id="602480" name="Group Box 394608" hidden="1">
              <a:extLst>
                <a:ext uri="{63B3BB69-23CF-44E3-9099-C40C66FF867C}">
                  <a14:compatExt spid="_x0000_s602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227</xdr:row>
          <xdr:rowOff>114300</xdr:rowOff>
        </xdr:from>
        <xdr:to>
          <xdr:col>11</xdr:col>
          <xdr:colOff>438150</xdr:colOff>
          <xdr:row>227</xdr:row>
          <xdr:rowOff>295275</xdr:rowOff>
        </xdr:to>
        <xdr:sp macro="" textlink="">
          <xdr:nvSpPr>
            <xdr:cNvPr id="602481" name="Option Button 394609" hidden="1">
              <a:extLst>
                <a:ext uri="{63B3BB69-23CF-44E3-9099-C40C66FF867C}">
                  <a14:compatExt spid="_x0000_s602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227</xdr:row>
          <xdr:rowOff>114300</xdr:rowOff>
        </xdr:from>
        <xdr:to>
          <xdr:col>12</xdr:col>
          <xdr:colOff>438150</xdr:colOff>
          <xdr:row>227</xdr:row>
          <xdr:rowOff>295275</xdr:rowOff>
        </xdr:to>
        <xdr:sp macro="" textlink="">
          <xdr:nvSpPr>
            <xdr:cNvPr id="602482" name="Option Button 394610" hidden="1">
              <a:extLst>
                <a:ext uri="{63B3BB69-23CF-44E3-9099-C40C66FF867C}">
                  <a14:compatExt spid="_x0000_s602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227</xdr:row>
          <xdr:rowOff>114300</xdr:rowOff>
        </xdr:from>
        <xdr:to>
          <xdr:col>13</xdr:col>
          <xdr:colOff>438150</xdr:colOff>
          <xdr:row>227</xdr:row>
          <xdr:rowOff>295275</xdr:rowOff>
        </xdr:to>
        <xdr:sp macro="" textlink="">
          <xdr:nvSpPr>
            <xdr:cNvPr id="602483" name="Option Button 394611" hidden="1">
              <a:extLst>
                <a:ext uri="{63B3BB69-23CF-44E3-9099-C40C66FF867C}">
                  <a14:compatExt spid="_x0000_s602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227</xdr:row>
          <xdr:rowOff>114300</xdr:rowOff>
        </xdr:from>
        <xdr:to>
          <xdr:col>14</xdr:col>
          <xdr:colOff>438150</xdr:colOff>
          <xdr:row>227</xdr:row>
          <xdr:rowOff>295275</xdr:rowOff>
        </xdr:to>
        <xdr:sp macro="" textlink="">
          <xdr:nvSpPr>
            <xdr:cNvPr id="602484" name="Option Button 394612" hidden="1">
              <a:extLst>
                <a:ext uri="{63B3BB69-23CF-44E3-9099-C40C66FF867C}">
                  <a14:compatExt spid="_x0000_s602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229</xdr:row>
          <xdr:rowOff>9525</xdr:rowOff>
        </xdr:from>
        <xdr:to>
          <xdr:col>16</xdr:col>
          <xdr:colOff>0</xdr:colOff>
          <xdr:row>229</xdr:row>
          <xdr:rowOff>381000</xdr:rowOff>
        </xdr:to>
        <xdr:sp macro="" textlink="">
          <xdr:nvSpPr>
            <xdr:cNvPr id="602485" name="Group Box 394613" hidden="1">
              <a:extLst>
                <a:ext uri="{63B3BB69-23CF-44E3-9099-C40C66FF867C}">
                  <a14:compatExt spid="_x0000_s602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229</xdr:row>
          <xdr:rowOff>114300</xdr:rowOff>
        </xdr:from>
        <xdr:to>
          <xdr:col>11</xdr:col>
          <xdr:colOff>438150</xdr:colOff>
          <xdr:row>229</xdr:row>
          <xdr:rowOff>295275</xdr:rowOff>
        </xdr:to>
        <xdr:sp macro="" textlink="">
          <xdr:nvSpPr>
            <xdr:cNvPr id="602486" name="Option Button 394614" hidden="1">
              <a:extLst>
                <a:ext uri="{63B3BB69-23CF-44E3-9099-C40C66FF867C}">
                  <a14:compatExt spid="_x0000_s6024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229</xdr:row>
          <xdr:rowOff>114300</xdr:rowOff>
        </xdr:from>
        <xdr:to>
          <xdr:col>12</xdr:col>
          <xdr:colOff>438150</xdr:colOff>
          <xdr:row>229</xdr:row>
          <xdr:rowOff>295275</xdr:rowOff>
        </xdr:to>
        <xdr:sp macro="" textlink="">
          <xdr:nvSpPr>
            <xdr:cNvPr id="602487" name="Option Button 394615" hidden="1">
              <a:extLst>
                <a:ext uri="{63B3BB69-23CF-44E3-9099-C40C66FF867C}">
                  <a14:compatExt spid="_x0000_s6024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229</xdr:row>
          <xdr:rowOff>114300</xdr:rowOff>
        </xdr:from>
        <xdr:to>
          <xdr:col>13</xdr:col>
          <xdr:colOff>438150</xdr:colOff>
          <xdr:row>229</xdr:row>
          <xdr:rowOff>295275</xdr:rowOff>
        </xdr:to>
        <xdr:sp macro="" textlink="">
          <xdr:nvSpPr>
            <xdr:cNvPr id="602488" name="Option Button 394616" hidden="1">
              <a:extLst>
                <a:ext uri="{63B3BB69-23CF-44E3-9099-C40C66FF867C}">
                  <a14:compatExt spid="_x0000_s602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229</xdr:row>
          <xdr:rowOff>114300</xdr:rowOff>
        </xdr:from>
        <xdr:to>
          <xdr:col>14</xdr:col>
          <xdr:colOff>438150</xdr:colOff>
          <xdr:row>229</xdr:row>
          <xdr:rowOff>295275</xdr:rowOff>
        </xdr:to>
        <xdr:sp macro="" textlink="">
          <xdr:nvSpPr>
            <xdr:cNvPr id="602489" name="Option Button 394617" hidden="1">
              <a:extLst>
                <a:ext uri="{63B3BB69-23CF-44E3-9099-C40C66FF867C}">
                  <a14:compatExt spid="_x0000_s6024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216</xdr:row>
          <xdr:rowOff>381000</xdr:rowOff>
        </xdr:from>
        <xdr:to>
          <xdr:col>16</xdr:col>
          <xdr:colOff>0</xdr:colOff>
          <xdr:row>217</xdr:row>
          <xdr:rowOff>381000</xdr:rowOff>
        </xdr:to>
        <xdr:sp macro="" textlink="">
          <xdr:nvSpPr>
            <xdr:cNvPr id="602490" name="Group Box 394618" hidden="1">
              <a:extLst>
                <a:ext uri="{63B3BB69-23CF-44E3-9099-C40C66FF867C}">
                  <a14:compatExt spid="_x0000_s6024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217</xdr:row>
          <xdr:rowOff>114300</xdr:rowOff>
        </xdr:from>
        <xdr:to>
          <xdr:col>11</xdr:col>
          <xdr:colOff>438150</xdr:colOff>
          <xdr:row>217</xdr:row>
          <xdr:rowOff>295275</xdr:rowOff>
        </xdr:to>
        <xdr:sp macro="" textlink="">
          <xdr:nvSpPr>
            <xdr:cNvPr id="602491" name="Option Button 394619" hidden="1">
              <a:extLst>
                <a:ext uri="{63B3BB69-23CF-44E3-9099-C40C66FF867C}">
                  <a14:compatExt spid="_x0000_s602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217</xdr:row>
          <xdr:rowOff>114300</xdr:rowOff>
        </xdr:from>
        <xdr:to>
          <xdr:col>12</xdr:col>
          <xdr:colOff>438150</xdr:colOff>
          <xdr:row>217</xdr:row>
          <xdr:rowOff>295275</xdr:rowOff>
        </xdr:to>
        <xdr:sp macro="" textlink="">
          <xdr:nvSpPr>
            <xdr:cNvPr id="602492" name="Option Button 394620" hidden="1">
              <a:extLst>
                <a:ext uri="{63B3BB69-23CF-44E3-9099-C40C66FF867C}">
                  <a14:compatExt spid="_x0000_s6024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217</xdr:row>
          <xdr:rowOff>114300</xdr:rowOff>
        </xdr:from>
        <xdr:to>
          <xdr:col>13</xdr:col>
          <xdr:colOff>438150</xdr:colOff>
          <xdr:row>217</xdr:row>
          <xdr:rowOff>295275</xdr:rowOff>
        </xdr:to>
        <xdr:sp macro="" textlink="">
          <xdr:nvSpPr>
            <xdr:cNvPr id="602493" name="Option Button 394621" hidden="1">
              <a:extLst>
                <a:ext uri="{63B3BB69-23CF-44E3-9099-C40C66FF867C}">
                  <a14:compatExt spid="_x0000_s6024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217</xdr:row>
          <xdr:rowOff>114300</xdr:rowOff>
        </xdr:from>
        <xdr:to>
          <xdr:col>14</xdr:col>
          <xdr:colOff>438150</xdr:colOff>
          <xdr:row>217</xdr:row>
          <xdr:rowOff>295275</xdr:rowOff>
        </xdr:to>
        <xdr:sp macro="" textlink="">
          <xdr:nvSpPr>
            <xdr:cNvPr id="602494" name="Option Button 394622" hidden="1">
              <a:extLst>
                <a:ext uri="{63B3BB69-23CF-44E3-9099-C40C66FF867C}">
                  <a14:compatExt spid="_x0000_s6024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217</xdr:row>
          <xdr:rowOff>381000</xdr:rowOff>
        </xdr:from>
        <xdr:to>
          <xdr:col>16</xdr:col>
          <xdr:colOff>0</xdr:colOff>
          <xdr:row>218</xdr:row>
          <xdr:rowOff>381000</xdr:rowOff>
        </xdr:to>
        <xdr:sp macro="" textlink="">
          <xdr:nvSpPr>
            <xdr:cNvPr id="602495" name="Group Box 394623" hidden="1">
              <a:extLst>
                <a:ext uri="{63B3BB69-23CF-44E3-9099-C40C66FF867C}">
                  <a14:compatExt spid="_x0000_s6024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200025</xdr:colOff>
          <xdr:row>218</xdr:row>
          <xdr:rowOff>114300</xdr:rowOff>
        </xdr:from>
        <xdr:to>
          <xdr:col>11</xdr:col>
          <xdr:colOff>438150</xdr:colOff>
          <xdr:row>218</xdr:row>
          <xdr:rowOff>295275</xdr:rowOff>
        </xdr:to>
        <xdr:sp macro="" textlink="">
          <xdr:nvSpPr>
            <xdr:cNvPr id="602496" name="Option Button 394624" hidden="1">
              <a:extLst>
                <a:ext uri="{63B3BB69-23CF-44E3-9099-C40C66FF867C}">
                  <a14:compatExt spid="_x0000_s6024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218</xdr:row>
          <xdr:rowOff>114300</xdr:rowOff>
        </xdr:from>
        <xdr:to>
          <xdr:col>12</xdr:col>
          <xdr:colOff>438150</xdr:colOff>
          <xdr:row>218</xdr:row>
          <xdr:rowOff>295275</xdr:rowOff>
        </xdr:to>
        <xdr:sp macro="" textlink="">
          <xdr:nvSpPr>
            <xdr:cNvPr id="602497" name="Option Button 394625" hidden="1">
              <a:extLst>
                <a:ext uri="{63B3BB69-23CF-44E3-9099-C40C66FF867C}">
                  <a14:compatExt spid="_x0000_s6024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218</xdr:row>
          <xdr:rowOff>114300</xdr:rowOff>
        </xdr:from>
        <xdr:to>
          <xdr:col>13</xdr:col>
          <xdr:colOff>438150</xdr:colOff>
          <xdr:row>218</xdr:row>
          <xdr:rowOff>295275</xdr:rowOff>
        </xdr:to>
        <xdr:sp macro="" textlink="">
          <xdr:nvSpPr>
            <xdr:cNvPr id="602498" name="Option Button 394626" hidden="1">
              <a:extLst>
                <a:ext uri="{63B3BB69-23CF-44E3-9099-C40C66FF867C}">
                  <a14:compatExt spid="_x0000_s6024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218</xdr:row>
          <xdr:rowOff>114300</xdr:rowOff>
        </xdr:from>
        <xdr:to>
          <xdr:col>14</xdr:col>
          <xdr:colOff>438150</xdr:colOff>
          <xdr:row>218</xdr:row>
          <xdr:rowOff>295275</xdr:rowOff>
        </xdr:to>
        <xdr:sp macro="" textlink="">
          <xdr:nvSpPr>
            <xdr:cNvPr id="602499" name="Option Button 394627" hidden="1">
              <a:extLst>
                <a:ext uri="{63B3BB69-23CF-44E3-9099-C40C66FF867C}">
                  <a14:compatExt spid="_x0000_s6024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226</xdr:row>
          <xdr:rowOff>114300</xdr:rowOff>
        </xdr:from>
        <xdr:to>
          <xdr:col>15</xdr:col>
          <xdr:colOff>438150</xdr:colOff>
          <xdr:row>226</xdr:row>
          <xdr:rowOff>295275</xdr:rowOff>
        </xdr:to>
        <xdr:sp macro="" textlink="">
          <xdr:nvSpPr>
            <xdr:cNvPr id="602500" name="Option Button 394628" hidden="1">
              <a:extLst>
                <a:ext uri="{63B3BB69-23CF-44E3-9099-C40C66FF867C}">
                  <a14:compatExt spid="_x0000_s6025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210</xdr:row>
          <xdr:rowOff>104775</xdr:rowOff>
        </xdr:from>
        <xdr:to>
          <xdr:col>15</xdr:col>
          <xdr:colOff>438150</xdr:colOff>
          <xdr:row>210</xdr:row>
          <xdr:rowOff>285750</xdr:rowOff>
        </xdr:to>
        <xdr:sp macro="" textlink="">
          <xdr:nvSpPr>
            <xdr:cNvPr id="602501" name="Option Button 394629" hidden="1">
              <a:extLst>
                <a:ext uri="{63B3BB69-23CF-44E3-9099-C40C66FF867C}">
                  <a14:compatExt spid="_x0000_s602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211</xdr:row>
          <xdr:rowOff>104775</xdr:rowOff>
        </xdr:from>
        <xdr:to>
          <xdr:col>15</xdr:col>
          <xdr:colOff>438150</xdr:colOff>
          <xdr:row>211</xdr:row>
          <xdr:rowOff>285750</xdr:rowOff>
        </xdr:to>
        <xdr:sp macro="" textlink="">
          <xdr:nvSpPr>
            <xdr:cNvPr id="602502" name="Option Button 394630" hidden="1">
              <a:extLst>
                <a:ext uri="{63B3BB69-23CF-44E3-9099-C40C66FF867C}">
                  <a14:compatExt spid="_x0000_s602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212</xdr:row>
          <xdr:rowOff>104775</xdr:rowOff>
        </xdr:from>
        <xdr:to>
          <xdr:col>15</xdr:col>
          <xdr:colOff>438150</xdr:colOff>
          <xdr:row>212</xdr:row>
          <xdr:rowOff>285750</xdr:rowOff>
        </xdr:to>
        <xdr:sp macro="" textlink="">
          <xdr:nvSpPr>
            <xdr:cNvPr id="602503" name="Option Button 394631" hidden="1">
              <a:extLst>
                <a:ext uri="{63B3BB69-23CF-44E3-9099-C40C66FF867C}">
                  <a14:compatExt spid="_x0000_s6025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213</xdr:row>
          <xdr:rowOff>104775</xdr:rowOff>
        </xdr:from>
        <xdr:to>
          <xdr:col>15</xdr:col>
          <xdr:colOff>438150</xdr:colOff>
          <xdr:row>213</xdr:row>
          <xdr:rowOff>285750</xdr:rowOff>
        </xdr:to>
        <xdr:sp macro="" textlink="">
          <xdr:nvSpPr>
            <xdr:cNvPr id="602504" name="Option Button 394632" hidden="1">
              <a:extLst>
                <a:ext uri="{63B3BB69-23CF-44E3-9099-C40C66FF867C}">
                  <a14:compatExt spid="_x0000_s602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215</xdr:row>
          <xdr:rowOff>114300</xdr:rowOff>
        </xdr:from>
        <xdr:to>
          <xdr:col>15</xdr:col>
          <xdr:colOff>438150</xdr:colOff>
          <xdr:row>215</xdr:row>
          <xdr:rowOff>295275</xdr:rowOff>
        </xdr:to>
        <xdr:sp macro="" textlink="">
          <xdr:nvSpPr>
            <xdr:cNvPr id="602505" name="Option Button 394633" hidden="1">
              <a:extLst>
                <a:ext uri="{63B3BB69-23CF-44E3-9099-C40C66FF867C}">
                  <a14:compatExt spid="_x0000_s6025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216</xdr:row>
          <xdr:rowOff>114300</xdr:rowOff>
        </xdr:from>
        <xdr:to>
          <xdr:col>15</xdr:col>
          <xdr:colOff>438150</xdr:colOff>
          <xdr:row>216</xdr:row>
          <xdr:rowOff>295275</xdr:rowOff>
        </xdr:to>
        <xdr:sp macro="" textlink="">
          <xdr:nvSpPr>
            <xdr:cNvPr id="602506" name="Option Button 394634" hidden="1">
              <a:extLst>
                <a:ext uri="{63B3BB69-23CF-44E3-9099-C40C66FF867C}">
                  <a14:compatExt spid="_x0000_s602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221</xdr:row>
          <xdr:rowOff>104775</xdr:rowOff>
        </xdr:from>
        <xdr:to>
          <xdr:col>15</xdr:col>
          <xdr:colOff>438150</xdr:colOff>
          <xdr:row>221</xdr:row>
          <xdr:rowOff>295275</xdr:rowOff>
        </xdr:to>
        <xdr:sp macro="" textlink="">
          <xdr:nvSpPr>
            <xdr:cNvPr id="602507" name="Option Button 394635" hidden="1">
              <a:extLst>
                <a:ext uri="{63B3BB69-23CF-44E3-9099-C40C66FF867C}">
                  <a14:compatExt spid="_x0000_s602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222</xdr:row>
          <xdr:rowOff>104775</xdr:rowOff>
        </xdr:from>
        <xdr:to>
          <xdr:col>15</xdr:col>
          <xdr:colOff>438150</xdr:colOff>
          <xdr:row>222</xdr:row>
          <xdr:rowOff>285750</xdr:rowOff>
        </xdr:to>
        <xdr:sp macro="" textlink="">
          <xdr:nvSpPr>
            <xdr:cNvPr id="602508" name="Option Button 394636" hidden="1">
              <a:extLst>
                <a:ext uri="{63B3BB69-23CF-44E3-9099-C40C66FF867C}">
                  <a14:compatExt spid="_x0000_s602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223</xdr:row>
          <xdr:rowOff>104775</xdr:rowOff>
        </xdr:from>
        <xdr:to>
          <xdr:col>15</xdr:col>
          <xdr:colOff>438150</xdr:colOff>
          <xdr:row>223</xdr:row>
          <xdr:rowOff>285750</xdr:rowOff>
        </xdr:to>
        <xdr:sp macro="" textlink="">
          <xdr:nvSpPr>
            <xdr:cNvPr id="602509" name="Option Button 394637" hidden="1">
              <a:extLst>
                <a:ext uri="{63B3BB69-23CF-44E3-9099-C40C66FF867C}">
                  <a14:compatExt spid="_x0000_s602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227</xdr:row>
          <xdr:rowOff>114300</xdr:rowOff>
        </xdr:from>
        <xdr:to>
          <xdr:col>15</xdr:col>
          <xdr:colOff>438150</xdr:colOff>
          <xdr:row>227</xdr:row>
          <xdr:rowOff>295275</xdr:rowOff>
        </xdr:to>
        <xdr:sp macro="" textlink="">
          <xdr:nvSpPr>
            <xdr:cNvPr id="602510" name="Option Button 394638" hidden="1">
              <a:extLst>
                <a:ext uri="{63B3BB69-23CF-44E3-9099-C40C66FF867C}">
                  <a14:compatExt spid="_x0000_s6025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229</xdr:row>
          <xdr:rowOff>114300</xdr:rowOff>
        </xdr:from>
        <xdr:to>
          <xdr:col>15</xdr:col>
          <xdr:colOff>438150</xdr:colOff>
          <xdr:row>229</xdr:row>
          <xdr:rowOff>295275</xdr:rowOff>
        </xdr:to>
        <xdr:sp macro="" textlink="">
          <xdr:nvSpPr>
            <xdr:cNvPr id="602511" name="Option Button 394639" hidden="1">
              <a:extLst>
                <a:ext uri="{63B3BB69-23CF-44E3-9099-C40C66FF867C}">
                  <a14:compatExt spid="_x0000_s6025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217</xdr:row>
          <xdr:rowOff>114300</xdr:rowOff>
        </xdr:from>
        <xdr:to>
          <xdr:col>15</xdr:col>
          <xdr:colOff>438150</xdr:colOff>
          <xdr:row>217</xdr:row>
          <xdr:rowOff>295275</xdr:rowOff>
        </xdr:to>
        <xdr:sp macro="" textlink="">
          <xdr:nvSpPr>
            <xdr:cNvPr id="602512" name="Option Button 394640" hidden="1">
              <a:extLst>
                <a:ext uri="{63B3BB69-23CF-44E3-9099-C40C66FF867C}">
                  <a14:compatExt spid="_x0000_s6025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218</xdr:row>
          <xdr:rowOff>114300</xdr:rowOff>
        </xdr:from>
        <xdr:to>
          <xdr:col>15</xdr:col>
          <xdr:colOff>438150</xdr:colOff>
          <xdr:row>218</xdr:row>
          <xdr:rowOff>295275</xdr:rowOff>
        </xdr:to>
        <xdr:sp macro="" textlink="">
          <xdr:nvSpPr>
            <xdr:cNvPr id="602513" name="Option Button 394641" hidden="1">
              <a:extLst>
                <a:ext uri="{63B3BB69-23CF-44E3-9099-C40C66FF867C}">
                  <a14:compatExt spid="_x0000_s602513"/>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12</xdr:col>
      <xdr:colOff>0</xdr:colOff>
      <xdr:row>90</xdr:row>
      <xdr:rowOff>200025</xdr:rowOff>
    </xdr:from>
    <xdr:to>
      <xdr:col>27</xdr:col>
      <xdr:colOff>9525</xdr:colOff>
      <xdr:row>92</xdr:row>
      <xdr:rowOff>9525</xdr:rowOff>
    </xdr:to>
    <xdr:sp macro="" textlink="">
      <xdr:nvSpPr>
        <xdr:cNvPr id="2"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3"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4"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5"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6"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7"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285750</xdr:colOff>
      <xdr:row>150</xdr:row>
      <xdr:rowOff>238125</xdr:rowOff>
    </xdr:to>
    <xdr:sp macro="" textlink="">
      <xdr:nvSpPr>
        <xdr:cNvPr id="8" name="Option Button 60" hidden="1"/>
        <xdr:cNvSpPr>
          <a:spLocks noChangeArrowheads="1"/>
        </xdr:cNvSpPr>
      </xdr:nvSpPr>
      <xdr:spPr bwMode="auto">
        <a:xfrm>
          <a:off x="3219450" y="83067525"/>
          <a:ext cx="2190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9"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10"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11"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12"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13"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14"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285750</xdr:colOff>
      <xdr:row>150</xdr:row>
      <xdr:rowOff>238125</xdr:rowOff>
    </xdr:to>
    <xdr:sp macro="" textlink="">
      <xdr:nvSpPr>
        <xdr:cNvPr id="15" name="Option Button 60" hidden="1"/>
        <xdr:cNvSpPr>
          <a:spLocks noChangeArrowheads="1"/>
        </xdr:cNvSpPr>
      </xdr:nvSpPr>
      <xdr:spPr bwMode="auto">
        <a:xfrm>
          <a:off x="3219450" y="83067525"/>
          <a:ext cx="2190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16"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17"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18"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19"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20"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21"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285750</xdr:colOff>
      <xdr:row>150</xdr:row>
      <xdr:rowOff>238125</xdr:rowOff>
    </xdr:to>
    <xdr:sp macro="" textlink="">
      <xdr:nvSpPr>
        <xdr:cNvPr id="22" name="Option Button 60" hidden="1"/>
        <xdr:cNvSpPr>
          <a:spLocks noChangeArrowheads="1"/>
        </xdr:cNvSpPr>
      </xdr:nvSpPr>
      <xdr:spPr bwMode="auto">
        <a:xfrm>
          <a:off x="3219450" y="83067525"/>
          <a:ext cx="2190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23"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24"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25"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26"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27"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28"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295275</xdr:colOff>
      <xdr:row>150</xdr:row>
      <xdr:rowOff>238125</xdr:rowOff>
    </xdr:to>
    <xdr:sp macro="" textlink="">
      <xdr:nvSpPr>
        <xdr:cNvPr id="29" name="Option Button 60" hidden="1"/>
        <xdr:cNvSpPr>
          <a:spLocks noChangeArrowheads="1"/>
        </xdr:cNvSpPr>
      </xdr:nvSpPr>
      <xdr:spPr bwMode="auto">
        <a:xfrm>
          <a:off x="3219450" y="83067525"/>
          <a:ext cx="2286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30"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31"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32"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33"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34"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35"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295275</xdr:colOff>
      <xdr:row>150</xdr:row>
      <xdr:rowOff>238125</xdr:rowOff>
    </xdr:to>
    <xdr:sp macro="" textlink="">
      <xdr:nvSpPr>
        <xdr:cNvPr id="36" name="Option Button 60" hidden="1"/>
        <xdr:cNvSpPr>
          <a:spLocks noChangeArrowheads="1"/>
        </xdr:cNvSpPr>
      </xdr:nvSpPr>
      <xdr:spPr bwMode="auto">
        <a:xfrm>
          <a:off x="3219450" y="83067525"/>
          <a:ext cx="2286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37"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38"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39"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40"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41"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42"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295275</xdr:colOff>
      <xdr:row>150</xdr:row>
      <xdr:rowOff>238125</xdr:rowOff>
    </xdr:to>
    <xdr:sp macro="" textlink="">
      <xdr:nvSpPr>
        <xdr:cNvPr id="43" name="Option Button 60" hidden="1"/>
        <xdr:cNvSpPr>
          <a:spLocks noChangeArrowheads="1"/>
        </xdr:cNvSpPr>
      </xdr:nvSpPr>
      <xdr:spPr bwMode="auto">
        <a:xfrm>
          <a:off x="3219450" y="83067525"/>
          <a:ext cx="2286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44"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45"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46"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47"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48"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49"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295275</xdr:colOff>
      <xdr:row>150</xdr:row>
      <xdr:rowOff>238125</xdr:rowOff>
    </xdr:to>
    <xdr:sp macro="" textlink="">
      <xdr:nvSpPr>
        <xdr:cNvPr id="50" name="Option Button 60" hidden="1"/>
        <xdr:cNvSpPr>
          <a:spLocks noChangeArrowheads="1"/>
        </xdr:cNvSpPr>
      </xdr:nvSpPr>
      <xdr:spPr bwMode="auto">
        <a:xfrm>
          <a:off x="3219450" y="83067525"/>
          <a:ext cx="2286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51"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52"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53"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54"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55"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56"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295275</xdr:colOff>
      <xdr:row>150</xdr:row>
      <xdr:rowOff>238125</xdr:rowOff>
    </xdr:to>
    <xdr:sp macro="" textlink="">
      <xdr:nvSpPr>
        <xdr:cNvPr id="57" name="Option Button 60" hidden="1"/>
        <xdr:cNvSpPr>
          <a:spLocks noChangeArrowheads="1"/>
        </xdr:cNvSpPr>
      </xdr:nvSpPr>
      <xdr:spPr bwMode="auto">
        <a:xfrm>
          <a:off x="3219450" y="83067525"/>
          <a:ext cx="2286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58" name="Group Box 2" hidden="1"/>
        <xdr:cNvSpPr>
          <a:spLocks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59" name="Group Box 5" hidden="1"/>
        <xdr:cNvSpPr>
          <a:spLocks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123</xdr:row>
      <xdr:rowOff>209550</xdr:rowOff>
    </xdr:from>
    <xdr:to>
      <xdr:col>26</xdr:col>
      <xdr:colOff>438150</xdr:colOff>
      <xdr:row>125</xdr:row>
      <xdr:rowOff>0</xdr:rowOff>
    </xdr:to>
    <xdr:sp macro="" textlink="">
      <xdr:nvSpPr>
        <xdr:cNvPr id="60" name="Group Box 39" hidden="1"/>
        <xdr:cNvSpPr>
          <a:spLocks noChangeArrowheads="1"/>
        </xdr:cNvSpPr>
      </xdr:nvSpPr>
      <xdr:spPr bwMode="auto">
        <a:xfrm>
          <a:off x="2676525" y="75838050"/>
          <a:ext cx="4543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61" name="Group Box 40" hidden="1"/>
        <xdr:cNvSpPr>
          <a:spLocks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62" name="Group Box 52" hidden="1"/>
        <xdr:cNvSpPr>
          <a:spLocks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148</xdr:row>
      <xdr:rowOff>238125</xdr:rowOff>
    </xdr:to>
    <xdr:sp macro="" textlink="">
      <xdr:nvSpPr>
        <xdr:cNvPr id="63" name="Group Box 53" hidden="1"/>
        <xdr:cNvSpPr>
          <a:spLocks noChangeArrowheads="1"/>
        </xdr:cNvSpPr>
      </xdr:nvSpPr>
      <xdr:spPr bwMode="auto">
        <a:xfrm>
          <a:off x="2895600" y="8254365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295275</xdr:colOff>
      <xdr:row>150</xdr:row>
      <xdr:rowOff>238125</xdr:rowOff>
    </xdr:to>
    <xdr:sp macro="" textlink="">
      <xdr:nvSpPr>
        <xdr:cNvPr id="64" name="Option Button 60" hidden="1"/>
        <xdr:cNvSpPr>
          <a:spLocks noChangeArrowheads="1"/>
        </xdr:cNvSpPr>
      </xdr:nvSpPr>
      <xdr:spPr bwMode="auto">
        <a:xfrm>
          <a:off x="3219450" y="83067525"/>
          <a:ext cx="2286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90</xdr:row>
      <xdr:rowOff>200025</xdr:rowOff>
    </xdr:from>
    <xdr:to>
      <xdr:col>27</xdr:col>
      <xdr:colOff>9525</xdr:colOff>
      <xdr:row>92</xdr:row>
      <xdr:rowOff>9525</xdr:rowOff>
    </xdr:to>
    <xdr:sp macro="" textlink="">
      <xdr:nvSpPr>
        <xdr:cNvPr id="65" name="Group Box 2" hidden="1"/>
        <xdr:cNvSpPr>
          <a:spLocks noChangeAspect="1" noChangeArrowheads="1"/>
        </xdr:cNvSpPr>
      </xdr:nvSpPr>
      <xdr:spPr bwMode="auto">
        <a:xfrm>
          <a:off x="2676525" y="64255650"/>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93</xdr:row>
      <xdr:rowOff>400050</xdr:rowOff>
    </xdr:from>
    <xdr:to>
      <xdr:col>27</xdr:col>
      <xdr:colOff>9525</xdr:colOff>
      <xdr:row>95</xdr:row>
      <xdr:rowOff>9525</xdr:rowOff>
    </xdr:to>
    <xdr:sp macro="" textlink="">
      <xdr:nvSpPr>
        <xdr:cNvPr id="66" name="Group Box 5" hidden="1"/>
        <xdr:cNvSpPr>
          <a:spLocks noChangeAspect="1" noChangeArrowheads="1"/>
        </xdr:cNvSpPr>
      </xdr:nvSpPr>
      <xdr:spPr bwMode="auto">
        <a:xfrm>
          <a:off x="2676525" y="65484375"/>
          <a:ext cx="45624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266700</xdr:colOff>
      <xdr:row>124</xdr:row>
      <xdr:rowOff>9525</xdr:rowOff>
    </xdr:from>
    <xdr:to>
      <xdr:col>26</xdr:col>
      <xdr:colOff>438150</xdr:colOff>
      <xdr:row>125</xdr:row>
      <xdr:rowOff>0</xdr:rowOff>
    </xdr:to>
    <xdr:sp macro="" textlink="">
      <xdr:nvSpPr>
        <xdr:cNvPr id="67" name="Group Box 39" hidden="1"/>
        <xdr:cNvSpPr>
          <a:spLocks noChangeAspect="1" noChangeArrowheads="1"/>
        </xdr:cNvSpPr>
      </xdr:nvSpPr>
      <xdr:spPr bwMode="auto">
        <a:xfrm>
          <a:off x="2676525" y="758475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125</xdr:row>
      <xdr:rowOff>0</xdr:rowOff>
    </xdr:from>
    <xdr:to>
      <xdr:col>26</xdr:col>
      <xdr:colOff>438150</xdr:colOff>
      <xdr:row>125</xdr:row>
      <xdr:rowOff>228600</xdr:rowOff>
    </xdr:to>
    <xdr:sp macro="" textlink="">
      <xdr:nvSpPr>
        <xdr:cNvPr id="68" name="Group Box 40" hidden="1"/>
        <xdr:cNvSpPr>
          <a:spLocks noChangeAspect="1" noChangeArrowheads="1"/>
        </xdr:cNvSpPr>
      </xdr:nvSpPr>
      <xdr:spPr bwMode="auto">
        <a:xfrm>
          <a:off x="2676525" y="76076175"/>
          <a:ext cx="45434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146</xdr:row>
      <xdr:rowOff>238125</xdr:rowOff>
    </xdr:from>
    <xdr:to>
      <xdr:col>27</xdr:col>
      <xdr:colOff>200025</xdr:colOff>
      <xdr:row>147</xdr:row>
      <xdr:rowOff>238125</xdr:rowOff>
    </xdr:to>
    <xdr:sp macro="" textlink="">
      <xdr:nvSpPr>
        <xdr:cNvPr id="69" name="Group Box 52" hidden="1"/>
        <xdr:cNvSpPr>
          <a:spLocks noChangeAspect="1" noChangeArrowheads="1"/>
        </xdr:cNvSpPr>
      </xdr:nvSpPr>
      <xdr:spPr bwMode="auto">
        <a:xfrm>
          <a:off x="2895600" y="82296000"/>
          <a:ext cx="45339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147</xdr:row>
      <xdr:rowOff>238125</xdr:rowOff>
    </xdr:from>
    <xdr:to>
      <xdr:col>27</xdr:col>
      <xdr:colOff>200025</xdr:colOff>
      <xdr:row>149</xdr:row>
      <xdr:rowOff>0</xdr:rowOff>
    </xdr:to>
    <xdr:sp macro="" textlink="">
      <xdr:nvSpPr>
        <xdr:cNvPr id="70" name="Group Box 53" hidden="1"/>
        <xdr:cNvSpPr>
          <a:spLocks noChangeAspect="1" noChangeArrowheads="1"/>
        </xdr:cNvSpPr>
      </xdr:nvSpPr>
      <xdr:spPr bwMode="auto">
        <a:xfrm>
          <a:off x="2895600" y="82543650"/>
          <a:ext cx="45339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66675</xdr:colOff>
      <xdr:row>150</xdr:row>
      <xdr:rowOff>19050</xdr:rowOff>
    </xdr:from>
    <xdr:to>
      <xdr:col>14</xdr:col>
      <xdr:colOff>295275</xdr:colOff>
      <xdr:row>151</xdr:row>
      <xdr:rowOff>0</xdr:rowOff>
    </xdr:to>
    <xdr:sp macro="" textlink="">
      <xdr:nvSpPr>
        <xdr:cNvPr id="71" name="Option Button 60" hidden="1"/>
        <xdr:cNvSpPr>
          <a:spLocks noChangeAspect="1" noChangeArrowheads="1"/>
        </xdr:cNvSpPr>
      </xdr:nvSpPr>
      <xdr:spPr bwMode="auto">
        <a:xfrm>
          <a:off x="3219450" y="83067525"/>
          <a:ext cx="2286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11</xdr:col>
          <xdr:colOff>266700</xdr:colOff>
          <xdr:row>91</xdr:row>
          <xdr:rowOff>400050</xdr:rowOff>
        </xdr:from>
        <xdr:to>
          <xdr:col>27</xdr:col>
          <xdr:colOff>9525</xdr:colOff>
          <xdr:row>93</xdr:row>
          <xdr:rowOff>9525</xdr:rowOff>
        </xdr:to>
        <xdr:sp macro="" textlink="">
          <xdr:nvSpPr>
            <xdr:cNvPr id="1114113" name="Group Box 1" hidden="1">
              <a:extLst>
                <a:ext uri="{63B3BB69-23CF-44E3-9099-C40C66FF867C}">
                  <a14:compatExt spid="_x0000_s1114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266700</xdr:colOff>
          <xdr:row>92</xdr:row>
          <xdr:rowOff>400050</xdr:rowOff>
        </xdr:from>
        <xdr:to>
          <xdr:col>27</xdr:col>
          <xdr:colOff>9525</xdr:colOff>
          <xdr:row>94</xdr:row>
          <xdr:rowOff>9525</xdr:rowOff>
        </xdr:to>
        <xdr:sp macro="" textlink="">
          <xdr:nvSpPr>
            <xdr:cNvPr id="1114114" name="Group Box 2" hidden="1">
              <a:extLst>
                <a:ext uri="{63B3BB69-23CF-44E3-9099-C40C66FF867C}">
                  <a14:compatExt spid="_x0000_s1114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266700</xdr:colOff>
          <xdr:row>94</xdr:row>
          <xdr:rowOff>400050</xdr:rowOff>
        </xdr:from>
        <xdr:to>
          <xdr:col>27</xdr:col>
          <xdr:colOff>9525</xdr:colOff>
          <xdr:row>96</xdr:row>
          <xdr:rowOff>9525</xdr:rowOff>
        </xdr:to>
        <xdr:sp macro="" textlink="">
          <xdr:nvSpPr>
            <xdr:cNvPr id="1114115" name="Group Box 3" hidden="1">
              <a:extLst>
                <a:ext uri="{63B3BB69-23CF-44E3-9099-C40C66FF867C}">
                  <a14:compatExt spid="_x0000_s1114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266700</xdr:colOff>
          <xdr:row>95</xdr:row>
          <xdr:rowOff>400050</xdr:rowOff>
        </xdr:from>
        <xdr:to>
          <xdr:col>27</xdr:col>
          <xdr:colOff>9525</xdr:colOff>
          <xdr:row>97</xdr:row>
          <xdr:rowOff>9525</xdr:rowOff>
        </xdr:to>
        <xdr:sp macro="" textlink="">
          <xdr:nvSpPr>
            <xdr:cNvPr id="1114116" name="Group Box 4" hidden="1">
              <a:extLst>
                <a:ext uri="{63B3BB69-23CF-44E3-9099-C40C66FF867C}">
                  <a14:compatExt spid="_x0000_s1114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91</xdr:row>
          <xdr:rowOff>85725</xdr:rowOff>
        </xdr:from>
        <xdr:to>
          <xdr:col>14</xdr:col>
          <xdr:colOff>38100</xdr:colOff>
          <xdr:row>91</xdr:row>
          <xdr:rowOff>295275</xdr:rowOff>
        </xdr:to>
        <xdr:sp macro="" textlink="">
          <xdr:nvSpPr>
            <xdr:cNvPr id="1114117" name="Option Button 5" hidden="1">
              <a:extLst>
                <a:ext uri="{63B3BB69-23CF-44E3-9099-C40C66FF867C}">
                  <a14:compatExt spid="_x0000_s1114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92</xdr:row>
          <xdr:rowOff>85725</xdr:rowOff>
        </xdr:from>
        <xdr:to>
          <xdr:col>14</xdr:col>
          <xdr:colOff>38100</xdr:colOff>
          <xdr:row>92</xdr:row>
          <xdr:rowOff>295275</xdr:rowOff>
        </xdr:to>
        <xdr:sp macro="" textlink="">
          <xdr:nvSpPr>
            <xdr:cNvPr id="1114118" name="Option Button 6" hidden="1">
              <a:extLst>
                <a:ext uri="{63B3BB69-23CF-44E3-9099-C40C66FF867C}">
                  <a14:compatExt spid="_x0000_s1114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93</xdr:row>
          <xdr:rowOff>85725</xdr:rowOff>
        </xdr:from>
        <xdr:to>
          <xdr:col>14</xdr:col>
          <xdr:colOff>38100</xdr:colOff>
          <xdr:row>93</xdr:row>
          <xdr:rowOff>295275</xdr:rowOff>
        </xdr:to>
        <xdr:sp macro="" textlink="">
          <xdr:nvSpPr>
            <xdr:cNvPr id="1114119" name="Option Button 7" hidden="1">
              <a:extLst>
                <a:ext uri="{63B3BB69-23CF-44E3-9099-C40C66FF867C}">
                  <a14:compatExt spid="_x0000_s1114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94</xdr:row>
          <xdr:rowOff>85725</xdr:rowOff>
        </xdr:from>
        <xdr:to>
          <xdr:col>14</xdr:col>
          <xdr:colOff>38100</xdr:colOff>
          <xdr:row>94</xdr:row>
          <xdr:rowOff>295275</xdr:rowOff>
        </xdr:to>
        <xdr:sp macro="" textlink="">
          <xdr:nvSpPr>
            <xdr:cNvPr id="1114120" name="Option Button 8" hidden="1">
              <a:extLst>
                <a:ext uri="{63B3BB69-23CF-44E3-9099-C40C66FF867C}">
                  <a14:compatExt spid="_x0000_s1114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95</xdr:row>
          <xdr:rowOff>85725</xdr:rowOff>
        </xdr:from>
        <xdr:to>
          <xdr:col>14</xdr:col>
          <xdr:colOff>38100</xdr:colOff>
          <xdr:row>95</xdr:row>
          <xdr:rowOff>295275</xdr:rowOff>
        </xdr:to>
        <xdr:sp macro="" textlink="">
          <xdr:nvSpPr>
            <xdr:cNvPr id="1114121" name="Option Button 9" hidden="1">
              <a:extLst>
                <a:ext uri="{63B3BB69-23CF-44E3-9099-C40C66FF867C}">
                  <a14:compatExt spid="_x0000_s1114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96</xdr:row>
          <xdr:rowOff>85725</xdr:rowOff>
        </xdr:from>
        <xdr:to>
          <xdr:col>14</xdr:col>
          <xdr:colOff>38100</xdr:colOff>
          <xdr:row>96</xdr:row>
          <xdr:rowOff>295275</xdr:rowOff>
        </xdr:to>
        <xdr:sp macro="" textlink="">
          <xdr:nvSpPr>
            <xdr:cNvPr id="1114122" name="Option Button 10" hidden="1">
              <a:extLst>
                <a:ext uri="{63B3BB69-23CF-44E3-9099-C40C66FF867C}">
                  <a14:compatExt spid="_x0000_s1114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91</xdr:row>
          <xdr:rowOff>85725</xdr:rowOff>
        </xdr:from>
        <xdr:to>
          <xdr:col>18</xdr:col>
          <xdr:colOff>57150</xdr:colOff>
          <xdr:row>91</xdr:row>
          <xdr:rowOff>295275</xdr:rowOff>
        </xdr:to>
        <xdr:sp macro="" textlink="">
          <xdr:nvSpPr>
            <xdr:cNvPr id="1114123" name="Option Button 11" hidden="1">
              <a:extLst>
                <a:ext uri="{63B3BB69-23CF-44E3-9099-C40C66FF867C}">
                  <a14:compatExt spid="_x0000_s1114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92</xdr:row>
          <xdr:rowOff>85725</xdr:rowOff>
        </xdr:from>
        <xdr:to>
          <xdr:col>18</xdr:col>
          <xdr:colOff>57150</xdr:colOff>
          <xdr:row>92</xdr:row>
          <xdr:rowOff>295275</xdr:rowOff>
        </xdr:to>
        <xdr:sp macro="" textlink="">
          <xdr:nvSpPr>
            <xdr:cNvPr id="1114124" name="Option Button 12" hidden="1">
              <a:extLst>
                <a:ext uri="{63B3BB69-23CF-44E3-9099-C40C66FF867C}">
                  <a14:compatExt spid="_x0000_s1114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93</xdr:row>
          <xdr:rowOff>85725</xdr:rowOff>
        </xdr:from>
        <xdr:to>
          <xdr:col>18</xdr:col>
          <xdr:colOff>57150</xdr:colOff>
          <xdr:row>93</xdr:row>
          <xdr:rowOff>295275</xdr:rowOff>
        </xdr:to>
        <xdr:sp macro="" textlink="">
          <xdr:nvSpPr>
            <xdr:cNvPr id="1114125" name="Option Button 13" hidden="1">
              <a:extLst>
                <a:ext uri="{63B3BB69-23CF-44E3-9099-C40C66FF867C}">
                  <a14:compatExt spid="_x0000_s1114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94</xdr:row>
          <xdr:rowOff>85725</xdr:rowOff>
        </xdr:from>
        <xdr:to>
          <xdr:col>18</xdr:col>
          <xdr:colOff>57150</xdr:colOff>
          <xdr:row>94</xdr:row>
          <xdr:rowOff>295275</xdr:rowOff>
        </xdr:to>
        <xdr:sp macro="" textlink="">
          <xdr:nvSpPr>
            <xdr:cNvPr id="1114126" name="Option Button 14" hidden="1">
              <a:extLst>
                <a:ext uri="{63B3BB69-23CF-44E3-9099-C40C66FF867C}">
                  <a14:compatExt spid="_x0000_s1114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95</xdr:row>
          <xdr:rowOff>85725</xdr:rowOff>
        </xdr:from>
        <xdr:to>
          <xdr:col>18</xdr:col>
          <xdr:colOff>57150</xdr:colOff>
          <xdr:row>95</xdr:row>
          <xdr:rowOff>295275</xdr:rowOff>
        </xdr:to>
        <xdr:sp macro="" textlink="">
          <xdr:nvSpPr>
            <xdr:cNvPr id="1114127" name="Option Button 15" hidden="1">
              <a:extLst>
                <a:ext uri="{63B3BB69-23CF-44E3-9099-C40C66FF867C}">
                  <a14:compatExt spid="_x0000_s1114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96</xdr:row>
          <xdr:rowOff>85725</xdr:rowOff>
        </xdr:from>
        <xdr:to>
          <xdr:col>18</xdr:col>
          <xdr:colOff>57150</xdr:colOff>
          <xdr:row>96</xdr:row>
          <xdr:rowOff>295275</xdr:rowOff>
        </xdr:to>
        <xdr:sp macro="" textlink="">
          <xdr:nvSpPr>
            <xdr:cNvPr id="1114128" name="Option Button 16" hidden="1">
              <a:extLst>
                <a:ext uri="{63B3BB69-23CF-44E3-9099-C40C66FF867C}">
                  <a14:compatExt spid="_x0000_s1114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219075</xdr:colOff>
          <xdr:row>91</xdr:row>
          <xdr:rowOff>85725</xdr:rowOff>
        </xdr:from>
        <xdr:to>
          <xdr:col>20</xdr:col>
          <xdr:colOff>438150</xdr:colOff>
          <xdr:row>91</xdr:row>
          <xdr:rowOff>295275</xdr:rowOff>
        </xdr:to>
        <xdr:sp macro="" textlink="">
          <xdr:nvSpPr>
            <xdr:cNvPr id="1114129" name="Option Button 17" hidden="1">
              <a:extLst>
                <a:ext uri="{63B3BB69-23CF-44E3-9099-C40C66FF867C}">
                  <a14:compatExt spid="_x0000_s1114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219075</xdr:colOff>
          <xdr:row>92</xdr:row>
          <xdr:rowOff>85725</xdr:rowOff>
        </xdr:from>
        <xdr:to>
          <xdr:col>20</xdr:col>
          <xdr:colOff>438150</xdr:colOff>
          <xdr:row>92</xdr:row>
          <xdr:rowOff>295275</xdr:rowOff>
        </xdr:to>
        <xdr:sp macro="" textlink="">
          <xdr:nvSpPr>
            <xdr:cNvPr id="1114130" name="Option Button 18" hidden="1">
              <a:extLst>
                <a:ext uri="{63B3BB69-23CF-44E3-9099-C40C66FF867C}">
                  <a14:compatExt spid="_x0000_s1114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219075</xdr:colOff>
          <xdr:row>93</xdr:row>
          <xdr:rowOff>85725</xdr:rowOff>
        </xdr:from>
        <xdr:to>
          <xdr:col>20</xdr:col>
          <xdr:colOff>438150</xdr:colOff>
          <xdr:row>93</xdr:row>
          <xdr:rowOff>295275</xdr:rowOff>
        </xdr:to>
        <xdr:sp macro="" textlink="">
          <xdr:nvSpPr>
            <xdr:cNvPr id="1114131" name="Option Button 19" hidden="1">
              <a:extLst>
                <a:ext uri="{63B3BB69-23CF-44E3-9099-C40C66FF867C}">
                  <a14:compatExt spid="_x0000_s1114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219075</xdr:colOff>
          <xdr:row>94</xdr:row>
          <xdr:rowOff>85725</xdr:rowOff>
        </xdr:from>
        <xdr:to>
          <xdr:col>20</xdr:col>
          <xdr:colOff>438150</xdr:colOff>
          <xdr:row>94</xdr:row>
          <xdr:rowOff>295275</xdr:rowOff>
        </xdr:to>
        <xdr:sp macro="" textlink="">
          <xdr:nvSpPr>
            <xdr:cNvPr id="1114132" name="Option Button 20" hidden="1">
              <a:extLst>
                <a:ext uri="{63B3BB69-23CF-44E3-9099-C40C66FF867C}">
                  <a14:compatExt spid="_x0000_s1114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219075</xdr:colOff>
          <xdr:row>95</xdr:row>
          <xdr:rowOff>85725</xdr:rowOff>
        </xdr:from>
        <xdr:to>
          <xdr:col>20</xdr:col>
          <xdr:colOff>438150</xdr:colOff>
          <xdr:row>95</xdr:row>
          <xdr:rowOff>295275</xdr:rowOff>
        </xdr:to>
        <xdr:sp macro="" textlink="">
          <xdr:nvSpPr>
            <xdr:cNvPr id="1114133" name="Option Button 21" hidden="1">
              <a:extLst>
                <a:ext uri="{63B3BB69-23CF-44E3-9099-C40C66FF867C}">
                  <a14:compatExt spid="_x0000_s1114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219075</xdr:colOff>
          <xdr:row>96</xdr:row>
          <xdr:rowOff>85725</xdr:rowOff>
        </xdr:from>
        <xdr:to>
          <xdr:col>20</xdr:col>
          <xdr:colOff>438150</xdr:colOff>
          <xdr:row>96</xdr:row>
          <xdr:rowOff>295275</xdr:rowOff>
        </xdr:to>
        <xdr:sp macro="" textlink="">
          <xdr:nvSpPr>
            <xdr:cNvPr id="1114134" name="Option Button 22" hidden="1">
              <a:extLst>
                <a:ext uri="{63B3BB69-23CF-44E3-9099-C40C66FF867C}">
                  <a14:compatExt spid="_x0000_s1114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91</xdr:row>
          <xdr:rowOff>85725</xdr:rowOff>
        </xdr:from>
        <xdr:to>
          <xdr:col>22</xdr:col>
          <xdr:colOff>533400</xdr:colOff>
          <xdr:row>91</xdr:row>
          <xdr:rowOff>295275</xdr:rowOff>
        </xdr:to>
        <xdr:sp macro="" textlink="">
          <xdr:nvSpPr>
            <xdr:cNvPr id="1114135" name="Option Button 23" hidden="1">
              <a:extLst>
                <a:ext uri="{63B3BB69-23CF-44E3-9099-C40C66FF867C}">
                  <a14:compatExt spid="_x0000_s1114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92</xdr:row>
          <xdr:rowOff>85725</xdr:rowOff>
        </xdr:from>
        <xdr:to>
          <xdr:col>22</xdr:col>
          <xdr:colOff>533400</xdr:colOff>
          <xdr:row>92</xdr:row>
          <xdr:rowOff>295275</xdr:rowOff>
        </xdr:to>
        <xdr:sp macro="" textlink="">
          <xdr:nvSpPr>
            <xdr:cNvPr id="1114136" name="Option Button 24" hidden="1">
              <a:extLst>
                <a:ext uri="{63B3BB69-23CF-44E3-9099-C40C66FF867C}">
                  <a14:compatExt spid="_x0000_s1114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93</xdr:row>
          <xdr:rowOff>85725</xdr:rowOff>
        </xdr:from>
        <xdr:to>
          <xdr:col>22</xdr:col>
          <xdr:colOff>533400</xdr:colOff>
          <xdr:row>93</xdr:row>
          <xdr:rowOff>295275</xdr:rowOff>
        </xdr:to>
        <xdr:sp macro="" textlink="">
          <xdr:nvSpPr>
            <xdr:cNvPr id="1114137" name="Option Button 25" hidden="1">
              <a:extLst>
                <a:ext uri="{63B3BB69-23CF-44E3-9099-C40C66FF867C}">
                  <a14:compatExt spid="_x0000_s1114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94</xdr:row>
          <xdr:rowOff>85725</xdr:rowOff>
        </xdr:from>
        <xdr:to>
          <xdr:col>22</xdr:col>
          <xdr:colOff>533400</xdr:colOff>
          <xdr:row>94</xdr:row>
          <xdr:rowOff>295275</xdr:rowOff>
        </xdr:to>
        <xdr:sp macro="" textlink="">
          <xdr:nvSpPr>
            <xdr:cNvPr id="1114138" name="Option Button 26" hidden="1">
              <a:extLst>
                <a:ext uri="{63B3BB69-23CF-44E3-9099-C40C66FF867C}">
                  <a14:compatExt spid="_x0000_s1114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95</xdr:row>
          <xdr:rowOff>85725</xdr:rowOff>
        </xdr:from>
        <xdr:to>
          <xdr:col>22</xdr:col>
          <xdr:colOff>533400</xdr:colOff>
          <xdr:row>95</xdr:row>
          <xdr:rowOff>295275</xdr:rowOff>
        </xdr:to>
        <xdr:sp macro="" textlink="">
          <xdr:nvSpPr>
            <xdr:cNvPr id="1114139" name="Option Button 27" hidden="1">
              <a:extLst>
                <a:ext uri="{63B3BB69-23CF-44E3-9099-C40C66FF867C}">
                  <a14:compatExt spid="_x0000_s1114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96</xdr:row>
          <xdr:rowOff>85725</xdr:rowOff>
        </xdr:from>
        <xdr:to>
          <xdr:col>22</xdr:col>
          <xdr:colOff>533400</xdr:colOff>
          <xdr:row>96</xdr:row>
          <xdr:rowOff>295275</xdr:rowOff>
        </xdr:to>
        <xdr:sp macro="" textlink="">
          <xdr:nvSpPr>
            <xdr:cNvPr id="1114140" name="Option Button 28" hidden="1">
              <a:extLst>
                <a:ext uri="{63B3BB69-23CF-44E3-9099-C40C66FF867C}">
                  <a14:compatExt spid="_x0000_s1114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91</xdr:row>
          <xdr:rowOff>85725</xdr:rowOff>
        </xdr:from>
        <xdr:to>
          <xdr:col>25</xdr:col>
          <xdr:colOff>342900</xdr:colOff>
          <xdr:row>91</xdr:row>
          <xdr:rowOff>295275</xdr:rowOff>
        </xdr:to>
        <xdr:sp macro="" textlink="">
          <xdr:nvSpPr>
            <xdr:cNvPr id="1114141" name="Option Button 29" hidden="1">
              <a:extLst>
                <a:ext uri="{63B3BB69-23CF-44E3-9099-C40C66FF867C}">
                  <a14:compatExt spid="_x0000_s1114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92</xdr:row>
          <xdr:rowOff>85725</xdr:rowOff>
        </xdr:from>
        <xdr:to>
          <xdr:col>25</xdr:col>
          <xdr:colOff>342900</xdr:colOff>
          <xdr:row>92</xdr:row>
          <xdr:rowOff>295275</xdr:rowOff>
        </xdr:to>
        <xdr:sp macro="" textlink="">
          <xdr:nvSpPr>
            <xdr:cNvPr id="1114142" name="Option Button 30" hidden="1">
              <a:extLst>
                <a:ext uri="{63B3BB69-23CF-44E3-9099-C40C66FF867C}">
                  <a14:compatExt spid="_x0000_s1114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93</xdr:row>
          <xdr:rowOff>85725</xdr:rowOff>
        </xdr:from>
        <xdr:to>
          <xdr:col>25</xdr:col>
          <xdr:colOff>342900</xdr:colOff>
          <xdr:row>93</xdr:row>
          <xdr:rowOff>295275</xdr:rowOff>
        </xdr:to>
        <xdr:sp macro="" textlink="">
          <xdr:nvSpPr>
            <xdr:cNvPr id="1114143" name="Option Button 31" hidden="1">
              <a:extLst>
                <a:ext uri="{63B3BB69-23CF-44E3-9099-C40C66FF867C}">
                  <a14:compatExt spid="_x0000_s1114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94</xdr:row>
          <xdr:rowOff>85725</xdr:rowOff>
        </xdr:from>
        <xdr:to>
          <xdr:col>25</xdr:col>
          <xdr:colOff>342900</xdr:colOff>
          <xdr:row>94</xdr:row>
          <xdr:rowOff>295275</xdr:rowOff>
        </xdr:to>
        <xdr:sp macro="" textlink="">
          <xdr:nvSpPr>
            <xdr:cNvPr id="1114144" name="Option Button 32" hidden="1">
              <a:extLst>
                <a:ext uri="{63B3BB69-23CF-44E3-9099-C40C66FF867C}">
                  <a14:compatExt spid="_x0000_s1114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95</xdr:row>
          <xdr:rowOff>85725</xdr:rowOff>
        </xdr:from>
        <xdr:to>
          <xdr:col>25</xdr:col>
          <xdr:colOff>342900</xdr:colOff>
          <xdr:row>95</xdr:row>
          <xdr:rowOff>295275</xdr:rowOff>
        </xdr:to>
        <xdr:sp macro="" textlink="">
          <xdr:nvSpPr>
            <xdr:cNvPr id="1114145" name="Option Button 33" hidden="1">
              <a:extLst>
                <a:ext uri="{63B3BB69-23CF-44E3-9099-C40C66FF867C}">
                  <a14:compatExt spid="_x0000_s1114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96</xdr:row>
          <xdr:rowOff>85725</xdr:rowOff>
        </xdr:from>
        <xdr:to>
          <xdr:col>25</xdr:col>
          <xdr:colOff>342900</xdr:colOff>
          <xdr:row>96</xdr:row>
          <xdr:rowOff>295275</xdr:rowOff>
        </xdr:to>
        <xdr:sp macro="" textlink="">
          <xdr:nvSpPr>
            <xdr:cNvPr id="1114146" name="Option Button 34" hidden="1">
              <a:extLst>
                <a:ext uri="{63B3BB69-23CF-44E3-9099-C40C66FF867C}">
                  <a14:compatExt spid="_x0000_s1114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95250</xdr:colOff>
          <xdr:row>124</xdr:row>
          <xdr:rowOff>19050</xdr:rowOff>
        </xdr:from>
        <xdr:to>
          <xdr:col>14</xdr:col>
          <xdr:colOff>57150</xdr:colOff>
          <xdr:row>125</xdr:row>
          <xdr:rowOff>0</xdr:rowOff>
        </xdr:to>
        <xdr:sp macro="" textlink="">
          <xdr:nvSpPr>
            <xdr:cNvPr id="1114147" name="Option Button 35" hidden="1">
              <a:extLst>
                <a:ext uri="{63B3BB69-23CF-44E3-9099-C40C66FF867C}">
                  <a14:compatExt spid="_x0000_s1114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95250</xdr:colOff>
          <xdr:row>125</xdr:row>
          <xdr:rowOff>19050</xdr:rowOff>
        </xdr:from>
        <xdr:to>
          <xdr:col>14</xdr:col>
          <xdr:colOff>57150</xdr:colOff>
          <xdr:row>126</xdr:row>
          <xdr:rowOff>0</xdr:rowOff>
        </xdr:to>
        <xdr:sp macro="" textlink="">
          <xdr:nvSpPr>
            <xdr:cNvPr id="1114148" name="Option Button 36" hidden="1">
              <a:extLst>
                <a:ext uri="{63B3BB69-23CF-44E3-9099-C40C66FF867C}">
                  <a14:compatExt spid="_x0000_s1114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124</xdr:row>
          <xdr:rowOff>19050</xdr:rowOff>
        </xdr:from>
        <xdr:to>
          <xdr:col>18</xdr:col>
          <xdr:colOff>57150</xdr:colOff>
          <xdr:row>125</xdr:row>
          <xdr:rowOff>0</xdr:rowOff>
        </xdr:to>
        <xdr:sp macro="" textlink="">
          <xdr:nvSpPr>
            <xdr:cNvPr id="1114149" name="Option Button 37" hidden="1">
              <a:extLst>
                <a:ext uri="{63B3BB69-23CF-44E3-9099-C40C66FF867C}">
                  <a14:compatExt spid="_x0000_s1114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125</xdr:row>
          <xdr:rowOff>19050</xdr:rowOff>
        </xdr:from>
        <xdr:to>
          <xdr:col>18</xdr:col>
          <xdr:colOff>57150</xdr:colOff>
          <xdr:row>126</xdr:row>
          <xdr:rowOff>0</xdr:rowOff>
        </xdr:to>
        <xdr:sp macro="" textlink="">
          <xdr:nvSpPr>
            <xdr:cNvPr id="1114150" name="Option Button 38" hidden="1">
              <a:extLst>
                <a:ext uri="{63B3BB69-23CF-44E3-9099-C40C66FF867C}">
                  <a14:compatExt spid="_x0000_s1114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180975</xdr:colOff>
          <xdr:row>124</xdr:row>
          <xdr:rowOff>19050</xdr:rowOff>
        </xdr:from>
        <xdr:to>
          <xdr:col>20</xdr:col>
          <xdr:colOff>390525</xdr:colOff>
          <xdr:row>125</xdr:row>
          <xdr:rowOff>0</xdr:rowOff>
        </xdr:to>
        <xdr:sp macro="" textlink="">
          <xdr:nvSpPr>
            <xdr:cNvPr id="1114151" name="Option Button 39" hidden="1">
              <a:extLst>
                <a:ext uri="{63B3BB69-23CF-44E3-9099-C40C66FF867C}">
                  <a14:compatExt spid="_x0000_s1114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180975</xdr:colOff>
          <xdr:row>125</xdr:row>
          <xdr:rowOff>19050</xdr:rowOff>
        </xdr:from>
        <xdr:to>
          <xdr:col>20</xdr:col>
          <xdr:colOff>390525</xdr:colOff>
          <xdr:row>126</xdr:row>
          <xdr:rowOff>0</xdr:rowOff>
        </xdr:to>
        <xdr:sp macro="" textlink="">
          <xdr:nvSpPr>
            <xdr:cNvPr id="1114152" name="Option Button 40" hidden="1">
              <a:extLst>
                <a:ext uri="{63B3BB69-23CF-44E3-9099-C40C66FF867C}">
                  <a14:compatExt spid="_x0000_s1114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124</xdr:row>
          <xdr:rowOff>19050</xdr:rowOff>
        </xdr:from>
        <xdr:to>
          <xdr:col>22</xdr:col>
          <xdr:colOff>561975</xdr:colOff>
          <xdr:row>125</xdr:row>
          <xdr:rowOff>0</xdr:rowOff>
        </xdr:to>
        <xdr:sp macro="" textlink="">
          <xdr:nvSpPr>
            <xdr:cNvPr id="1114153" name="Option Button 41" hidden="1">
              <a:extLst>
                <a:ext uri="{63B3BB69-23CF-44E3-9099-C40C66FF867C}">
                  <a14:compatExt spid="_x0000_s1114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125</xdr:row>
          <xdr:rowOff>19050</xdr:rowOff>
        </xdr:from>
        <xdr:to>
          <xdr:col>22</xdr:col>
          <xdr:colOff>561975</xdr:colOff>
          <xdr:row>126</xdr:row>
          <xdr:rowOff>0</xdr:rowOff>
        </xdr:to>
        <xdr:sp macro="" textlink="">
          <xdr:nvSpPr>
            <xdr:cNvPr id="1114154" name="Option Button 42" hidden="1">
              <a:extLst>
                <a:ext uri="{63B3BB69-23CF-44E3-9099-C40C66FF867C}">
                  <a14:compatExt spid="_x0000_s1114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133350</xdr:colOff>
          <xdr:row>124</xdr:row>
          <xdr:rowOff>19050</xdr:rowOff>
        </xdr:from>
        <xdr:to>
          <xdr:col>25</xdr:col>
          <xdr:colOff>342900</xdr:colOff>
          <xdr:row>125</xdr:row>
          <xdr:rowOff>0</xdr:rowOff>
        </xdr:to>
        <xdr:sp macro="" textlink="">
          <xdr:nvSpPr>
            <xdr:cNvPr id="1114155" name="Option Button 43" hidden="1">
              <a:extLst>
                <a:ext uri="{63B3BB69-23CF-44E3-9099-C40C66FF867C}">
                  <a14:compatExt spid="_x0000_s1114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133350</xdr:colOff>
          <xdr:row>125</xdr:row>
          <xdr:rowOff>19050</xdr:rowOff>
        </xdr:from>
        <xdr:to>
          <xdr:col>25</xdr:col>
          <xdr:colOff>342900</xdr:colOff>
          <xdr:row>126</xdr:row>
          <xdr:rowOff>0</xdr:rowOff>
        </xdr:to>
        <xdr:sp macro="" textlink="">
          <xdr:nvSpPr>
            <xdr:cNvPr id="1114156" name="Option Button 44" hidden="1">
              <a:extLst>
                <a:ext uri="{63B3BB69-23CF-44E3-9099-C40C66FF867C}">
                  <a14:compatExt spid="_x0000_s1114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145</xdr:row>
          <xdr:rowOff>200025</xdr:rowOff>
        </xdr:from>
        <xdr:to>
          <xdr:col>27</xdr:col>
          <xdr:colOff>200025</xdr:colOff>
          <xdr:row>147</xdr:row>
          <xdr:rowOff>0</xdr:rowOff>
        </xdr:to>
        <xdr:sp macro="" textlink="">
          <xdr:nvSpPr>
            <xdr:cNvPr id="1114157" name="Group Box 45" hidden="1">
              <a:extLst>
                <a:ext uri="{63B3BB69-23CF-44E3-9099-C40C66FF867C}">
                  <a14:compatExt spid="_x0000_s1114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148</xdr:row>
          <xdr:rowOff>238125</xdr:rowOff>
        </xdr:from>
        <xdr:to>
          <xdr:col>27</xdr:col>
          <xdr:colOff>200025</xdr:colOff>
          <xdr:row>150</xdr:row>
          <xdr:rowOff>0</xdr:rowOff>
        </xdr:to>
        <xdr:sp macro="" textlink="">
          <xdr:nvSpPr>
            <xdr:cNvPr id="1114158" name="Group Box 46" hidden="1">
              <a:extLst>
                <a:ext uri="{63B3BB69-23CF-44E3-9099-C40C66FF867C}">
                  <a14:compatExt spid="_x0000_s1114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149</xdr:row>
          <xdr:rowOff>238125</xdr:rowOff>
        </xdr:from>
        <xdr:to>
          <xdr:col>27</xdr:col>
          <xdr:colOff>200025</xdr:colOff>
          <xdr:row>151</xdr:row>
          <xdr:rowOff>0</xdr:rowOff>
        </xdr:to>
        <xdr:sp macro="" textlink="">
          <xdr:nvSpPr>
            <xdr:cNvPr id="1114159" name="Group Box 47" hidden="1">
              <a:extLst>
                <a:ext uri="{63B3BB69-23CF-44E3-9099-C40C66FF867C}">
                  <a14:compatExt spid="_x0000_s1114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85725</xdr:colOff>
          <xdr:row>146</xdr:row>
          <xdr:rowOff>19050</xdr:rowOff>
        </xdr:from>
        <xdr:to>
          <xdr:col>14</xdr:col>
          <xdr:colOff>295275</xdr:colOff>
          <xdr:row>147</xdr:row>
          <xdr:rowOff>0</xdr:rowOff>
        </xdr:to>
        <xdr:sp macro="" textlink="">
          <xdr:nvSpPr>
            <xdr:cNvPr id="1114160" name="Option Button 48" hidden="1">
              <a:extLst>
                <a:ext uri="{63B3BB69-23CF-44E3-9099-C40C66FF867C}">
                  <a14:compatExt spid="_x0000_s1114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66675</xdr:colOff>
          <xdr:row>147</xdr:row>
          <xdr:rowOff>19050</xdr:rowOff>
        </xdr:from>
        <xdr:to>
          <xdr:col>14</xdr:col>
          <xdr:colOff>295275</xdr:colOff>
          <xdr:row>148</xdr:row>
          <xdr:rowOff>0</xdr:rowOff>
        </xdr:to>
        <xdr:sp macro="" textlink="">
          <xdr:nvSpPr>
            <xdr:cNvPr id="1114161" name="Option Button 49" hidden="1">
              <a:extLst>
                <a:ext uri="{63B3BB69-23CF-44E3-9099-C40C66FF867C}">
                  <a14:compatExt spid="_x0000_s1114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66675</xdr:colOff>
          <xdr:row>148</xdr:row>
          <xdr:rowOff>19050</xdr:rowOff>
        </xdr:from>
        <xdr:to>
          <xdr:col>14</xdr:col>
          <xdr:colOff>295275</xdr:colOff>
          <xdr:row>149</xdr:row>
          <xdr:rowOff>0</xdr:rowOff>
        </xdr:to>
        <xdr:sp macro="" textlink="">
          <xdr:nvSpPr>
            <xdr:cNvPr id="1114162" name="Option Button 50" hidden="1">
              <a:extLst>
                <a:ext uri="{63B3BB69-23CF-44E3-9099-C40C66FF867C}">
                  <a14:compatExt spid="_x0000_s1114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66675</xdr:colOff>
          <xdr:row>149</xdr:row>
          <xdr:rowOff>19050</xdr:rowOff>
        </xdr:from>
        <xdr:to>
          <xdr:col>14</xdr:col>
          <xdr:colOff>295275</xdr:colOff>
          <xdr:row>150</xdr:row>
          <xdr:rowOff>0</xdr:rowOff>
        </xdr:to>
        <xdr:sp macro="" textlink="">
          <xdr:nvSpPr>
            <xdr:cNvPr id="1114163" name="Option Button 51" hidden="1">
              <a:extLst>
                <a:ext uri="{63B3BB69-23CF-44E3-9099-C40C66FF867C}">
                  <a14:compatExt spid="_x0000_s1114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76200</xdr:colOff>
          <xdr:row>146</xdr:row>
          <xdr:rowOff>19050</xdr:rowOff>
        </xdr:from>
        <xdr:to>
          <xdr:col>20</xdr:col>
          <xdr:colOff>85725</xdr:colOff>
          <xdr:row>147</xdr:row>
          <xdr:rowOff>0</xdr:rowOff>
        </xdr:to>
        <xdr:sp macro="" textlink="">
          <xdr:nvSpPr>
            <xdr:cNvPr id="1114164" name="Option Button 52" hidden="1">
              <a:extLst>
                <a:ext uri="{63B3BB69-23CF-44E3-9099-C40C66FF867C}">
                  <a14:compatExt spid="_x0000_s1114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147</xdr:row>
          <xdr:rowOff>19050</xdr:rowOff>
        </xdr:from>
        <xdr:to>
          <xdr:col>20</xdr:col>
          <xdr:colOff>57150</xdr:colOff>
          <xdr:row>148</xdr:row>
          <xdr:rowOff>0</xdr:rowOff>
        </xdr:to>
        <xdr:sp macro="" textlink="">
          <xdr:nvSpPr>
            <xdr:cNvPr id="1114165" name="Option Button 53" hidden="1">
              <a:extLst>
                <a:ext uri="{63B3BB69-23CF-44E3-9099-C40C66FF867C}">
                  <a14:compatExt spid="_x0000_s1114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148</xdr:row>
          <xdr:rowOff>19050</xdr:rowOff>
        </xdr:from>
        <xdr:to>
          <xdr:col>20</xdr:col>
          <xdr:colOff>57150</xdr:colOff>
          <xdr:row>149</xdr:row>
          <xdr:rowOff>0</xdr:rowOff>
        </xdr:to>
        <xdr:sp macro="" textlink="">
          <xdr:nvSpPr>
            <xdr:cNvPr id="1114166" name="Option Button 54" hidden="1">
              <a:extLst>
                <a:ext uri="{63B3BB69-23CF-44E3-9099-C40C66FF867C}">
                  <a14:compatExt spid="_x0000_s1114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149</xdr:row>
          <xdr:rowOff>19050</xdr:rowOff>
        </xdr:from>
        <xdr:to>
          <xdr:col>20</xdr:col>
          <xdr:colOff>57150</xdr:colOff>
          <xdr:row>150</xdr:row>
          <xdr:rowOff>0</xdr:rowOff>
        </xdr:to>
        <xdr:sp macro="" textlink="">
          <xdr:nvSpPr>
            <xdr:cNvPr id="1114167" name="Option Button 55" hidden="1">
              <a:extLst>
                <a:ext uri="{63B3BB69-23CF-44E3-9099-C40C66FF867C}">
                  <a14:compatExt spid="_x0000_s1114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150</xdr:row>
          <xdr:rowOff>19050</xdr:rowOff>
        </xdr:from>
        <xdr:to>
          <xdr:col>14</xdr:col>
          <xdr:colOff>295275</xdr:colOff>
          <xdr:row>151</xdr:row>
          <xdr:rowOff>0</xdr:rowOff>
        </xdr:to>
        <xdr:sp macro="" textlink="">
          <xdr:nvSpPr>
            <xdr:cNvPr id="1114168" name="Option Button 56" hidden="1">
              <a:extLst>
                <a:ext uri="{63B3BB69-23CF-44E3-9099-C40C66FF867C}">
                  <a14:compatExt spid="_x0000_s1114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200025</xdr:colOff>
          <xdr:row>146</xdr:row>
          <xdr:rowOff>19050</xdr:rowOff>
        </xdr:from>
        <xdr:to>
          <xdr:col>22</xdr:col>
          <xdr:colOff>419100</xdr:colOff>
          <xdr:row>147</xdr:row>
          <xdr:rowOff>0</xdr:rowOff>
        </xdr:to>
        <xdr:sp macro="" textlink="">
          <xdr:nvSpPr>
            <xdr:cNvPr id="1114169" name="Option Button 57" hidden="1">
              <a:extLst>
                <a:ext uri="{63B3BB69-23CF-44E3-9099-C40C66FF867C}">
                  <a14:compatExt spid="_x0000_s1114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180975</xdr:colOff>
          <xdr:row>147</xdr:row>
          <xdr:rowOff>19050</xdr:rowOff>
        </xdr:from>
        <xdr:to>
          <xdr:col>22</xdr:col>
          <xdr:colOff>390525</xdr:colOff>
          <xdr:row>148</xdr:row>
          <xdr:rowOff>0</xdr:rowOff>
        </xdr:to>
        <xdr:sp macro="" textlink="">
          <xdr:nvSpPr>
            <xdr:cNvPr id="1114170" name="Option Button 58" hidden="1">
              <a:extLst>
                <a:ext uri="{63B3BB69-23CF-44E3-9099-C40C66FF867C}">
                  <a14:compatExt spid="_x0000_s1114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180975</xdr:colOff>
          <xdr:row>148</xdr:row>
          <xdr:rowOff>19050</xdr:rowOff>
        </xdr:from>
        <xdr:to>
          <xdr:col>22</xdr:col>
          <xdr:colOff>390525</xdr:colOff>
          <xdr:row>149</xdr:row>
          <xdr:rowOff>0</xdr:rowOff>
        </xdr:to>
        <xdr:sp macro="" textlink="">
          <xdr:nvSpPr>
            <xdr:cNvPr id="1114171" name="Option Button 59" hidden="1">
              <a:extLst>
                <a:ext uri="{63B3BB69-23CF-44E3-9099-C40C66FF867C}">
                  <a14:compatExt spid="_x0000_s1114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180975</xdr:colOff>
          <xdr:row>149</xdr:row>
          <xdr:rowOff>19050</xdr:rowOff>
        </xdr:from>
        <xdr:to>
          <xdr:col>22</xdr:col>
          <xdr:colOff>390525</xdr:colOff>
          <xdr:row>150</xdr:row>
          <xdr:rowOff>0</xdr:rowOff>
        </xdr:to>
        <xdr:sp macro="" textlink="">
          <xdr:nvSpPr>
            <xdr:cNvPr id="1114172" name="Option Button 60" hidden="1">
              <a:extLst>
                <a:ext uri="{63B3BB69-23CF-44E3-9099-C40C66FF867C}">
                  <a14:compatExt spid="_x0000_s1114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150</xdr:row>
          <xdr:rowOff>19050</xdr:rowOff>
        </xdr:from>
        <xdr:to>
          <xdr:col>20</xdr:col>
          <xdr:colOff>57150</xdr:colOff>
          <xdr:row>151</xdr:row>
          <xdr:rowOff>0</xdr:rowOff>
        </xdr:to>
        <xdr:sp macro="" textlink="">
          <xdr:nvSpPr>
            <xdr:cNvPr id="1114173" name="Option Button 61" hidden="1">
              <a:extLst>
                <a:ext uri="{63B3BB69-23CF-44E3-9099-C40C66FF867C}">
                  <a14:compatExt spid="_x0000_s1114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146</xdr:row>
          <xdr:rowOff>19050</xdr:rowOff>
        </xdr:from>
        <xdr:to>
          <xdr:col>24</xdr:col>
          <xdr:colOff>247650</xdr:colOff>
          <xdr:row>147</xdr:row>
          <xdr:rowOff>0</xdr:rowOff>
        </xdr:to>
        <xdr:sp macro="" textlink="">
          <xdr:nvSpPr>
            <xdr:cNvPr id="1114174" name="Option Button 62" hidden="1">
              <a:extLst>
                <a:ext uri="{63B3BB69-23CF-44E3-9099-C40C66FF867C}">
                  <a14:compatExt spid="_x0000_s1114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0</xdr:colOff>
          <xdr:row>147</xdr:row>
          <xdr:rowOff>19050</xdr:rowOff>
        </xdr:from>
        <xdr:to>
          <xdr:col>24</xdr:col>
          <xdr:colOff>228600</xdr:colOff>
          <xdr:row>148</xdr:row>
          <xdr:rowOff>0</xdr:rowOff>
        </xdr:to>
        <xdr:sp macro="" textlink="">
          <xdr:nvSpPr>
            <xdr:cNvPr id="1114175" name="Option Button 63" hidden="1">
              <a:extLst>
                <a:ext uri="{63B3BB69-23CF-44E3-9099-C40C66FF867C}">
                  <a14:compatExt spid="_x0000_s1114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0</xdr:colOff>
          <xdr:row>148</xdr:row>
          <xdr:rowOff>19050</xdr:rowOff>
        </xdr:from>
        <xdr:to>
          <xdr:col>24</xdr:col>
          <xdr:colOff>228600</xdr:colOff>
          <xdr:row>149</xdr:row>
          <xdr:rowOff>0</xdr:rowOff>
        </xdr:to>
        <xdr:sp macro="" textlink="">
          <xdr:nvSpPr>
            <xdr:cNvPr id="1114176" name="Option Button 64" hidden="1">
              <a:extLst>
                <a:ext uri="{63B3BB69-23CF-44E3-9099-C40C66FF867C}">
                  <a14:compatExt spid="_x0000_s1114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0</xdr:colOff>
          <xdr:row>149</xdr:row>
          <xdr:rowOff>19050</xdr:rowOff>
        </xdr:from>
        <xdr:to>
          <xdr:col>24</xdr:col>
          <xdr:colOff>228600</xdr:colOff>
          <xdr:row>150</xdr:row>
          <xdr:rowOff>0</xdr:rowOff>
        </xdr:to>
        <xdr:sp macro="" textlink="">
          <xdr:nvSpPr>
            <xdr:cNvPr id="1114177" name="Option Button 65" hidden="1">
              <a:extLst>
                <a:ext uri="{63B3BB69-23CF-44E3-9099-C40C66FF867C}">
                  <a14:compatExt spid="_x0000_s1114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150</xdr:row>
          <xdr:rowOff>9525</xdr:rowOff>
        </xdr:from>
        <xdr:to>
          <xdr:col>22</xdr:col>
          <xdr:colOff>381000</xdr:colOff>
          <xdr:row>150</xdr:row>
          <xdr:rowOff>228600</xdr:rowOff>
        </xdr:to>
        <xdr:sp macro="" textlink="">
          <xdr:nvSpPr>
            <xdr:cNvPr id="1114178" name="Option Button 66" hidden="1">
              <a:extLst>
                <a:ext uri="{63B3BB69-23CF-44E3-9099-C40C66FF867C}">
                  <a14:compatExt spid="_x0000_s1114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38100</xdr:colOff>
          <xdr:row>146</xdr:row>
          <xdr:rowOff>19050</xdr:rowOff>
        </xdr:from>
        <xdr:to>
          <xdr:col>26</xdr:col>
          <xdr:colOff>257175</xdr:colOff>
          <xdr:row>147</xdr:row>
          <xdr:rowOff>0</xdr:rowOff>
        </xdr:to>
        <xdr:sp macro="" textlink="">
          <xdr:nvSpPr>
            <xdr:cNvPr id="1114179" name="Option Button 67" hidden="1">
              <a:extLst>
                <a:ext uri="{63B3BB69-23CF-44E3-9099-C40C66FF867C}">
                  <a14:compatExt spid="_x0000_s1114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147</xdr:row>
          <xdr:rowOff>19050</xdr:rowOff>
        </xdr:from>
        <xdr:to>
          <xdr:col>26</xdr:col>
          <xdr:colOff>247650</xdr:colOff>
          <xdr:row>148</xdr:row>
          <xdr:rowOff>0</xdr:rowOff>
        </xdr:to>
        <xdr:sp macro="" textlink="">
          <xdr:nvSpPr>
            <xdr:cNvPr id="1114180" name="Option Button 68" hidden="1">
              <a:extLst>
                <a:ext uri="{63B3BB69-23CF-44E3-9099-C40C66FF867C}">
                  <a14:compatExt spid="_x0000_s1114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148</xdr:row>
          <xdr:rowOff>19050</xdr:rowOff>
        </xdr:from>
        <xdr:to>
          <xdr:col>26</xdr:col>
          <xdr:colOff>247650</xdr:colOff>
          <xdr:row>149</xdr:row>
          <xdr:rowOff>0</xdr:rowOff>
        </xdr:to>
        <xdr:sp macro="" textlink="">
          <xdr:nvSpPr>
            <xdr:cNvPr id="1114181" name="Option Button 69" hidden="1">
              <a:extLst>
                <a:ext uri="{63B3BB69-23CF-44E3-9099-C40C66FF867C}">
                  <a14:compatExt spid="_x0000_s1114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149</xdr:row>
          <xdr:rowOff>19050</xdr:rowOff>
        </xdr:from>
        <xdr:to>
          <xdr:col>26</xdr:col>
          <xdr:colOff>247650</xdr:colOff>
          <xdr:row>150</xdr:row>
          <xdr:rowOff>0</xdr:rowOff>
        </xdr:to>
        <xdr:sp macro="" textlink="">
          <xdr:nvSpPr>
            <xdr:cNvPr id="1114182" name="Option Button 70" hidden="1">
              <a:extLst>
                <a:ext uri="{63B3BB69-23CF-44E3-9099-C40C66FF867C}">
                  <a14:compatExt spid="_x0000_s1114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xdr:colOff>
          <xdr:row>150</xdr:row>
          <xdr:rowOff>19050</xdr:rowOff>
        </xdr:from>
        <xdr:to>
          <xdr:col>24</xdr:col>
          <xdr:colOff>247650</xdr:colOff>
          <xdr:row>151</xdr:row>
          <xdr:rowOff>0</xdr:rowOff>
        </xdr:to>
        <xdr:sp macro="" textlink="">
          <xdr:nvSpPr>
            <xdr:cNvPr id="1114183" name="Option Button 71" hidden="1">
              <a:extLst>
                <a:ext uri="{63B3BB69-23CF-44E3-9099-C40C66FF867C}">
                  <a14:compatExt spid="_x0000_s1114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12</xdr:row>
          <xdr:rowOff>0</xdr:rowOff>
        </xdr:from>
        <xdr:to>
          <xdr:col>14</xdr:col>
          <xdr:colOff>381000</xdr:colOff>
          <xdr:row>13</xdr:row>
          <xdr:rowOff>9525</xdr:rowOff>
        </xdr:to>
        <xdr:sp macro="" textlink="">
          <xdr:nvSpPr>
            <xdr:cNvPr id="1114184" name="Group Box 72" hidden="1">
              <a:extLst>
                <a:ext uri="{63B3BB69-23CF-44E3-9099-C40C66FF867C}">
                  <a14:compatExt spid="_x0000_s1114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12</xdr:row>
          <xdr:rowOff>57150</xdr:rowOff>
        </xdr:from>
        <xdr:to>
          <xdr:col>9</xdr:col>
          <xdr:colOff>66675</xdr:colOff>
          <xdr:row>12</xdr:row>
          <xdr:rowOff>295275</xdr:rowOff>
        </xdr:to>
        <xdr:sp macro="" textlink="">
          <xdr:nvSpPr>
            <xdr:cNvPr id="1114185" name="Option Button 73" hidden="1">
              <a:extLst>
                <a:ext uri="{63B3BB69-23CF-44E3-9099-C40C66FF867C}">
                  <a14:compatExt spid="_x0000_s1114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12</xdr:row>
          <xdr:rowOff>57150</xdr:rowOff>
        </xdr:from>
        <xdr:to>
          <xdr:col>12</xdr:col>
          <xdr:colOff>123825</xdr:colOff>
          <xdr:row>12</xdr:row>
          <xdr:rowOff>295275</xdr:rowOff>
        </xdr:to>
        <xdr:sp macro="" textlink="">
          <xdr:nvSpPr>
            <xdr:cNvPr id="1114186" name="Option Button 74" hidden="1">
              <a:extLst>
                <a:ext uri="{63B3BB69-23CF-44E3-9099-C40C66FF867C}">
                  <a14:compatExt spid="_x0000_s1114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90</xdr:row>
          <xdr:rowOff>200025</xdr:rowOff>
        </xdr:from>
        <xdr:to>
          <xdr:col>27</xdr:col>
          <xdr:colOff>9525</xdr:colOff>
          <xdr:row>92</xdr:row>
          <xdr:rowOff>9525</xdr:rowOff>
        </xdr:to>
        <xdr:sp macro="" textlink="">
          <xdr:nvSpPr>
            <xdr:cNvPr id="1114187" name="Group Box 75" hidden="1">
              <a:extLst>
                <a:ext uri="{63B3BB69-23CF-44E3-9099-C40C66FF867C}">
                  <a14:compatExt spid="_x0000_s1114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266700</xdr:colOff>
          <xdr:row>93</xdr:row>
          <xdr:rowOff>400050</xdr:rowOff>
        </xdr:from>
        <xdr:to>
          <xdr:col>27</xdr:col>
          <xdr:colOff>9525</xdr:colOff>
          <xdr:row>95</xdr:row>
          <xdr:rowOff>9525</xdr:rowOff>
        </xdr:to>
        <xdr:sp macro="" textlink="">
          <xdr:nvSpPr>
            <xdr:cNvPr id="1114188" name="Group Box 76" hidden="1">
              <a:extLst>
                <a:ext uri="{63B3BB69-23CF-44E3-9099-C40C66FF867C}">
                  <a14:compatExt spid="_x0000_s1114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266700</xdr:colOff>
          <xdr:row>124</xdr:row>
          <xdr:rowOff>9525</xdr:rowOff>
        </xdr:from>
        <xdr:to>
          <xdr:col>26</xdr:col>
          <xdr:colOff>438150</xdr:colOff>
          <xdr:row>125</xdr:row>
          <xdr:rowOff>0</xdr:rowOff>
        </xdr:to>
        <xdr:sp macro="" textlink="">
          <xdr:nvSpPr>
            <xdr:cNvPr id="1114189" name="Group Box 77" hidden="1">
              <a:extLst>
                <a:ext uri="{63B3BB69-23CF-44E3-9099-C40C66FF867C}">
                  <a14:compatExt spid="_x0000_s1114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125</xdr:row>
          <xdr:rowOff>0</xdr:rowOff>
        </xdr:from>
        <xdr:to>
          <xdr:col>26</xdr:col>
          <xdr:colOff>438150</xdr:colOff>
          <xdr:row>125</xdr:row>
          <xdr:rowOff>228600</xdr:rowOff>
        </xdr:to>
        <xdr:sp macro="" textlink="">
          <xdr:nvSpPr>
            <xdr:cNvPr id="1114190" name="Group Box 78" hidden="1">
              <a:extLst>
                <a:ext uri="{63B3BB69-23CF-44E3-9099-C40C66FF867C}">
                  <a14:compatExt spid="_x0000_s1114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146</xdr:row>
          <xdr:rowOff>238125</xdr:rowOff>
        </xdr:from>
        <xdr:to>
          <xdr:col>27</xdr:col>
          <xdr:colOff>200025</xdr:colOff>
          <xdr:row>148</xdr:row>
          <xdr:rowOff>0</xdr:rowOff>
        </xdr:to>
        <xdr:sp macro="" textlink="">
          <xdr:nvSpPr>
            <xdr:cNvPr id="1114191" name="Group Box 79" hidden="1">
              <a:extLst>
                <a:ext uri="{63B3BB69-23CF-44E3-9099-C40C66FF867C}">
                  <a14:compatExt spid="_x0000_s1114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147</xdr:row>
          <xdr:rowOff>238125</xdr:rowOff>
        </xdr:from>
        <xdr:to>
          <xdr:col>27</xdr:col>
          <xdr:colOff>200025</xdr:colOff>
          <xdr:row>149</xdr:row>
          <xdr:rowOff>0</xdr:rowOff>
        </xdr:to>
        <xdr:sp macro="" textlink="">
          <xdr:nvSpPr>
            <xdr:cNvPr id="1114192" name="Group Box 80" hidden="1">
              <a:extLst>
                <a:ext uri="{63B3BB69-23CF-44E3-9099-C40C66FF867C}">
                  <a14:compatExt spid="_x0000_s1114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438150</xdr:colOff>
          <xdr:row>150</xdr:row>
          <xdr:rowOff>9525</xdr:rowOff>
        </xdr:from>
        <xdr:to>
          <xdr:col>26</xdr:col>
          <xdr:colOff>228600</xdr:colOff>
          <xdr:row>150</xdr:row>
          <xdr:rowOff>228600</xdr:rowOff>
        </xdr:to>
        <xdr:sp macro="" textlink="">
          <xdr:nvSpPr>
            <xdr:cNvPr id="1114193" name="Option Button 81" hidden="1">
              <a:extLst>
                <a:ext uri="{63B3BB69-23CF-44E3-9099-C40C66FF867C}">
                  <a14:compatExt spid="_x0000_s1114193"/>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20</xdr:col>
      <xdr:colOff>0</xdr:colOff>
      <xdr:row>35</xdr:row>
      <xdr:rowOff>0</xdr:rowOff>
    </xdr:from>
    <xdr:to>
      <xdr:col>23</xdr:col>
      <xdr:colOff>28575</xdr:colOff>
      <xdr:row>36</xdr:row>
      <xdr:rowOff>981075</xdr:rowOff>
    </xdr:to>
    <xdr:sp macro="" textlink="">
      <xdr:nvSpPr>
        <xdr:cNvPr id="2" name="Group Box 15" hidden="1"/>
        <xdr:cNvSpPr>
          <a:spLocks noChangeAspect="1" noChangeArrowheads="1"/>
        </xdr:cNvSpPr>
      </xdr:nvSpPr>
      <xdr:spPr bwMode="auto">
        <a:xfrm>
          <a:off x="6267450" y="9429750"/>
          <a:ext cx="1457325" cy="155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28575</xdr:colOff>
      <xdr:row>35</xdr:row>
      <xdr:rowOff>0</xdr:rowOff>
    </xdr:from>
    <xdr:to>
      <xdr:col>20</xdr:col>
      <xdr:colOff>257175</xdr:colOff>
      <xdr:row>35</xdr:row>
      <xdr:rowOff>180975</xdr:rowOff>
    </xdr:to>
    <xdr:sp macro="" textlink="">
      <xdr:nvSpPr>
        <xdr:cNvPr id="3" name="Option Button 16" hidden="1"/>
        <xdr:cNvSpPr>
          <a:spLocks noChangeAspect="1" noChangeArrowheads="1"/>
        </xdr:cNvSpPr>
      </xdr:nvSpPr>
      <xdr:spPr bwMode="auto">
        <a:xfrm>
          <a:off x="6296025" y="9429750"/>
          <a:ext cx="2286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28575</xdr:colOff>
      <xdr:row>35</xdr:row>
      <xdr:rowOff>0</xdr:rowOff>
    </xdr:from>
    <xdr:to>
      <xdr:col>20</xdr:col>
      <xdr:colOff>257175</xdr:colOff>
      <xdr:row>35</xdr:row>
      <xdr:rowOff>180975</xdr:rowOff>
    </xdr:to>
    <xdr:sp macro="" textlink="">
      <xdr:nvSpPr>
        <xdr:cNvPr id="4" name="Option Button 22" hidden="1"/>
        <xdr:cNvSpPr>
          <a:spLocks noChangeAspect="1" noChangeArrowheads="1"/>
        </xdr:cNvSpPr>
      </xdr:nvSpPr>
      <xdr:spPr bwMode="auto">
        <a:xfrm>
          <a:off x="6296025" y="9429750"/>
          <a:ext cx="2286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57150</xdr:colOff>
      <xdr:row>181</xdr:row>
      <xdr:rowOff>0</xdr:rowOff>
    </xdr:from>
    <xdr:to>
      <xdr:col>20</xdr:col>
      <xdr:colOff>285750</xdr:colOff>
      <xdr:row>181</xdr:row>
      <xdr:rowOff>171450</xdr:rowOff>
    </xdr:to>
    <xdr:sp macro="" textlink="">
      <xdr:nvSpPr>
        <xdr:cNvPr id="5" name="Option Button 162" hidden="1"/>
        <xdr:cNvSpPr>
          <a:spLocks noChangeAspect="1" noChangeArrowheads="1"/>
        </xdr:cNvSpPr>
      </xdr:nvSpPr>
      <xdr:spPr bwMode="auto">
        <a:xfrm>
          <a:off x="6324600"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66675</xdr:colOff>
      <xdr:row>181</xdr:row>
      <xdr:rowOff>0</xdr:rowOff>
    </xdr:from>
    <xdr:to>
      <xdr:col>20</xdr:col>
      <xdr:colOff>295275</xdr:colOff>
      <xdr:row>181</xdr:row>
      <xdr:rowOff>171450</xdr:rowOff>
    </xdr:to>
    <xdr:sp macro="" textlink="">
      <xdr:nvSpPr>
        <xdr:cNvPr id="6" name="Option Button 168" hidden="1"/>
        <xdr:cNvSpPr>
          <a:spLocks noChangeAspect="1" noChangeArrowheads="1"/>
        </xdr:cNvSpPr>
      </xdr:nvSpPr>
      <xdr:spPr bwMode="auto">
        <a:xfrm>
          <a:off x="6334125"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76200</xdr:colOff>
      <xdr:row>181</xdr:row>
      <xdr:rowOff>0</xdr:rowOff>
    </xdr:from>
    <xdr:to>
      <xdr:col>20</xdr:col>
      <xdr:colOff>304800</xdr:colOff>
      <xdr:row>181</xdr:row>
      <xdr:rowOff>171450</xdr:rowOff>
    </xdr:to>
    <xdr:sp macro="" textlink="">
      <xdr:nvSpPr>
        <xdr:cNvPr id="7" name="Option Button 174" hidden="1"/>
        <xdr:cNvSpPr>
          <a:spLocks noChangeAspect="1" noChangeArrowheads="1"/>
        </xdr:cNvSpPr>
      </xdr:nvSpPr>
      <xdr:spPr bwMode="auto">
        <a:xfrm>
          <a:off x="6343650"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57150</xdr:colOff>
      <xdr:row>181</xdr:row>
      <xdr:rowOff>0</xdr:rowOff>
    </xdr:from>
    <xdr:to>
      <xdr:col>20</xdr:col>
      <xdr:colOff>285750</xdr:colOff>
      <xdr:row>181</xdr:row>
      <xdr:rowOff>171450</xdr:rowOff>
    </xdr:to>
    <xdr:sp macro="" textlink="">
      <xdr:nvSpPr>
        <xdr:cNvPr id="8" name="Option Button 180" hidden="1"/>
        <xdr:cNvSpPr>
          <a:spLocks noChangeAspect="1" noChangeArrowheads="1"/>
        </xdr:cNvSpPr>
      </xdr:nvSpPr>
      <xdr:spPr bwMode="auto">
        <a:xfrm>
          <a:off x="6324600"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57150</xdr:colOff>
      <xdr:row>181</xdr:row>
      <xdr:rowOff>0</xdr:rowOff>
    </xdr:from>
    <xdr:to>
      <xdr:col>20</xdr:col>
      <xdr:colOff>285750</xdr:colOff>
      <xdr:row>181</xdr:row>
      <xdr:rowOff>171450</xdr:rowOff>
    </xdr:to>
    <xdr:sp macro="" textlink="">
      <xdr:nvSpPr>
        <xdr:cNvPr id="9" name="Option Button 186" hidden="1"/>
        <xdr:cNvSpPr>
          <a:spLocks noChangeAspect="1" noChangeArrowheads="1"/>
        </xdr:cNvSpPr>
      </xdr:nvSpPr>
      <xdr:spPr bwMode="auto">
        <a:xfrm>
          <a:off x="6324600"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66675</xdr:colOff>
      <xdr:row>181</xdr:row>
      <xdr:rowOff>0</xdr:rowOff>
    </xdr:from>
    <xdr:to>
      <xdr:col>20</xdr:col>
      <xdr:colOff>295275</xdr:colOff>
      <xdr:row>181</xdr:row>
      <xdr:rowOff>171450</xdr:rowOff>
    </xdr:to>
    <xdr:sp macro="" textlink="">
      <xdr:nvSpPr>
        <xdr:cNvPr id="10" name="Option Button 236" hidden="1"/>
        <xdr:cNvSpPr>
          <a:spLocks noChangeAspect="1" noChangeArrowheads="1"/>
        </xdr:cNvSpPr>
      </xdr:nvSpPr>
      <xdr:spPr bwMode="auto">
        <a:xfrm>
          <a:off x="6334125"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47625</xdr:colOff>
      <xdr:row>181</xdr:row>
      <xdr:rowOff>0</xdr:rowOff>
    </xdr:from>
    <xdr:to>
      <xdr:col>20</xdr:col>
      <xdr:colOff>276225</xdr:colOff>
      <xdr:row>181</xdr:row>
      <xdr:rowOff>171450</xdr:rowOff>
    </xdr:to>
    <xdr:sp macro="" textlink="">
      <xdr:nvSpPr>
        <xdr:cNvPr id="11" name="Option Button 242" hidden="1"/>
        <xdr:cNvSpPr>
          <a:spLocks noChangeAspect="1" noChangeArrowheads="1"/>
        </xdr:cNvSpPr>
      </xdr:nvSpPr>
      <xdr:spPr bwMode="auto">
        <a:xfrm>
          <a:off x="6315075"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66675</xdr:colOff>
      <xdr:row>181</xdr:row>
      <xdr:rowOff>0</xdr:rowOff>
    </xdr:from>
    <xdr:to>
      <xdr:col>20</xdr:col>
      <xdr:colOff>295275</xdr:colOff>
      <xdr:row>181</xdr:row>
      <xdr:rowOff>171450</xdr:rowOff>
    </xdr:to>
    <xdr:sp macro="" textlink="">
      <xdr:nvSpPr>
        <xdr:cNvPr id="12" name="Option Button 248" hidden="1"/>
        <xdr:cNvSpPr>
          <a:spLocks noChangeAspect="1" noChangeArrowheads="1"/>
        </xdr:cNvSpPr>
      </xdr:nvSpPr>
      <xdr:spPr bwMode="auto">
        <a:xfrm>
          <a:off x="6334125"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66675</xdr:colOff>
      <xdr:row>181</xdr:row>
      <xdr:rowOff>0</xdr:rowOff>
    </xdr:from>
    <xdr:to>
      <xdr:col>20</xdr:col>
      <xdr:colOff>295275</xdr:colOff>
      <xdr:row>181</xdr:row>
      <xdr:rowOff>171450</xdr:rowOff>
    </xdr:to>
    <xdr:sp macro="" textlink="">
      <xdr:nvSpPr>
        <xdr:cNvPr id="13" name="Option Button 254" hidden="1"/>
        <xdr:cNvSpPr>
          <a:spLocks noChangeAspect="1" noChangeArrowheads="1"/>
        </xdr:cNvSpPr>
      </xdr:nvSpPr>
      <xdr:spPr bwMode="auto">
        <a:xfrm>
          <a:off x="6334125" y="53701950"/>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20</xdr:col>
          <xdr:colOff>0</xdr:colOff>
          <xdr:row>35</xdr:row>
          <xdr:rowOff>0</xdr:rowOff>
        </xdr:from>
        <xdr:to>
          <xdr:col>23</xdr:col>
          <xdr:colOff>38100</xdr:colOff>
          <xdr:row>36</xdr:row>
          <xdr:rowOff>990600</xdr:rowOff>
        </xdr:to>
        <xdr:sp macro="" textlink="">
          <xdr:nvSpPr>
            <xdr:cNvPr id="1115137" name="Group Box 8" hidden="1">
              <a:extLst>
                <a:ext uri="{63B3BB69-23CF-44E3-9099-C40C66FF867C}">
                  <a14:compatExt spid="_x0000_s111513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35</xdr:row>
          <xdr:rowOff>0</xdr:rowOff>
        </xdr:from>
        <xdr:to>
          <xdr:col>20</xdr:col>
          <xdr:colOff>257175</xdr:colOff>
          <xdr:row>35</xdr:row>
          <xdr:rowOff>180975</xdr:rowOff>
        </xdr:to>
        <xdr:sp macro="" textlink="">
          <xdr:nvSpPr>
            <xdr:cNvPr id="1115138" name="Option Button 10" hidden="1">
              <a:extLst>
                <a:ext uri="{63B3BB69-23CF-44E3-9099-C40C66FF867C}">
                  <a14:compatExt spid="_x0000_s1115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35</xdr:row>
          <xdr:rowOff>0</xdr:rowOff>
        </xdr:from>
        <xdr:to>
          <xdr:col>21</xdr:col>
          <xdr:colOff>257175</xdr:colOff>
          <xdr:row>35</xdr:row>
          <xdr:rowOff>180975</xdr:rowOff>
        </xdr:to>
        <xdr:sp macro="" textlink="">
          <xdr:nvSpPr>
            <xdr:cNvPr id="1115139" name="Option Button 11" hidden="1">
              <a:extLst>
                <a:ext uri="{63B3BB69-23CF-44E3-9099-C40C66FF867C}">
                  <a14:compatExt spid="_x0000_s1115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35</xdr:row>
          <xdr:rowOff>0</xdr:rowOff>
        </xdr:from>
        <xdr:to>
          <xdr:col>22</xdr:col>
          <xdr:colOff>257175</xdr:colOff>
          <xdr:row>35</xdr:row>
          <xdr:rowOff>180975</xdr:rowOff>
        </xdr:to>
        <xdr:sp macro="" textlink="">
          <xdr:nvSpPr>
            <xdr:cNvPr id="1115140" name="Option Button 12" hidden="1">
              <a:extLst>
                <a:ext uri="{63B3BB69-23CF-44E3-9099-C40C66FF867C}">
                  <a14:compatExt spid="_x0000_s1115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35</xdr:row>
          <xdr:rowOff>0</xdr:rowOff>
        </xdr:from>
        <xdr:to>
          <xdr:col>23</xdr:col>
          <xdr:colOff>257175</xdr:colOff>
          <xdr:row>35</xdr:row>
          <xdr:rowOff>180975</xdr:rowOff>
        </xdr:to>
        <xdr:sp macro="" textlink="">
          <xdr:nvSpPr>
            <xdr:cNvPr id="1115141" name="Option Button 13" hidden="1">
              <a:extLst>
                <a:ext uri="{63B3BB69-23CF-44E3-9099-C40C66FF867C}">
                  <a14:compatExt spid="_x0000_s1115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35</xdr:row>
          <xdr:rowOff>0</xdr:rowOff>
        </xdr:from>
        <xdr:to>
          <xdr:col>24</xdr:col>
          <xdr:colOff>257175</xdr:colOff>
          <xdr:row>35</xdr:row>
          <xdr:rowOff>180975</xdr:rowOff>
        </xdr:to>
        <xdr:sp macro="" textlink="">
          <xdr:nvSpPr>
            <xdr:cNvPr id="1115142" name="Option Button 14" hidden="1">
              <a:extLst>
                <a:ext uri="{63B3BB69-23CF-44E3-9099-C40C66FF867C}">
                  <a14:compatExt spid="_x0000_s1115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35</xdr:row>
          <xdr:rowOff>0</xdr:rowOff>
        </xdr:from>
        <xdr:to>
          <xdr:col>23</xdr:col>
          <xdr:colOff>38100</xdr:colOff>
          <xdr:row>36</xdr:row>
          <xdr:rowOff>990600</xdr:rowOff>
        </xdr:to>
        <xdr:sp macro="" textlink="">
          <xdr:nvSpPr>
            <xdr:cNvPr id="1115143" name="Group Box 7" hidden="1">
              <a:extLst>
                <a:ext uri="{63B3BB69-23CF-44E3-9099-C40C66FF867C}">
                  <a14:compatExt spid="_x0000_s1115143"/>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35</xdr:row>
          <xdr:rowOff>0</xdr:rowOff>
        </xdr:from>
        <xdr:to>
          <xdr:col>20</xdr:col>
          <xdr:colOff>257175</xdr:colOff>
          <xdr:row>35</xdr:row>
          <xdr:rowOff>180975</xdr:rowOff>
        </xdr:to>
        <xdr:sp macro="" textlink="">
          <xdr:nvSpPr>
            <xdr:cNvPr id="1115144" name="Option Button 8" hidden="1">
              <a:extLst>
                <a:ext uri="{63B3BB69-23CF-44E3-9099-C40C66FF867C}">
                  <a14:compatExt spid="_x0000_s11151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35</xdr:row>
          <xdr:rowOff>0</xdr:rowOff>
        </xdr:from>
        <xdr:to>
          <xdr:col>21</xdr:col>
          <xdr:colOff>257175</xdr:colOff>
          <xdr:row>35</xdr:row>
          <xdr:rowOff>180975</xdr:rowOff>
        </xdr:to>
        <xdr:sp macro="" textlink="">
          <xdr:nvSpPr>
            <xdr:cNvPr id="1115145" name="Option Button 17" hidden="1">
              <a:extLst>
                <a:ext uri="{63B3BB69-23CF-44E3-9099-C40C66FF867C}">
                  <a14:compatExt spid="_x0000_s1115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35</xdr:row>
          <xdr:rowOff>0</xdr:rowOff>
        </xdr:from>
        <xdr:to>
          <xdr:col>22</xdr:col>
          <xdr:colOff>257175</xdr:colOff>
          <xdr:row>35</xdr:row>
          <xdr:rowOff>180975</xdr:rowOff>
        </xdr:to>
        <xdr:sp macro="" textlink="">
          <xdr:nvSpPr>
            <xdr:cNvPr id="1115146" name="Option Button 18" hidden="1">
              <a:extLst>
                <a:ext uri="{63B3BB69-23CF-44E3-9099-C40C66FF867C}">
                  <a14:compatExt spid="_x0000_s11151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35</xdr:row>
          <xdr:rowOff>0</xdr:rowOff>
        </xdr:from>
        <xdr:to>
          <xdr:col>23</xdr:col>
          <xdr:colOff>257175</xdr:colOff>
          <xdr:row>35</xdr:row>
          <xdr:rowOff>180975</xdr:rowOff>
        </xdr:to>
        <xdr:sp macro="" textlink="">
          <xdr:nvSpPr>
            <xdr:cNvPr id="1115147" name="Option Button 19" hidden="1">
              <a:extLst>
                <a:ext uri="{63B3BB69-23CF-44E3-9099-C40C66FF867C}">
                  <a14:compatExt spid="_x0000_s1115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35</xdr:row>
          <xdr:rowOff>0</xdr:rowOff>
        </xdr:from>
        <xdr:to>
          <xdr:col>24</xdr:col>
          <xdr:colOff>257175</xdr:colOff>
          <xdr:row>35</xdr:row>
          <xdr:rowOff>180975</xdr:rowOff>
        </xdr:to>
        <xdr:sp macro="" textlink="">
          <xdr:nvSpPr>
            <xdr:cNvPr id="1115148" name="Option Button 20" hidden="1">
              <a:extLst>
                <a:ext uri="{63B3BB69-23CF-44E3-9099-C40C66FF867C}">
                  <a14:compatExt spid="_x0000_s1115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35</xdr:row>
          <xdr:rowOff>0</xdr:rowOff>
        </xdr:from>
        <xdr:to>
          <xdr:col>23</xdr:col>
          <xdr:colOff>38100</xdr:colOff>
          <xdr:row>36</xdr:row>
          <xdr:rowOff>990600</xdr:rowOff>
        </xdr:to>
        <xdr:sp macro="" textlink="">
          <xdr:nvSpPr>
            <xdr:cNvPr id="1115149" name="Group Box 21" hidden="1">
              <a:extLst>
                <a:ext uri="{63B3BB69-23CF-44E3-9099-C40C66FF867C}">
                  <a14:compatExt spid="_x0000_s1115149"/>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28575</xdr:colOff>
          <xdr:row>35</xdr:row>
          <xdr:rowOff>0</xdr:rowOff>
        </xdr:from>
        <xdr:to>
          <xdr:col>20</xdr:col>
          <xdr:colOff>257175</xdr:colOff>
          <xdr:row>35</xdr:row>
          <xdr:rowOff>180975</xdr:rowOff>
        </xdr:to>
        <xdr:sp macro="" textlink="">
          <xdr:nvSpPr>
            <xdr:cNvPr id="1115150" name="Option Button 14" hidden="1">
              <a:extLst>
                <a:ext uri="{63B3BB69-23CF-44E3-9099-C40C66FF867C}">
                  <a14:compatExt spid="_x0000_s11151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35</xdr:row>
          <xdr:rowOff>0</xdr:rowOff>
        </xdr:from>
        <xdr:to>
          <xdr:col>21</xdr:col>
          <xdr:colOff>257175</xdr:colOff>
          <xdr:row>35</xdr:row>
          <xdr:rowOff>180975</xdr:rowOff>
        </xdr:to>
        <xdr:sp macro="" textlink="">
          <xdr:nvSpPr>
            <xdr:cNvPr id="1115151" name="Option Button 23" hidden="1">
              <a:extLst>
                <a:ext uri="{63B3BB69-23CF-44E3-9099-C40C66FF867C}">
                  <a14:compatExt spid="_x0000_s11151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35</xdr:row>
          <xdr:rowOff>0</xdr:rowOff>
        </xdr:from>
        <xdr:to>
          <xdr:col>22</xdr:col>
          <xdr:colOff>257175</xdr:colOff>
          <xdr:row>35</xdr:row>
          <xdr:rowOff>180975</xdr:rowOff>
        </xdr:to>
        <xdr:sp macro="" textlink="">
          <xdr:nvSpPr>
            <xdr:cNvPr id="1115152" name="Option Button 24" hidden="1">
              <a:extLst>
                <a:ext uri="{63B3BB69-23CF-44E3-9099-C40C66FF867C}">
                  <a14:compatExt spid="_x0000_s11151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35</xdr:row>
          <xdr:rowOff>0</xdr:rowOff>
        </xdr:from>
        <xdr:to>
          <xdr:col>23</xdr:col>
          <xdr:colOff>257175</xdr:colOff>
          <xdr:row>35</xdr:row>
          <xdr:rowOff>180975</xdr:rowOff>
        </xdr:to>
        <xdr:sp macro="" textlink="">
          <xdr:nvSpPr>
            <xdr:cNvPr id="1115153" name="Option Button 25" hidden="1">
              <a:extLst>
                <a:ext uri="{63B3BB69-23CF-44E3-9099-C40C66FF867C}">
                  <a14:compatExt spid="_x0000_s11151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35</xdr:row>
          <xdr:rowOff>0</xdr:rowOff>
        </xdr:from>
        <xdr:to>
          <xdr:col>24</xdr:col>
          <xdr:colOff>257175</xdr:colOff>
          <xdr:row>35</xdr:row>
          <xdr:rowOff>180975</xdr:rowOff>
        </xdr:to>
        <xdr:sp macro="" textlink="">
          <xdr:nvSpPr>
            <xdr:cNvPr id="1115154" name="Option Button 26" hidden="1">
              <a:extLst>
                <a:ext uri="{63B3BB69-23CF-44E3-9099-C40C66FF867C}">
                  <a14:compatExt spid="_x0000_s11151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xdr:row>
          <xdr:rowOff>0</xdr:rowOff>
        </xdr:from>
        <xdr:to>
          <xdr:col>2</xdr:col>
          <xdr:colOff>9525</xdr:colOff>
          <xdr:row>4</xdr:row>
          <xdr:rowOff>9525</xdr:rowOff>
        </xdr:to>
        <xdr:sp macro="" textlink="">
          <xdr:nvSpPr>
            <xdr:cNvPr id="1115155" name="Check Box 27" hidden="1">
              <a:extLst>
                <a:ext uri="{63B3BB69-23CF-44E3-9099-C40C66FF867C}">
                  <a14:compatExt spid="_x0000_s11151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27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xdr:row>
          <xdr:rowOff>47625</xdr:rowOff>
        </xdr:from>
        <xdr:to>
          <xdr:col>6</xdr:col>
          <xdr:colOff>295275</xdr:colOff>
          <xdr:row>3</xdr:row>
          <xdr:rowOff>152400</xdr:rowOff>
        </xdr:to>
        <xdr:sp macro="" textlink="">
          <xdr:nvSpPr>
            <xdr:cNvPr id="1115156" name="Check Box 28" hidden="1">
              <a:extLst>
                <a:ext uri="{63B3BB69-23CF-44E3-9099-C40C66FF867C}">
                  <a14:compatExt spid="_x0000_s11151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2</xdr:row>
          <xdr:rowOff>47625</xdr:rowOff>
        </xdr:from>
        <xdr:to>
          <xdr:col>11</xdr:col>
          <xdr:colOff>295275</xdr:colOff>
          <xdr:row>3</xdr:row>
          <xdr:rowOff>152400</xdr:rowOff>
        </xdr:to>
        <xdr:sp macro="" textlink="">
          <xdr:nvSpPr>
            <xdr:cNvPr id="1115157" name="Check Box 29" hidden="1">
              <a:extLst>
                <a:ext uri="{63B3BB69-23CF-44E3-9099-C40C66FF867C}">
                  <a14:compatExt spid="_x0000_s11151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29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135</xdr:row>
          <xdr:rowOff>0</xdr:rowOff>
        </xdr:from>
        <xdr:to>
          <xdr:col>23</xdr:col>
          <xdr:colOff>9525</xdr:colOff>
          <xdr:row>139</xdr:row>
          <xdr:rowOff>47625</xdr:rowOff>
        </xdr:to>
        <xdr:sp macro="" textlink="">
          <xdr:nvSpPr>
            <xdr:cNvPr id="1115158" name="Group Box 106" hidden="1">
              <a:extLst>
                <a:ext uri="{63B3BB69-23CF-44E3-9099-C40C66FF867C}">
                  <a14:compatExt spid="_x0000_s1115158"/>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106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47625</xdr:colOff>
          <xdr:row>135</xdr:row>
          <xdr:rowOff>0</xdr:rowOff>
        </xdr:from>
        <xdr:to>
          <xdr:col>20</xdr:col>
          <xdr:colOff>295275</xdr:colOff>
          <xdr:row>135</xdr:row>
          <xdr:rowOff>171450</xdr:rowOff>
        </xdr:to>
        <xdr:sp macro="" textlink="">
          <xdr:nvSpPr>
            <xdr:cNvPr id="1115159" name="Option Button 108" hidden="1">
              <a:extLst>
                <a:ext uri="{63B3BB69-23CF-44E3-9099-C40C66FF867C}">
                  <a14:compatExt spid="_x0000_s11151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108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135</xdr:row>
          <xdr:rowOff>0</xdr:rowOff>
        </xdr:from>
        <xdr:to>
          <xdr:col>21</xdr:col>
          <xdr:colOff>295275</xdr:colOff>
          <xdr:row>135</xdr:row>
          <xdr:rowOff>171450</xdr:rowOff>
        </xdr:to>
        <xdr:sp macro="" textlink="">
          <xdr:nvSpPr>
            <xdr:cNvPr id="1115160" name="Option Button 109" hidden="1">
              <a:extLst>
                <a:ext uri="{63B3BB69-23CF-44E3-9099-C40C66FF867C}">
                  <a14:compatExt spid="_x0000_s11151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109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135</xdr:row>
          <xdr:rowOff>0</xdr:rowOff>
        </xdr:from>
        <xdr:to>
          <xdr:col>22</xdr:col>
          <xdr:colOff>295275</xdr:colOff>
          <xdr:row>135</xdr:row>
          <xdr:rowOff>171450</xdr:rowOff>
        </xdr:to>
        <xdr:sp macro="" textlink="">
          <xdr:nvSpPr>
            <xdr:cNvPr id="1115161" name="Option Button 110" hidden="1">
              <a:extLst>
                <a:ext uri="{63B3BB69-23CF-44E3-9099-C40C66FF867C}">
                  <a14:compatExt spid="_x0000_s11151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135</xdr:row>
          <xdr:rowOff>0</xdr:rowOff>
        </xdr:from>
        <xdr:to>
          <xdr:col>23</xdr:col>
          <xdr:colOff>295275</xdr:colOff>
          <xdr:row>135</xdr:row>
          <xdr:rowOff>171450</xdr:rowOff>
        </xdr:to>
        <xdr:sp macro="" textlink="">
          <xdr:nvSpPr>
            <xdr:cNvPr id="1115162" name="Option Button 111" hidden="1">
              <a:extLst>
                <a:ext uri="{63B3BB69-23CF-44E3-9099-C40C66FF867C}">
                  <a14:compatExt spid="_x0000_s11151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135</xdr:row>
          <xdr:rowOff>0</xdr:rowOff>
        </xdr:from>
        <xdr:to>
          <xdr:col>24</xdr:col>
          <xdr:colOff>295275</xdr:colOff>
          <xdr:row>135</xdr:row>
          <xdr:rowOff>171450</xdr:rowOff>
        </xdr:to>
        <xdr:sp macro="" textlink="">
          <xdr:nvSpPr>
            <xdr:cNvPr id="1115163" name="Option Button 112" hidden="1">
              <a:extLst>
                <a:ext uri="{63B3BB69-23CF-44E3-9099-C40C66FF867C}">
                  <a14:compatExt spid="_x0000_s11151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135</xdr:row>
          <xdr:rowOff>0</xdr:rowOff>
        </xdr:from>
        <xdr:to>
          <xdr:col>23</xdr:col>
          <xdr:colOff>9525</xdr:colOff>
          <xdr:row>138</xdr:row>
          <xdr:rowOff>38100</xdr:rowOff>
        </xdr:to>
        <xdr:sp macro="" textlink="">
          <xdr:nvSpPr>
            <xdr:cNvPr id="1115164" name="Group Box 113" hidden="1">
              <a:extLst>
                <a:ext uri="{63B3BB69-23CF-44E3-9099-C40C66FF867C}">
                  <a14:compatExt spid="_x0000_s1115164"/>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47625</xdr:colOff>
          <xdr:row>135</xdr:row>
          <xdr:rowOff>0</xdr:rowOff>
        </xdr:from>
        <xdr:to>
          <xdr:col>20</xdr:col>
          <xdr:colOff>295275</xdr:colOff>
          <xdr:row>135</xdr:row>
          <xdr:rowOff>171450</xdr:rowOff>
        </xdr:to>
        <xdr:sp macro="" textlink="">
          <xdr:nvSpPr>
            <xdr:cNvPr id="1115165" name="Option Button 114" hidden="1">
              <a:extLst>
                <a:ext uri="{63B3BB69-23CF-44E3-9099-C40C66FF867C}">
                  <a14:compatExt spid="_x0000_s11151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135</xdr:row>
          <xdr:rowOff>0</xdr:rowOff>
        </xdr:from>
        <xdr:to>
          <xdr:col>21</xdr:col>
          <xdr:colOff>295275</xdr:colOff>
          <xdr:row>135</xdr:row>
          <xdr:rowOff>171450</xdr:rowOff>
        </xdr:to>
        <xdr:sp macro="" textlink="">
          <xdr:nvSpPr>
            <xdr:cNvPr id="1115166" name="Option Button 115" hidden="1">
              <a:extLst>
                <a:ext uri="{63B3BB69-23CF-44E3-9099-C40C66FF867C}">
                  <a14:compatExt spid="_x0000_s11151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135</xdr:row>
          <xdr:rowOff>0</xdr:rowOff>
        </xdr:from>
        <xdr:to>
          <xdr:col>22</xdr:col>
          <xdr:colOff>295275</xdr:colOff>
          <xdr:row>135</xdr:row>
          <xdr:rowOff>171450</xdr:rowOff>
        </xdr:to>
        <xdr:sp macro="" textlink="">
          <xdr:nvSpPr>
            <xdr:cNvPr id="1115167" name="Option Button 116" hidden="1">
              <a:extLst>
                <a:ext uri="{63B3BB69-23CF-44E3-9099-C40C66FF867C}">
                  <a14:compatExt spid="_x0000_s11151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135</xdr:row>
          <xdr:rowOff>0</xdr:rowOff>
        </xdr:from>
        <xdr:to>
          <xdr:col>23</xdr:col>
          <xdr:colOff>295275</xdr:colOff>
          <xdr:row>135</xdr:row>
          <xdr:rowOff>171450</xdr:rowOff>
        </xdr:to>
        <xdr:sp macro="" textlink="">
          <xdr:nvSpPr>
            <xdr:cNvPr id="1115168" name="Option Button 117" hidden="1">
              <a:extLst>
                <a:ext uri="{63B3BB69-23CF-44E3-9099-C40C66FF867C}">
                  <a14:compatExt spid="_x0000_s11151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135</xdr:row>
          <xdr:rowOff>0</xdr:rowOff>
        </xdr:from>
        <xdr:to>
          <xdr:col>24</xdr:col>
          <xdr:colOff>295275</xdr:colOff>
          <xdr:row>135</xdr:row>
          <xdr:rowOff>171450</xdr:rowOff>
        </xdr:to>
        <xdr:sp macro="" textlink="">
          <xdr:nvSpPr>
            <xdr:cNvPr id="1115169" name="Option Button 118" hidden="1">
              <a:extLst>
                <a:ext uri="{63B3BB69-23CF-44E3-9099-C40C66FF867C}">
                  <a14:compatExt spid="_x0000_s11151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135</xdr:row>
          <xdr:rowOff>0</xdr:rowOff>
        </xdr:from>
        <xdr:to>
          <xdr:col>23</xdr:col>
          <xdr:colOff>9525</xdr:colOff>
          <xdr:row>139</xdr:row>
          <xdr:rowOff>38100</xdr:rowOff>
        </xdr:to>
        <xdr:sp macro="" textlink="">
          <xdr:nvSpPr>
            <xdr:cNvPr id="1115170" name="Group Box 119" hidden="1">
              <a:extLst>
                <a:ext uri="{63B3BB69-23CF-44E3-9099-C40C66FF867C}">
                  <a14:compatExt spid="_x0000_s1115170"/>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38100</xdr:colOff>
          <xdr:row>135</xdr:row>
          <xdr:rowOff>0</xdr:rowOff>
        </xdr:from>
        <xdr:to>
          <xdr:col>20</xdr:col>
          <xdr:colOff>295275</xdr:colOff>
          <xdr:row>135</xdr:row>
          <xdr:rowOff>171450</xdr:rowOff>
        </xdr:to>
        <xdr:sp macro="" textlink="">
          <xdr:nvSpPr>
            <xdr:cNvPr id="1115171" name="Option Button 120" hidden="1">
              <a:extLst>
                <a:ext uri="{63B3BB69-23CF-44E3-9099-C40C66FF867C}">
                  <a14:compatExt spid="_x0000_s11151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135</xdr:row>
          <xdr:rowOff>0</xdr:rowOff>
        </xdr:from>
        <xdr:to>
          <xdr:col>21</xdr:col>
          <xdr:colOff>295275</xdr:colOff>
          <xdr:row>135</xdr:row>
          <xdr:rowOff>171450</xdr:rowOff>
        </xdr:to>
        <xdr:sp macro="" textlink="">
          <xdr:nvSpPr>
            <xdr:cNvPr id="1115172" name="Option Button 121" hidden="1">
              <a:extLst>
                <a:ext uri="{63B3BB69-23CF-44E3-9099-C40C66FF867C}">
                  <a14:compatExt spid="_x0000_s11151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135</xdr:row>
          <xdr:rowOff>0</xdr:rowOff>
        </xdr:from>
        <xdr:to>
          <xdr:col>22</xdr:col>
          <xdr:colOff>295275</xdr:colOff>
          <xdr:row>135</xdr:row>
          <xdr:rowOff>171450</xdr:rowOff>
        </xdr:to>
        <xdr:sp macro="" textlink="">
          <xdr:nvSpPr>
            <xdr:cNvPr id="1115173" name="Option Button 122" hidden="1">
              <a:extLst>
                <a:ext uri="{63B3BB69-23CF-44E3-9099-C40C66FF867C}">
                  <a14:compatExt spid="_x0000_s11151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135</xdr:row>
          <xdr:rowOff>0</xdr:rowOff>
        </xdr:from>
        <xdr:to>
          <xdr:col>23</xdr:col>
          <xdr:colOff>295275</xdr:colOff>
          <xdr:row>135</xdr:row>
          <xdr:rowOff>171450</xdr:rowOff>
        </xdr:to>
        <xdr:sp macro="" textlink="">
          <xdr:nvSpPr>
            <xdr:cNvPr id="1115174" name="Option Button 123" hidden="1">
              <a:extLst>
                <a:ext uri="{63B3BB69-23CF-44E3-9099-C40C66FF867C}">
                  <a14:compatExt spid="_x0000_s11151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38100</xdr:colOff>
          <xdr:row>135</xdr:row>
          <xdr:rowOff>0</xdr:rowOff>
        </xdr:from>
        <xdr:to>
          <xdr:col>24</xdr:col>
          <xdr:colOff>295275</xdr:colOff>
          <xdr:row>135</xdr:row>
          <xdr:rowOff>171450</xdr:rowOff>
        </xdr:to>
        <xdr:sp macro="" textlink="">
          <xdr:nvSpPr>
            <xdr:cNvPr id="1115175" name="Option Button 124" hidden="1">
              <a:extLst>
                <a:ext uri="{63B3BB69-23CF-44E3-9099-C40C66FF867C}">
                  <a14:compatExt spid="_x0000_s11151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371475</xdr:rowOff>
        </xdr:to>
        <xdr:sp macro="" textlink="">
          <xdr:nvSpPr>
            <xdr:cNvPr id="1115176" name="Group Box 126" hidden="1">
              <a:extLst>
                <a:ext uri="{63B3BB69-23CF-44E3-9099-C40C66FF867C}">
                  <a14:compatExt spid="_x0000_s1115176"/>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126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304800</xdr:colOff>
          <xdr:row>181</xdr:row>
          <xdr:rowOff>171450</xdr:rowOff>
        </xdr:to>
        <xdr:sp macro="" textlink="">
          <xdr:nvSpPr>
            <xdr:cNvPr id="1115177" name="Option Button 127" hidden="1">
              <a:extLst>
                <a:ext uri="{63B3BB69-23CF-44E3-9099-C40C66FF867C}">
                  <a14:compatExt spid="_x0000_s11151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181</xdr:row>
          <xdr:rowOff>0</xdr:rowOff>
        </xdr:from>
        <xdr:to>
          <xdr:col>21</xdr:col>
          <xdr:colOff>295275</xdr:colOff>
          <xdr:row>181</xdr:row>
          <xdr:rowOff>171450</xdr:rowOff>
        </xdr:to>
        <xdr:sp macro="" textlink="">
          <xdr:nvSpPr>
            <xdr:cNvPr id="1115178" name="Option Button 128" hidden="1">
              <a:extLst>
                <a:ext uri="{63B3BB69-23CF-44E3-9099-C40C66FF867C}">
                  <a14:compatExt spid="_x0000_s11151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181</xdr:row>
          <xdr:rowOff>0</xdr:rowOff>
        </xdr:from>
        <xdr:to>
          <xdr:col>22</xdr:col>
          <xdr:colOff>295275</xdr:colOff>
          <xdr:row>181</xdr:row>
          <xdr:rowOff>171450</xdr:rowOff>
        </xdr:to>
        <xdr:sp macro="" textlink="">
          <xdr:nvSpPr>
            <xdr:cNvPr id="1115179" name="Option Button 129" hidden="1">
              <a:extLst>
                <a:ext uri="{63B3BB69-23CF-44E3-9099-C40C66FF867C}">
                  <a14:compatExt spid="_x0000_s11151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129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304800</xdr:colOff>
          <xdr:row>181</xdr:row>
          <xdr:rowOff>171450</xdr:rowOff>
        </xdr:to>
        <xdr:sp macro="" textlink="">
          <xdr:nvSpPr>
            <xdr:cNvPr id="1115180" name="Option Button 130" hidden="1">
              <a:extLst>
                <a:ext uri="{63B3BB69-23CF-44E3-9099-C40C66FF867C}">
                  <a14:compatExt spid="_x0000_s11151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130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295275</xdr:colOff>
          <xdr:row>181</xdr:row>
          <xdr:rowOff>171450</xdr:rowOff>
        </xdr:to>
        <xdr:sp macro="" textlink="">
          <xdr:nvSpPr>
            <xdr:cNvPr id="1115181" name="Option Button 142" hidden="1">
              <a:extLst>
                <a:ext uri="{63B3BB69-23CF-44E3-9099-C40C66FF867C}">
                  <a14:compatExt spid="_x0000_s11151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142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0</xdr:colOff>
          <xdr:row>182</xdr:row>
          <xdr:rowOff>561975</xdr:rowOff>
        </xdr:to>
        <xdr:sp macro="" textlink="">
          <xdr:nvSpPr>
            <xdr:cNvPr id="1115182" name="Group Box 143" hidden="1">
              <a:extLst>
                <a:ext uri="{63B3BB69-23CF-44E3-9099-C40C66FF867C}">
                  <a14:compatExt spid="_x0000_s1115182"/>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295275</xdr:colOff>
          <xdr:row>181</xdr:row>
          <xdr:rowOff>171450</xdr:rowOff>
        </xdr:to>
        <xdr:sp macro="" textlink="">
          <xdr:nvSpPr>
            <xdr:cNvPr id="1115183" name="Option Button 144" hidden="1">
              <a:extLst>
                <a:ext uri="{63B3BB69-23CF-44E3-9099-C40C66FF867C}">
                  <a14:compatExt spid="_x0000_s11151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181</xdr:row>
          <xdr:rowOff>0</xdr:rowOff>
        </xdr:from>
        <xdr:to>
          <xdr:col>21</xdr:col>
          <xdr:colOff>295275</xdr:colOff>
          <xdr:row>181</xdr:row>
          <xdr:rowOff>171450</xdr:rowOff>
        </xdr:to>
        <xdr:sp macro="" textlink="">
          <xdr:nvSpPr>
            <xdr:cNvPr id="1115184" name="Option Button 145" hidden="1">
              <a:extLst>
                <a:ext uri="{63B3BB69-23CF-44E3-9099-C40C66FF867C}">
                  <a14:compatExt spid="_x0000_s11151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181</xdr:row>
          <xdr:rowOff>0</xdr:rowOff>
        </xdr:from>
        <xdr:to>
          <xdr:col>22</xdr:col>
          <xdr:colOff>295275</xdr:colOff>
          <xdr:row>181</xdr:row>
          <xdr:rowOff>171450</xdr:rowOff>
        </xdr:to>
        <xdr:sp macro="" textlink="">
          <xdr:nvSpPr>
            <xdr:cNvPr id="1115185" name="Option Button 146" hidden="1">
              <a:extLst>
                <a:ext uri="{63B3BB69-23CF-44E3-9099-C40C66FF867C}">
                  <a14:compatExt spid="_x0000_s11151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181</xdr:row>
          <xdr:rowOff>0</xdr:rowOff>
        </xdr:from>
        <xdr:to>
          <xdr:col>23</xdr:col>
          <xdr:colOff>295275</xdr:colOff>
          <xdr:row>181</xdr:row>
          <xdr:rowOff>171450</xdr:rowOff>
        </xdr:to>
        <xdr:sp macro="" textlink="">
          <xdr:nvSpPr>
            <xdr:cNvPr id="1115186" name="Option Button 147" hidden="1">
              <a:extLst>
                <a:ext uri="{63B3BB69-23CF-44E3-9099-C40C66FF867C}">
                  <a14:compatExt spid="_x0000_s11151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147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181</xdr:row>
          <xdr:rowOff>0</xdr:rowOff>
        </xdr:from>
        <xdr:to>
          <xdr:col>24</xdr:col>
          <xdr:colOff>276225</xdr:colOff>
          <xdr:row>181</xdr:row>
          <xdr:rowOff>171450</xdr:rowOff>
        </xdr:to>
        <xdr:sp macro="" textlink="">
          <xdr:nvSpPr>
            <xdr:cNvPr id="1115187" name="Option Button 148" hidden="1">
              <a:extLst>
                <a:ext uri="{63B3BB69-23CF-44E3-9099-C40C66FF867C}">
                  <a14:compatExt spid="_x0000_s111518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148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381000</xdr:rowOff>
        </xdr:to>
        <xdr:sp macro="" textlink="">
          <xdr:nvSpPr>
            <xdr:cNvPr id="1115188" name="Group Box 149" hidden="1">
              <a:extLst>
                <a:ext uri="{63B3BB69-23CF-44E3-9099-C40C66FF867C}">
                  <a14:compatExt spid="_x0000_s1115188"/>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295275</xdr:colOff>
          <xdr:row>181</xdr:row>
          <xdr:rowOff>171450</xdr:rowOff>
        </xdr:to>
        <xdr:sp macro="" textlink="">
          <xdr:nvSpPr>
            <xdr:cNvPr id="1115189" name="Option Button 150" hidden="1">
              <a:extLst>
                <a:ext uri="{63B3BB69-23CF-44E3-9099-C40C66FF867C}">
                  <a14:compatExt spid="_x0000_s11151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181</xdr:row>
          <xdr:rowOff>0</xdr:rowOff>
        </xdr:from>
        <xdr:to>
          <xdr:col>21</xdr:col>
          <xdr:colOff>276225</xdr:colOff>
          <xdr:row>181</xdr:row>
          <xdr:rowOff>171450</xdr:rowOff>
        </xdr:to>
        <xdr:sp macro="" textlink="">
          <xdr:nvSpPr>
            <xdr:cNvPr id="1115190" name="Option Button 151" hidden="1">
              <a:extLst>
                <a:ext uri="{63B3BB69-23CF-44E3-9099-C40C66FF867C}">
                  <a14:compatExt spid="_x0000_s111519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181</xdr:row>
          <xdr:rowOff>0</xdr:rowOff>
        </xdr:from>
        <xdr:to>
          <xdr:col>22</xdr:col>
          <xdr:colOff>276225</xdr:colOff>
          <xdr:row>181</xdr:row>
          <xdr:rowOff>171450</xdr:rowOff>
        </xdr:to>
        <xdr:sp macro="" textlink="">
          <xdr:nvSpPr>
            <xdr:cNvPr id="1115191" name="Option Button 152" hidden="1">
              <a:extLst>
                <a:ext uri="{63B3BB69-23CF-44E3-9099-C40C66FF867C}">
                  <a14:compatExt spid="_x0000_s111519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181</xdr:row>
          <xdr:rowOff>0</xdr:rowOff>
        </xdr:from>
        <xdr:to>
          <xdr:col>23</xdr:col>
          <xdr:colOff>266700</xdr:colOff>
          <xdr:row>181</xdr:row>
          <xdr:rowOff>171450</xdr:rowOff>
        </xdr:to>
        <xdr:sp macro="" textlink="">
          <xdr:nvSpPr>
            <xdr:cNvPr id="1115192" name="Option Button 153" hidden="1">
              <a:extLst>
                <a:ext uri="{63B3BB69-23CF-44E3-9099-C40C66FF867C}">
                  <a14:compatExt spid="_x0000_s111519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xdr:colOff>
          <xdr:row>181</xdr:row>
          <xdr:rowOff>0</xdr:rowOff>
        </xdr:from>
        <xdr:to>
          <xdr:col>24</xdr:col>
          <xdr:colOff>257175</xdr:colOff>
          <xdr:row>181</xdr:row>
          <xdr:rowOff>171450</xdr:rowOff>
        </xdr:to>
        <xdr:sp macro="" textlink="">
          <xdr:nvSpPr>
            <xdr:cNvPr id="1115193" name="Option Button 154" hidden="1">
              <a:extLst>
                <a:ext uri="{63B3BB69-23CF-44E3-9099-C40C66FF867C}">
                  <a14:compatExt spid="_x0000_s11151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381000</xdr:rowOff>
        </xdr:to>
        <xdr:sp macro="" textlink="">
          <xdr:nvSpPr>
            <xdr:cNvPr id="1115194" name="Group Box 155" hidden="1">
              <a:extLst>
                <a:ext uri="{63B3BB69-23CF-44E3-9099-C40C66FF867C}">
                  <a14:compatExt spid="_x0000_s1115194"/>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155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295275</xdr:colOff>
          <xdr:row>181</xdr:row>
          <xdr:rowOff>171450</xdr:rowOff>
        </xdr:to>
        <xdr:sp macro="" textlink="">
          <xdr:nvSpPr>
            <xdr:cNvPr id="1115195" name="Option Button 156" hidden="1">
              <a:extLst>
                <a:ext uri="{63B3BB69-23CF-44E3-9099-C40C66FF867C}">
                  <a14:compatExt spid="_x0000_s11151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181</xdr:row>
          <xdr:rowOff>0</xdr:rowOff>
        </xdr:from>
        <xdr:to>
          <xdr:col>21</xdr:col>
          <xdr:colOff>276225</xdr:colOff>
          <xdr:row>181</xdr:row>
          <xdr:rowOff>171450</xdr:rowOff>
        </xdr:to>
        <xdr:sp macro="" textlink="">
          <xdr:nvSpPr>
            <xdr:cNvPr id="1115196" name="Option Button 157" hidden="1">
              <a:extLst>
                <a:ext uri="{63B3BB69-23CF-44E3-9099-C40C66FF867C}">
                  <a14:compatExt spid="_x0000_s111519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181</xdr:row>
          <xdr:rowOff>0</xdr:rowOff>
        </xdr:from>
        <xdr:to>
          <xdr:col>22</xdr:col>
          <xdr:colOff>276225</xdr:colOff>
          <xdr:row>181</xdr:row>
          <xdr:rowOff>171450</xdr:rowOff>
        </xdr:to>
        <xdr:sp macro="" textlink="">
          <xdr:nvSpPr>
            <xdr:cNvPr id="1115197" name="Option Button 158" hidden="1">
              <a:extLst>
                <a:ext uri="{63B3BB69-23CF-44E3-9099-C40C66FF867C}">
                  <a14:compatExt spid="_x0000_s11151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181</xdr:row>
          <xdr:rowOff>0</xdr:rowOff>
        </xdr:from>
        <xdr:to>
          <xdr:col>23</xdr:col>
          <xdr:colOff>266700</xdr:colOff>
          <xdr:row>181</xdr:row>
          <xdr:rowOff>171450</xdr:rowOff>
        </xdr:to>
        <xdr:sp macro="" textlink="">
          <xdr:nvSpPr>
            <xdr:cNvPr id="1115198" name="Option Button 159" hidden="1">
              <a:extLst>
                <a:ext uri="{63B3BB69-23CF-44E3-9099-C40C66FF867C}">
                  <a14:compatExt spid="_x0000_s11151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159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xdr:colOff>
          <xdr:row>181</xdr:row>
          <xdr:rowOff>0</xdr:rowOff>
        </xdr:from>
        <xdr:to>
          <xdr:col>24</xdr:col>
          <xdr:colOff>257175</xdr:colOff>
          <xdr:row>181</xdr:row>
          <xdr:rowOff>171450</xdr:rowOff>
        </xdr:to>
        <xdr:sp macro="" textlink="">
          <xdr:nvSpPr>
            <xdr:cNvPr id="1115199" name="Option Button 160" hidden="1">
              <a:extLst>
                <a:ext uri="{63B3BB69-23CF-44E3-9099-C40C66FF867C}">
                  <a14:compatExt spid="_x0000_s11151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381000</xdr:rowOff>
        </xdr:to>
        <xdr:sp macro="" textlink="">
          <xdr:nvSpPr>
            <xdr:cNvPr id="1115200" name="Group Box 161" hidden="1">
              <a:extLst>
                <a:ext uri="{63B3BB69-23CF-44E3-9099-C40C66FF867C}">
                  <a14:compatExt spid="_x0000_s1115200"/>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161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295275</xdr:colOff>
          <xdr:row>181</xdr:row>
          <xdr:rowOff>171450</xdr:rowOff>
        </xdr:to>
        <xdr:sp macro="" textlink="">
          <xdr:nvSpPr>
            <xdr:cNvPr id="1115201" name="Option Button 65" hidden="1">
              <a:extLst>
                <a:ext uri="{63B3BB69-23CF-44E3-9099-C40C66FF867C}">
                  <a14:compatExt spid="_x0000_s11152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181</xdr:row>
          <xdr:rowOff>0</xdr:rowOff>
        </xdr:from>
        <xdr:to>
          <xdr:col>21</xdr:col>
          <xdr:colOff>276225</xdr:colOff>
          <xdr:row>181</xdr:row>
          <xdr:rowOff>171450</xdr:rowOff>
        </xdr:to>
        <xdr:sp macro="" textlink="">
          <xdr:nvSpPr>
            <xdr:cNvPr id="1115202" name="Option Button 163" hidden="1">
              <a:extLst>
                <a:ext uri="{63B3BB69-23CF-44E3-9099-C40C66FF867C}">
                  <a14:compatExt spid="_x0000_s11152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181</xdr:row>
          <xdr:rowOff>0</xdr:rowOff>
        </xdr:from>
        <xdr:to>
          <xdr:col>22</xdr:col>
          <xdr:colOff>276225</xdr:colOff>
          <xdr:row>181</xdr:row>
          <xdr:rowOff>171450</xdr:rowOff>
        </xdr:to>
        <xdr:sp macro="" textlink="">
          <xdr:nvSpPr>
            <xdr:cNvPr id="1115203" name="Option Button 164" hidden="1">
              <a:extLst>
                <a:ext uri="{63B3BB69-23CF-44E3-9099-C40C66FF867C}">
                  <a14:compatExt spid="_x0000_s111520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181</xdr:row>
          <xdr:rowOff>0</xdr:rowOff>
        </xdr:from>
        <xdr:to>
          <xdr:col>23</xdr:col>
          <xdr:colOff>266700</xdr:colOff>
          <xdr:row>181</xdr:row>
          <xdr:rowOff>171450</xdr:rowOff>
        </xdr:to>
        <xdr:sp macro="" textlink="">
          <xdr:nvSpPr>
            <xdr:cNvPr id="1115204" name="Option Button 165" hidden="1">
              <a:extLst>
                <a:ext uri="{63B3BB69-23CF-44E3-9099-C40C66FF867C}">
                  <a14:compatExt spid="_x0000_s11152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xdr:colOff>
          <xdr:row>181</xdr:row>
          <xdr:rowOff>0</xdr:rowOff>
        </xdr:from>
        <xdr:to>
          <xdr:col>24</xdr:col>
          <xdr:colOff>257175</xdr:colOff>
          <xdr:row>181</xdr:row>
          <xdr:rowOff>171450</xdr:rowOff>
        </xdr:to>
        <xdr:sp macro="" textlink="">
          <xdr:nvSpPr>
            <xdr:cNvPr id="1115205" name="Option Button 166" hidden="1">
              <a:extLst>
                <a:ext uri="{63B3BB69-23CF-44E3-9099-C40C66FF867C}">
                  <a14:compatExt spid="_x0000_s111520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561975</xdr:rowOff>
        </xdr:to>
        <xdr:sp macro="" textlink="">
          <xdr:nvSpPr>
            <xdr:cNvPr id="1115206" name="Group Box 167" hidden="1">
              <a:extLst>
                <a:ext uri="{63B3BB69-23CF-44E3-9099-C40C66FF867C}">
                  <a14:compatExt spid="_x0000_s1115206"/>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167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66675</xdr:colOff>
          <xdr:row>181</xdr:row>
          <xdr:rowOff>0</xdr:rowOff>
        </xdr:from>
        <xdr:to>
          <xdr:col>20</xdr:col>
          <xdr:colOff>295275</xdr:colOff>
          <xdr:row>181</xdr:row>
          <xdr:rowOff>171450</xdr:rowOff>
        </xdr:to>
        <xdr:sp macro="" textlink="">
          <xdr:nvSpPr>
            <xdr:cNvPr id="1115207" name="Option Button 71" hidden="1">
              <a:extLst>
                <a:ext uri="{63B3BB69-23CF-44E3-9099-C40C66FF867C}">
                  <a14:compatExt spid="_x0000_s111520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181</xdr:row>
          <xdr:rowOff>0</xdr:rowOff>
        </xdr:from>
        <xdr:to>
          <xdr:col>21</xdr:col>
          <xdr:colOff>295275</xdr:colOff>
          <xdr:row>181</xdr:row>
          <xdr:rowOff>171450</xdr:rowOff>
        </xdr:to>
        <xdr:sp macro="" textlink="">
          <xdr:nvSpPr>
            <xdr:cNvPr id="1115208" name="Option Button 169" hidden="1">
              <a:extLst>
                <a:ext uri="{63B3BB69-23CF-44E3-9099-C40C66FF867C}">
                  <a14:compatExt spid="_x0000_s11152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169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181</xdr:row>
          <xdr:rowOff>0</xdr:rowOff>
        </xdr:from>
        <xdr:to>
          <xdr:col>22</xdr:col>
          <xdr:colOff>295275</xdr:colOff>
          <xdr:row>181</xdr:row>
          <xdr:rowOff>171450</xdr:rowOff>
        </xdr:to>
        <xdr:sp macro="" textlink="">
          <xdr:nvSpPr>
            <xdr:cNvPr id="1115209" name="Option Button 170" hidden="1">
              <a:extLst>
                <a:ext uri="{63B3BB69-23CF-44E3-9099-C40C66FF867C}">
                  <a14:compatExt spid="_x0000_s11152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181</xdr:row>
          <xdr:rowOff>0</xdr:rowOff>
        </xdr:from>
        <xdr:to>
          <xdr:col>23</xdr:col>
          <xdr:colOff>276225</xdr:colOff>
          <xdr:row>181</xdr:row>
          <xdr:rowOff>171450</xdr:rowOff>
        </xdr:to>
        <xdr:sp macro="" textlink="">
          <xdr:nvSpPr>
            <xdr:cNvPr id="1115210" name="Option Button 171" hidden="1">
              <a:extLst>
                <a:ext uri="{63B3BB69-23CF-44E3-9099-C40C66FF867C}">
                  <a14:compatExt spid="_x0000_s11152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181</xdr:row>
          <xdr:rowOff>0</xdr:rowOff>
        </xdr:from>
        <xdr:to>
          <xdr:col>24</xdr:col>
          <xdr:colOff>266700</xdr:colOff>
          <xdr:row>181</xdr:row>
          <xdr:rowOff>171450</xdr:rowOff>
        </xdr:to>
        <xdr:sp macro="" textlink="">
          <xdr:nvSpPr>
            <xdr:cNvPr id="1115211" name="Option Button 172" hidden="1">
              <a:extLst>
                <a:ext uri="{63B3BB69-23CF-44E3-9099-C40C66FF867C}">
                  <a14:compatExt spid="_x0000_s11152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723900</xdr:rowOff>
        </xdr:to>
        <xdr:sp macro="" textlink="">
          <xdr:nvSpPr>
            <xdr:cNvPr id="1115212" name="Group Box 173" hidden="1">
              <a:extLst>
                <a:ext uri="{63B3BB69-23CF-44E3-9099-C40C66FF867C}">
                  <a14:compatExt spid="_x0000_s1115212"/>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173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181</xdr:row>
          <xdr:rowOff>0</xdr:rowOff>
        </xdr:from>
        <xdr:to>
          <xdr:col>20</xdr:col>
          <xdr:colOff>304800</xdr:colOff>
          <xdr:row>181</xdr:row>
          <xdr:rowOff>171450</xdr:rowOff>
        </xdr:to>
        <xdr:sp macro="" textlink="">
          <xdr:nvSpPr>
            <xdr:cNvPr id="1115213" name="Option Button 77" hidden="1">
              <a:extLst>
                <a:ext uri="{63B3BB69-23CF-44E3-9099-C40C66FF867C}">
                  <a14:compatExt spid="_x0000_s11152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181</xdr:row>
          <xdr:rowOff>0</xdr:rowOff>
        </xdr:from>
        <xdr:to>
          <xdr:col>21</xdr:col>
          <xdr:colOff>295275</xdr:colOff>
          <xdr:row>181</xdr:row>
          <xdr:rowOff>171450</xdr:rowOff>
        </xdr:to>
        <xdr:sp macro="" textlink="">
          <xdr:nvSpPr>
            <xdr:cNvPr id="1115214" name="Option Button 175" hidden="1">
              <a:extLst>
                <a:ext uri="{63B3BB69-23CF-44E3-9099-C40C66FF867C}">
                  <a14:compatExt spid="_x0000_s11152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181</xdr:row>
          <xdr:rowOff>0</xdr:rowOff>
        </xdr:from>
        <xdr:to>
          <xdr:col>22</xdr:col>
          <xdr:colOff>295275</xdr:colOff>
          <xdr:row>181</xdr:row>
          <xdr:rowOff>171450</xdr:rowOff>
        </xdr:to>
        <xdr:sp macro="" textlink="">
          <xdr:nvSpPr>
            <xdr:cNvPr id="1115215" name="Option Button 176" hidden="1">
              <a:extLst>
                <a:ext uri="{63B3BB69-23CF-44E3-9099-C40C66FF867C}">
                  <a14:compatExt spid="_x0000_s111521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38100</xdr:colOff>
          <xdr:row>181</xdr:row>
          <xdr:rowOff>0</xdr:rowOff>
        </xdr:from>
        <xdr:to>
          <xdr:col>23</xdr:col>
          <xdr:colOff>295275</xdr:colOff>
          <xdr:row>181</xdr:row>
          <xdr:rowOff>171450</xdr:rowOff>
        </xdr:to>
        <xdr:sp macro="" textlink="">
          <xdr:nvSpPr>
            <xdr:cNvPr id="1115216" name="Option Button 177" hidden="1">
              <a:extLst>
                <a:ext uri="{63B3BB69-23CF-44E3-9099-C40C66FF867C}">
                  <a14:compatExt spid="_x0000_s11152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181</xdr:row>
          <xdr:rowOff>0</xdr:rowOff>
        </xdr:from>
        <xdr:to>
          <xdr:col>24</xdr:col>
          <xdr:colOff>276225</xdr:colOff>
          <xdr:row>181</xdr:row>
          <xdr:rowOff>171450</xdr:rowOff>
        </xdr:to>
        <xdr:sp macro="" textlink="">
          <xdr:nvSpPr>
            <xdr:cNvPr id="1115217" name="Option Button 178" hidden="1">
              <a:extLst>
                <a:ext uri="{63B3BB69-23CF-44E3-9099-C40C66FF867C}">
                  <a14:compatExt spid="_x0000_s11152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178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561975</xdr:rowOff>
        </xdr:to>
        <xdr:sp macro="" textlink="">
          <xdr:nvSpPr>
            <xdr:cNvPr id="1115218" name="Group Box 179" hidden="1">
              <a:extLst>
                <a:ext uri="{63B3BB69-23CF-44E3-9099-C40C66FF867C}">
                  <a14:compatExt spid="_x0000_s1115218"/>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179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295275</xdr:colOff>
          <xdr:row>181</xdr:row>
          <xdr:rowOff>171450</xdr:rowOff>
        </xdr:to>
        <xdr:sp macro="" textlink="">
          <xdr:nvSpPr>
            <xdr:cNvPr id="1115219" name="Option Button 83" hidden="1">
              <a:extLst>
                <a:ext uri="{63B3BB69-23CF-44E3-9099-C40C66FF867C}">
                  <a14:compatExt spid="_x0000_s11152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181</xdr:row>
          <xdr:rowOff>0</xdr:rowOff>
        </xdr:from>
        <xdr:to>
          <xdr:col>21</xdr:col>
          <xdr:colOff>304800</xdr:colOff>
          <xdr:row>181</xdr:row>
          <xdr:rowOff>171450</xdr:rowOff>
        </xdr:to>
        <xdr:sp macro="" textlink="">
          <xdr:nvSpPr>
            <xdr:cNvPr id="1115220" name="Option Button 181" hidden="1">
              <a:extLst>
                <a:ext uri="{63B3BB69-23CF-44E3-9099-C40C66FF867C}">
                  <a14:compatExt spid="_x0000_s11152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304800</xdr:colOff>
          <xdr:row>181</xdr:row>
          <xdr:rowOff>171450</xdr:rowOff>
        </xdr:to>
        <xdr:sp macro="" textlink="">
          <xdr:nvSpPr>
            <xdr:cNvPr id="1115221" name="Option Button 182" hidden="1">
              <a:extLst>
                <a:ext uri="{63B3BB69-23CF-44E3-9099-C40C66FF867C}">
                  <a14:compatExt spid="_x0000_s11152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304800</xdr:colOff>
          <xdr:row>181</xdr:row>
          <xdr:rowOff>171450</xdr:rowOff>
        </xdr:to>
        <xdr:sp macro="" textlink="">
          <xdr:nvSpPr>
            <xdr:cNvPr id="1115222" name="Option Button 183" hidden="1">
              <a:extLst>
                <a:ext uri="{63B3BB69-23CF-44E3-9099-C40C66FF867C}">
                  <a14:compatExt spid="_x0000_s11152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38100</xdr:colOff>
          <xdr:row>181</xdr:row>
          <xdr:rowOff>0</xdr:rowOff>
        </xdr:from>
        <xdr:to>
          <xdr:col>24</xdr:col>
          <xdr:colOff>295275</xdr:colOff>
          <xdr:row>181</xdr:row>
          <xdr:rowOff>171450</xdr:rowOff>
        </xdr:to>
        <xdr:sp macro="" textlink="">
          <xdr:nvSpPr>
            <xdr:cNvPr id="1115223" name="Option Button 184" hidden="1">
              <a:extLst>
                <a:ext uri="{63B3BB69-23CF-44E3-9099-C40C66FF867C}">
                  <a14:compatExt spid="_x0000_s11152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371475</xdr:rowOff>
        </xdr:to>
        <xdr:sp macro="" textlink="">
          <xdr:nvSpPr>
            <xdr:cNvPr id="1115224" name="Group Box 185" hidden="1">
              <a:extLst>
                <a:ext uri="{63B3BB69-23CF-44E3-9099-C40C66FF867C}">
                  <a14:compatExt spid="_x0000_s1115224"/>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295275</xdr:colOff>
          <xdr:row>181</xdr:row>
          <xdr:rowOff>171450</xdr:rowOff>
        </xdr:to>
        <xdr:sp macro="" textlink="">
          <xdr:nvSpPr>
            <xdr:cNvPr id="1115225" name="Option Button 89" hidden="1">
              <a:extLst>
                <a:ext uri="{63B3BB69-23CF-44E3-9099-C40C66FF867C}">
                  <a14:compatExt spid="_x0000_s11152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181</xdr:row>
          <xdr:rowOff>0</xdr:rowOff>
        </xdr:from>
        <xdr:to>
          <xdr:col>21</xdr:col>
          <xdr:colOff>304800</xdr:colOff>
          <xdr:row>181</xdr:row>
          <xdr:rowOff>171450</xdr:rowOff>
        </xdr:to>
        <xdr:sp macro="" textlink="">
          <xdr:nvSpPr>
            <xdr:cNvPr id="1115226" name="Option Button 187" hidden="1">
              <a:extLst>
                <a:ext uri="{63B3BB69-23CF-44E3-9099-C40C66FF867C}">
                  <a14:compatExt spid="_x0000_s11152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304800</xdr:colOff>
          <xdr:row>181</xdr:row>
          <xdr:rowOff>171450</xdr:rowOff>
        </xdr:to>
        <xdr:sp macro="" textlink="">
          <xdr:nvSpPr>
            <xdr:cNvPr id="1115227" name="Option Button 188" hidden="1">
              <a:extLst>
                <a:ext uri="{63B3BB69-23CF-44E3-9099-C40C66FF867C}">
                  <a14:compatExt spid="_x0000_s11152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304800</xdr:colOff>
          <xdr:row>181</xdr:row>
          <xdr:rowOff>171450</xdr:rowOff>
        </xdr:to>
        <xdr:sp macro="" textlink="">
          <xdr:nvSpPr>
            <xdr:cNvPr id="1115228" name="Option Button 189" hidden="1">
              <a:extLst>
                <a:ext uri="{63B3BB69-23CF-44E3-9099-C40C66FF867C}">
                  <a14:compatExt spid="_x0000_s11152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189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38100</xdr:colOff>
          <xdr:row>181</xdr:row>
          <xdr:rowOff>0</xdr:rowOff>
        </xdr:from>
        <xdr:to>
          <xdr:col>24</xdr:col>
          <xdr:colOff>295275</xdr:colOff>
          <xdr:row>181</xdr:row>
          <xdr:rowOff>171450</xdr:rowOff>
        </xdr:to>
        <xdr:sp macro="" textlink="">
          <xdr:nvSpPr>
            <xdr:cNvPr id="1115229" name="Option Button 190" hidden="1">
              <a:extLst>
                <a:ext uri="{63B3BB69-23CF-44E3-9099-C40C66FF867C}">
                  <a14:compatExt spid="_x0000_s11152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561975</xdr:rowOff>
        </xdr:to>
        <xdr:sp macro="" textlink="">
          <xdr:nvSpPr>
            <xdr:cNvPr id="1115230" name="Group Box 191" hidden="1">
              <a:extLst>
                <a:ext uri="{63B3BB69-23CF-44E3-9099-C40C66FF867C}">
                  <a14:compatExt spid="_x0000_s1115230"/>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191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66675</xdr:colOff>
          <xdr:row>181</xdr:row>
          <xdr:rowOff>0</xdr:rowOff>
        </xdr:from>
        <xdr:to>
          <xdr:col>20</xdr:col>
          <xdr:colOff>295275</xdr:colOff>
          <xdr:row>181</xdr:row>
          <xdr:rowOff>171450</xdr:rowOff>
        </xdr:to>
        <xdr:sp macro="" textlink="">
          <xdr:nvSpPr>
            <xdr:cNvPr id="1115231" name="Option Button 192" hidden="1">
              <a:extLst>
                <a:ext uri="{63B3BB69-23CF-44E3-9099-C40C66FF867C}">
                  <a14:compatExt spid="_x0000_s11152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181</xdr:row>
          <xdr:rowOff>0</xdr:rowOff>
        </xdr:from>
        <xdr:to>
          <xdr:col>21</xdr:col>
          <xdr:colOff>314325</xdr:colOff>
          <xdr:row>181</xdr:row>
          <xdr:rowOff>171450</xdr:rowOff>
        </xdr:to>
        <xdr:sp macro="" textlink="">
          <xdr:nvSpPr>
            <xdr:cNvPr id="1115232" name="Option Button 193" hidden="1">
              <a:extLst>
                <a:ext uri="{63B3BB69-23CF-44E3-9099-C40C66FF867C}">
                  <a14:compatExt spid="_x0000_s11152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66675</xdr:colOff>
          <xdr:row>181</xdr:row>
          <xdr:rowOff>0</xdr:rowOff>
        </xdr:from>
        <xdr:to>
          <xdr:col>22</xdr:col>
          <xdr:colOff>314325</xdr:colOff>
          <xdr:row>181</xdr:row>
          <xdr:rowOff>171450</xdr:rowOff>
        </xdr:to>
        <xdr:sp macro="" textlink="">
          <xdr:nvSpPr>
            <xdr:cNvPr id="1115233" name="Option Button 194" hidden="1">
              <a:extLst>
                <a:ext uri="{63B3BB69-23CF-44E3-9099-C40C66FF867C}">
                  <a14:compatExt spid="_x0000_s11152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66675</xdr:colOff>
          <xdr:row>181</xdr:row>
          <xdr:rowOff>0</xdr:rowOff>
        </xdr:from>
        <xdr:to>
          <xdr:col>23</xdr:col>
          <xdr:colOff>314325</xdr:colOff>
          <xdr:row>181</xdr:row>
          <xdr:rowOff>171450</xdr:rowOff>
        </xdr:to>
        <xdr:sp macro="" textlink="">
          <xdr:nvSpPr>
            <xdr:cNvPr id="1115234" name="Option Button 195" hidden="1">
              <a:extLst>
                <a:ext uri="{63B3BB69-23CF-44E3-9099-C40C66FF867C}">
                  <a14:compatExt spid="_x0000_s11152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295275</xdr:colOff>
          <xdr:row>181</xdr:row>
          <xdr:rowOff>171450</xdr:rowOff>
        </xdr:to>
        <xdr:sp macro="" textlink="">
          <xdr:nvSpPr>
            <xdr:cNvPr id="1115235" name="Option Button 196" hidden="1">
              <a:extLst>
                <a:ext uri="{63B3BB69-23CF-44E3-9099-C40C66FF867C}">
                  <a14:compatExt spid="_x0000_s11152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381000</xdr:rowOff>
        </xdr:to>
        <xdr:sp macro="" textlink="">
          <xdr:nvSpPr>
            <xdr:cNvPr id="1115236" name="Group Box 197" hidden="1">
              <a:extLst>
                <a:ext uri="{63B3BB69-23CF-44E3-9099-C40C66FF867C}">
                  <a14:compatExt spid="_x0000_s1115236"/>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197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181</xdr:row>
          <xdr:rowOff>0</xdr:rowOff>
        </xdr:from>
        <xdr:to>
          <xdr:col>20</xdr:col>
          <xdr:colOff>295275</xdr:colOff>
          <xdr:row>181</xdr:row>
          <xdr:rowOff>171450</xdr:rowOff>
        </xdr:to>
        <xdr:sp macro="" textlink="">
          <xdr:nvSpPr>
            <xdr:cNvPr id="1115237" name="Option Button 198" hidden="1">
              <a:extLst>
                <a:ext uri="{63B3BB69-23CF-44E3-9099-C40C66FF867C}">
                  <a14:compatExt spid="_x0000_s11152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181</xdr:row>
          <xdr:rowOff>0</xdr:rowOff>
        </xdr:from>
        <xdr:to>
          <xdr:col>21</xdr:col>
          <xdr:colOff>304800</xdr:colOff>
          <xdr:row>181</xdr:row>
          <xdr:rowOff>171450</xdr:rowOff>
        </xdr:to>
        <xdr:sp macro="" textlink="">
          <xdr:nvSpPr>
            <xdr:cNvPr id="1115238" name="Option Button 199" hidden="1">
              <a:extLst>
                <a:ext uri="{63B3BB69-23CF-44E3-9099-C40C66FF867C}">
                  <a14:compatExt spid="_x0000_s11152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199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304800</xdr:colOff>
          <xdr:row>181</xdr:row>
          <xdr:rowOff>171450</xdr:rowOff>
        </xdr:to>
        <xdr:sp macro="" textlink="">
          <xdr:nvSpPr>
            <xdr:cNvPr id="1115239" name="Option Button 200" hidden="1">
              <a:extLst>
                <a:ext uri="{63B3BB69-23CF-44E3-9099-C40C66FF867C}">
                  <a14:compatExt spid="_x0000_s11152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304800</xdr:colOff>
          <xdr:row>181</xdr:row>
          <xdr:rowOff>171450</xdr:rowOff>
        </xdr:to>
        <xdr:sp macro="" textlink="">
          <xdr:nvSpPr>
            <xdr:cNvPr id="1115240" name="Option Button 201" hidden="1">
              <a:extLst>
                <a:ext uri="{63B3BB69-23CF-44E3-9099-C40C66FF867C}">
                  <a14:compatExt spid="_x0000_s11152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201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181</xdr:row>
          <xdr:rowOff>0</xdr:rowOff>
        </xdr:from>
        <xdr:to>
          <xdr:col>23</xdr:col>
          <xdr:colOff>9525</xdr:colOff>
          <xdr:row>182</xdr:row>
          <xdr:rowOff>609600</xdr:rowOff>
        </xdr:to>
        <xdr:sp macro="" textlink="">
          <xdr:nvSpPr>
            <xdr:cNvPr id="1115241" name="Group Box 203" hidden="1">
              <a:extLst>
                <a:ext uri="{63B3BB69-23CF-44E3-9099-C40C66FF867C}">
                  <a14:compatExt spid="_x0000_s1115241"/>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203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47625</xdr:colOff>
          <xdr:row>181</xdr:row>
          <xdr:rowOff>0</xdr:rowOff>
        </xdr:from>
        <xdr:to>
          <xdr:col>20</xdr:col>
          <xdr:colOff>276225</xdr:colOff>
          <xdr:row>181</xdr:row>
          <xdr:rowOff>171450</xdr:rowOff>
        </xdr:to>
        <xdr:sp macro="" textlink="">
          <xdr:nvSpPr>
            <xdr:cNvPr id="1115242" name="Option Button 218" hidden="1">
              <a:extLst>
                <a:ext uri="{63B3BB69-23CF-44E3-9099-C40C66FF867C}">
                  <a14:compatExt spid="_x0000_s11152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181</xdr:row>
          <xdr:rowOff>0</xdr:rowOff>
        </xdr:from>
        <xdr:to>
          <xdr:col>21</xdr:col>
          <xdr:colOff>276225</xdr:colOff>
          <xdr:row>181</xdr:row>
          <xdr:rowOff>171450</xdr:rowOff>
        </xdr:to>
        <xdr:sp macro="" textlink="">
          <xdr:nvSpPr>
            <xdr:cNvPr id="1115243" name="Option Button 219" hidden="1">
              <a:extLst>
                <a:ext uri="{63B3BB69-23CF-44E3-9099-C40C66FF867C}">
                  <a14:compatExt spid="_x0000_s11152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181</xdr:row>
          <xdr:rowOff>0</xdr:rowOff>
        </xdr:from>
        <xdr:to>
          <xdr:col>22</xdr:col>
          <xdr:colOff>276225</xdr:colOff>
          <xdr:row>181</xdr:row>
          <xdr:rowOff>171450</xdr:rowOff>
        </xdr:to>
        <xdr:sp macro="" textlink="">
          <xdr:nvSpPr>
            <xdr:cNvPr id="1115244" name="Option Button 220" hidden="1">
              <a:extLst>
                <a:ext uri="{63B3BB69-23CF-44E3-9099-C40C66FF867C}">
                  <a14:compatExt spid="_x0000_s11152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181</xdr:row>
          <xdr:rowOff>0</xdr:rowOff>
        </xdr:from>
        <xdr:to>
          <xdr:col>23</xdr:col>
          <xdr:colOff>276225</xdr:colOff>
          <xdr:row>181</xdr:row>
          <xdr:rowOff>171450</xdr:rowOff>
        </xdr:to>
        <xdr:sp macro="" textlink="">
          <xdr:nvSpPr>
            <xdr:cNvPr id="1115245" name="Option Button 221" hidden="1">
              <a:extLst>
                <a:ext uri="{63B3BB69-23CF-44E3-9099-C40C66FF867C}">
                  <a14:compatExt spid="_x0000_s11152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276225</xdr:colOff>
          <xdr:row>181</xdr:row>
          <xdr:rowOff>171450</xdr:rowOff>
        </xdr:to>
        <xdr:sp macro="" textlink="">
          <xdr:nvSpPr>
            <xdr:cNvPr id="1115246" name="Option Button 222" hidden="1">
              <a:extLst>
                <a:ext uri="{63B3BB69-23CF-44E3-9099-C40C66FF867C}">
                  <a14:compatExt spid="_x0000_s11152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181</xdr:row>
          <xdr:rowOff>0</xdr:rowOff>
        </xdr:from>
        <xdr:to>
          <xdr:col>23</xdr:col>
          <xdr:colOff>9525</xdr:colOff>
          <xdr:row>182</xdr:row>
          <xdr:rowOff>533400</xdr:rowOff>
        </xdr:to>
        <xdr:sp macro="" textlink="">
          <xdr:nvSpPr>
            <xdr:cNvPr id="1115247" name="Group Box 223" hidden="1">
              <a:extLst>
                <a:ext uri="{63B3BB69-23CF-44E3-9099-C40C66FF867C}">
                  <a14:compatExt spid="_x0000_s111524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223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66675</xdr:colOff>
          <xdr:row>181</xdr:row>
          <xdr:rowOff>0</xdr:rowOff>
        </xdr:from>
        <xdr:to>
          <xdr:col>20</xdr:col>
          <xdr:colOff>295275</xdr:colOff>
          <xdr:row>181</xdr:row>
          <xdr:rowOff>171450</xdr:rowOff>
        </xdr:to>
        <xdr:sp macro="" textlink="">
          <xdr:nvSpPr>
            <xdr:cNvPr id="1115248" name="Option Button 224" hidden="1">
              <a:extLst>
                <a:ext uri="{63B3BB69-23CF-44E3-9099-C40C66FF867C}">
                  <a14:compatExt spid="_x0000_s11152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181</xdr:row>
          <xdr:rowOff>0</xdr:rowOff>
        </xdr:from>
        <xdr:to>
          <xdr:col>21</xdr:col>
          <xdr:colOff>295275</xdr:colOff>
          <xdr:row>181</xdr:row>
          <xdr:rowOff>171450</xdr:rowOff>
        </xdr:to>
        <xdr:sp macro="" textlink="">
          <xdr:nvSpPr>
            <xdr:cNvPr id="1115249" name="Option Button 225" hidden="1">
              <a:extLst>
                <a:ext uri="{63B3BB69-23CF-44E3-9099-C40C66FF867C}">
                  <a14:compatExt spid="_x0000_s11152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295275</xdr:colOff>
          <xdr:row>181</xdr:row>
          <xdr:rowOff>171450</xdr:rowOff>
        </xdr:to>
        <xdr:sp macro="" textlink="">
          <xdr:nvSpPr>
            <xdr:cNvPr id="1115250" name="Option Button 226" hidden="1">
              <a:extLst>
                <a:ext uri="{63B3BB69-23CF-44E3-9099-C40C66FF867C}">
                  <a14:compatExt spid="_x0000_s11152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295275</xdr:colOff>
          <xdr:row>181</xdr:row>
          <xdr:rowOff>171450</xdr:rowOff>
        </xdr:to>
        <xdr:sp macro="" textlink="">
          <xdr:nvSpPr>
            <xdr:cNvPr id="1115251" name="Option Button 227" hidden="1">
              <a:extLst>
                <a:ext uri="{63B3BB69-23CF-44E3-9099-C40C66FF867C}">
                  <a14:compatExt spid="_x0000_s11152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276225</xdr:colOff>
          <xdr:row>181</xdr:row>
          <xdr:rowOff>171450</xdr:rowOff>
        </xdr:to>
        <xdr:sp macro="" textlink="">
          <xdr:nvSpPr>
            <xdr:cNvPr id="1115252" name="Option Button 228" hidden="1">
              <a:extLst>
                <a:ext uri="{63B3BB69-23CF-44E3-9099-C40C66FF867C}">
                  <a14:compatExt spid="_x0000_s11152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181</xdr:row>
          <xdr:rowOff>0</xdr:rowOff>
        </xdr:from>
        <xdr:to>
          <xdr:col>23</xdr:col>
          <xdr:colOff>9525</xdr:colOff>
          <xdr:row>182</xdr:row>
          <xdr:rowOff>381000</xdr:rowOff>
        </xdr:to>
        <xdr:sp macro="" textlink="">
          <xdr:nvSpPr>
            <xdr:cNvPr id="1115253" name="Group Box 229" hidden="1">
              <a:extLst>
                <a:ext uri="{63B3BB69-23CF-44E3-9099-C40C66FF867C}">
                  <a14:compatExt spid="_x0000_s1115253"/>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229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66675</xdr:colOff>
          <xdr:row>181</xdr:row>
          <xdr:rowOff>0</xdr:rowOff>
        </xdr:from>
        <xdr:to>
          <xdr:col>20</xdr:col>
          <xdr:colOff>295275</xdr:colOff>
          <xdr:row>181</xdr:row>
          <xdr:rowOff>171450</xdr:rowOff>
        </xdr:to>
        <xdr:sp macro="" textlink="">
          <xdr:nvSpPr>
            <xdr:cNvPr id="1115254" name="Option Button 230" hidden="1">
              <a:extLst>
                <a:ext uri="{63B3BB69-23CF-44E3-9099-C40C66FF867C}">
                  <a14:compatExt spid="_x0000_s11152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181</xdr:row>
          <xdr:rowOff>0</xdr:rowOff>
        </xdr:from>
        <xdr:to>
          <xdr:col>21</xdr:col>
          <xdr:colOff>295275</xdr:colOff>
          <xdr:row>181</xdr:row>
          <xdr:rowOff>171450</xdr:rowOff>
        </xdr:to>
        <xdr:sp macro="" textlink="">
          <xdr:nvSpPr>
            <xdr:cNvPr id="1115255" name="Option Button 231" hidden="1">
              <a:extLst>
                <a:ext uri="{63B3BB69-23CF-44E3-9099-C40C66FF867C}">
                  <a14:compatExt spid="_x0000_s11152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295275</xdr:colOff>
          <xdr:row>181</xdr:row>
          <xdr:rowOff>171450</xdr:rowOff>
        </xdr:to>
        <xdr:sp macro="" textlink="">
          <xdr:nvSpPr>
            <xdr:cNvPr id="1115256" name="Option Button 232" hidden="1">
              <a:extLst>
                <a:ext uri="{63B3BB69-23CF-44E3-9099-C40C66FF867C}">
                  <a14:compatExt spid="_x0000_s11152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295275</xdr:colOff>
          <xdr:row>181</xdr:row>
          <xdr:rowOff>171450</xdr:rowOff>
        </xdr:to>
        <xdr:sp macro="" textlink="">
          <xdr:nvSpPr>
            <xdr:cNvPr id="1115257" name="Option Button 233" hidden="1">
              <a:extLst>
                <a:ext uri="{63B3BB69-23CF-44E3-9099-C40C66FF867C}">
                  <a14:compatExt spid="_x0000_s11152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276225</xdr:colOff>
          <xdr:row>181</xdr:row>
          <xdr:rowOff>171450</xdr:rowOff>
        </xdr:to>
        <xdr:sp macro="" textlink="">
          <xdr:nvSpPr>
            <xdr:cNvPr id="1115258" name="Option Button 234" hidden="1">
              <a:extLst>
                <a:ext uri="{63B3BB69-23CF-44E3-9099-C40C66FF867C}">
                  <a14:compatExt spid="_x0000_s11152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181</xdr:row>
          <xdr:rowOff>0</xdr:rowOff>
        </xdr:from>
        <xdr:to>
          <xdr:col>23</xdr:col>
          <xdr:colOff>9525</xdr:colOff>
          <xdr:row>182</xdr:row>
          <xdr:rowOff>695325</xdr:rowOff>
        </xdr:to>
        <xdr:sp macro="" textlink="">
          <xdr:nvSpPr>
            <xdr:cNvPr id="1115259" name="Group Box 235" hidden="1">
              <a:extLst>
                <a:ext uri="{63B3BB69-23CF-44E3-9099-C40C66FF867C}">
                  <a14:compatExt spid="_x0000_s1115259"/>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66675</xdr:colOff>
          <xdr:row>181</xdr:row>
          <xdr:rowOff>0</xdr:rowOff>
        </xdr:from>
        <xdr:to>
          <xdr:col>20</xdr:col>
          <xdr:colOff>295275</xdr:colOff>
          <xdr:row>181</xdr:row>
          <xdr:rowOff>171450</xdr:rowOff>
        </xdr:to>
        <xdr:sp macro="" textlink="">
          <xdr:nvSpPr>
            <xdr:cNvPr id="1115260" name="Option Button 124" hidden="1">
              <a:extLst>
                <a:ext uri="{63B3BB69-23CF-44E3-9099-C40C66FF867C}">
                  <a14:compatExt spid="_x0000_s11152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181</xdr:row>
          <xdr:rowOff>0</xdr:rowOff>
        </xdr:from>
        <xdr:to>
          <xdr:col>21</xdr:col>
          <xdr:colOff>295275</xdr:colOff>
          <xdr:row>181</xdr:row>
          <xdr:rowOff>171450</xdr:rowOff>
        </xdr:to>
        <xdr:sp macro="" textlink="">
          <xdr:nvSpPr>
            <xdr:cNvPr id="1115261" name="Option Button 237" hidden="1">
              <a:extLst>
                <a:ext uri="{63B3BB69-23CF-44E3-9099-C40C66FF867C}">
                  <a14:compatExt spid="_x0000_s11152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295275</xdr:colOff>
          <xdr:row>181</xdr:row>
          <xdr:rowOff>171450</xdr:rowOff>
        </xdr:to>
        <xdr:sp macro="" textlink="">
          <xdr:nvSpPr>
            <xdr:cNvPr id="1115262" name="Option Button 238" hidden="1">
              <a:extLst>
                <a:ext uri="{63B3BB69-23CF-44E3-9099-C40C66FF867C}">
                  <a14:compatExt spid="_x0000_s11152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295275</xdr:colOff>
          <xdr:row>181</xdr:row>
          <xdr:rowOff>171450</xdr:rowOff>
        </xdr:to>
        <xdr:sp macro="" textlink="">
          <xdr:nvSpPr>
            <xdr:cNvPr id="1115263" name="Option Button 239" hidden="1">
              <a:extLst>
                <a:ext uri="{63B3BB69-23CF-44E3-9099-C40C66FF867C}">
                  <a14:compatExt spid="_x0000_s11152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239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276225</xdr:colOff>
          <xdr:row>181</xdr:row>
          <xdr:rowOff>171450</xdr:rowOff>
        </xdr:to>
        <xdr:sp macro="" textlink="">
          <xdr:nvSpPr>
            <xdr:cNvPr id="1115264" name="Option Button 240" hidden="1">
              <a:extLst>
                <a:ext uri="{63B3BB69-23CF-44E3-9099-C40C66FF867C}">
                  <a14:compatExt spid="_x0000_s11152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181</xdr:row>
          <xdr:rowOff>0</xdr:rowOff>
        </xdr:from>
        <xdr:to>
          <xdr:col>23</xdr:col>
          <xdr:colOff>9525</xdr:colOff>
          <xdr:row>182</xdr:row>
          <xdr:rowOff>752475</xdr:rowOff>
        </xdr:to>
        <xdr:sp macro="" textlink="">
          <xdr:nvSpPr>
            <xdr:cNvPr id="1115265" name="Group Box 241" hidden="1">
              <a:extLst>
                <a:ext uri="{63B3BB69-23CF-44E3-9099-C40C66FF867C}">
                  <a14:compatExt spid="_x0000_s1115265"/>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241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47625</xdr:colOff>
          <xdr:row>181</xdr:row>
          <xdr:rowOff>0</xdr:rowOff>
        </xdr:from>
        <xdr:to>
          <xdr:col>20</xdr:col>
          <xdr:colOff>276225</xdr:colOff>
          <xdr:row>181</xdr:row>
          <xdr:rowOff>171450</xdr:rowOff>
        </xdr:to>
        <xdr:sp macro="" textlink="">
          <xdr:nvSpPr>
            <xdr:cNvPr id="1115266" name="Option Button 130" hidden="1">
              <a:extLst>
                <a:ext uri="{63B3BB69-23CF-44E3-9099-C40C66FF867C}">
                  <a14:compatExt spid="_x0000_s11152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181</xdr:row>
          <xdr:rowOff>0</xdr:rowOff>
        </xdr:from>
        <xdr:to>
          <xdr:col>21</xdr:col>
          <xdr:colOff>266700</xdr:colOff>
          <xdr:row>181</xdr:row>
          <xdr:rowOff>171450</xdr:rowOff>
        </xdr:to>
        <xdr:sp macro="" textlink="">
          <xdr:nvSpPr>
            <xdr:cNvPr id="1115267" name="Option Button 243" hidden="1">
              <a:extLst>
                <a:ext uri="{63B3BB69-23CF-44E3-9099-C40C66FF867C}">
                  <a14:compatExt spid="_x0000_s11152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181</xdr:row>
          <xdr:rowOff>0</xdr:rowOff>
        </xdr:from>
        <xdr:to>
          <xdr:col>22</xdr:col>
          <xdr:colOff>276225</xdr:colOff>
          <xdr:row>181</xdr:row>
          <xdr:rowOff>171450</xdr:rowOff>
        </xdr:to>
        <xdr:sp macro="" textlink="">
          <xdr:nvSpPr>
            <xdr:cNvPr id="1115268" name="Option Button 244" hidden="1">
              <a:extLst>
                <a:ext uri="{63B3BB69-23CF-44E3-9099-C40C66FF867C}">
                  <a14:compatExt spid="_x0000_s11152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295275</xdr:colOff>
          <xdr:row>181</xdr:row>
          <xdr:rowOff>171450</xdr:rowOff>
        </xdr:to>
        <xdr:sp macro="" textlink="">
          <xdr:nvSpPr>
            <xdr:cNvPr id="1115269" name="Option Button 245" hidden="1">
              <a:extLst>
                <a:ext uri="{63B3BB69-23CF-44E3-9099-C40C66FF867C}">
                  <a14:compatExt spid="_x0000_s11152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181</xdr:row>
          <xdr:rowOff>0</xdr:rowOff>
        </xdr:from>
        <xdr:to>
          <xdr:col>24</xdr:col>
          <xdr:colOff>295275</xdr:colOff>
          <xdr:row>181</xdr:row>
          <xdr:rowOff>171450</xdr:rowOff>
        </xdr:to>
        <xdr:sp macro="" textlink="">
          <xdr:nvSpPr>
            <xdr:cNvPr id="1115270" name="Option Button 246" hidden="1">
              <a:extLst>
                <a:ext uri="{63B3BB69-23CF-44E3-9099-C40C66FF867C}">
                  <a14:compatExt spid="_x0000_s11152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181</xdr:row>
          <xdr:rowOff>0</xdr:rowOff>
        </xdr:from>
        <xdr:to>
          <xdr:col>23</xdr:col>
          <xdr:colOff>9525</xdr:colOff>
          <xdr:row>182</xdr:row>
          <xdr:rowOff>381000</xdr:rowOff>
        </xdr:to>
        <xdr:sp macro="" textlink="">
          <xdr:nvSpPr>
            <xdr:cNvPr id="1115271" name="Group Box 247" hidden="1">
              <a:extLst>
                <a:ext uri="{63B3BB69-23CF-44E3-9099-C40C66FF867C}">
                  <a14:compatExt spid="_x0000_s1115271"/>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247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66675</xdr:colOff>
          <xdr:row>181</xdr:row>
          <xdr:rowOff>0</xdr:rowOff>
        </xdr:from>
        <xdr:to>
          <xdr:col>20</xdr:col>
          <xdr:colOff>295275</xdr:colOff>
          <xdr:row>181</xdr:row>
          <xdr:rowOff>171450</xdr:rowOff>
        </xdr:to>
        <xdr:sp macro="" textlink="">
          <xdr:nvSpPr>
            <xdr:cNvPr id="1115272" name="Option Button 136" hidden="1">
              <a:extLst>
                <a:ext uri="{63B3BB69-23CF-44E3-9099-C40C66FF867C}">
                  <a14:compatExt spid="_x0000_s11152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181</xdr:row>
          <xdr:rowOff>0</xdr:rowOff>
        </xdr:from>
        <xdr:to>
          <xdr:col>21</xdr:col>
          <xdr:colOff>295275</xdr:colOff>
          <xdr:row>181</xdr:row>
          <xdr:rowOff>171450</xdr:rowOff>
        </xdr:to>
        <xdr:sp macro="" textlink="">
          <xdr:nvSpPr>
            <xdr:cNvPr id="1115273" name="Option Button 249" hidden="1">
              <a:extLst>
                <a:ext uri="{63B3BB69-23CF-44E3-9099-C40C66FF867C}">
                  <a14:compatExt spid="_x0000_s11152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249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295275</xdr:colOff>
          <xdr:row>181</xdr:row>
          <xdr:rowOff>171450</xdr:rowOff>
        </xdr:to>
        <xdr:sp macro="" textlink="">
          <xdr:nvSpPr>
            <xdr:cNvPr id="1115274" name="Option Button 250" hidden="1">
              <a:extLst>
                <a:ext uri="{63B3BB69-23CF-44E3-9099-C40C66FF867C}">
                  <a14:compatExt spid="_x0000_s11152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295275</xdr:colOff>
          <xdr:row>181</xdr:row>
          <xdr:rowOff>171450</xdr:rowOff>
        </xdr:to>
        <xdr:sp macro="" textlink="">
          <xdr:nvSpPr>
            <xdr:cNvPr id="1115275" name="Option Button 251" hidden="1">
              <a:extLst>
                <a:ext uri="{63B3BB69-23CF-44E3-9099-C40C66FF867C}">
                  <a14:compatExt spid="_x0000_s11152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276225</xdr:colOff>
          <xdr:row>181</xdr:row>
          <xdr:rowOff>171450</xdr:rowOff>
        </xdr:to>
        <xdr:sp macro="" textlink="">
          <xdr:nvSpPr>
            <xdr:cNvPr id="1115276" name="Option Button 252" hidden="1">
              <a:extLst>
                <a:ext uri="{63B3BB69-23CF-44E3-9099-C40C66FF867C}">
                  <a14:compatExt spid="_x0000_s11152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181</xdr:row>
          <xdr:rowOff>0</xdr:rowOff>
        </xdr:from>
        <xdr:to>
          <xdr:col>23</xdr:col>
          <xdr:colOff>9525</xdr:colOff>
          <xdr:row>182</xdr:row>
          <xdr:rowOff>381000</xdr:rowOff>
        </xdr:to>
        <xdr:sp macro="" textlink="">
          <xdr:nvSpPr>
            <xdr:cNvPr id="1115277" name="Group Box 253" hidden="1">
              <a:extLst>
                <a:ext uri="{63B3BB69-23CF-44E3-9099-C40C66FF867C}">
                  <a14:compatExt spid="_x0000_s111527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253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66675</xdr:colOff>
          <xdr:row>181</xdr:row>
          <xdr:rowOff>0</xdr:rowOff>
        </xdr:from>
        <xdr:to>
          <xdr:col>20</xdr:col>
          <xdr:colOff>295275</xdr:colOff>
          <xdr:row>181</xdr:row>
          <xdr:rowOff>171450</xdr:rowOff>
        </xdr:to>
        <xdr:sp macro="" textlink="">
          <xdr:nvSpPr>
            <xdr:cNvPr id="1115278" name="Option Button 142" hidden="1">
              <a:extLst>
                <a:ext uri="{63B3BB69-23CF-44E3-9099-C40C66FF867C}">
                  <a14:compatExt spid="_x0000_s11152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181</xdr:row>
          <xdr:rowOff>0</xdr:rowOff>
        </xdr:from>
        <xdr:to>
          <xdr:col>21</xdr:col>
          <xdr:colOff>295275</xdr:colOff>
          <xdr:row>181</xdr:row>
          <xdr:rowOff>171450</xdr:rowOff>
        </xdr:to>
        <xdr:sp macro="" textlink="">
          <xdr:nvSpPr>
            <xdr:cNvPr id="1115279" name="Option Button 255" hidden="1">
              <a:extLst>
                <a:ext uri="{63B3BB69-23CF-44E3-9099-C40C66FF867C}">
                  <a14:compatExt spid="_x0000_s11152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181</xdr:row>
          <xdr:rowOff>0</xdr:rowOff>
        </xdr:from>
        <xdr:to>
          <xdr:col>22</xdr:col>
          <xdr:colOff>295275</xdr:colOff>
          <xdr:row>181</xdr:row>
          <xdr:rowOff>171450</xdr:rowOff>
        </xdr:to>
        <xdr:sp macro="" textlink="">
          <xdr:nvSpPr>
            <xdr:cNvPr id="1115280" name="Option Button 256" hidden="1">
              <a:extLst>
                <a:ext uri="{63B3BB69-23CF-44E3-9099-C40C66FF867C}">
                  <a14:compatExt spid="_x0000_s11152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xdr:colOff>
          <xdr:row>181</xdr:row>
          <xdr:rowOff>0</xdr:rowOff>
        </xdr:from>
        <xdr:to>
          <xdr:col>23</xdr:col>
          <xdr:colOff>295275</xdr:colOff>
          <xdr:row>181</xdr:row>
          <xdr:rowOff>171450</xdr:rowOff>
        </xdr:to>
        <xdr:sp macro="" textlink="">
          <xdr:nvSpPr>
            <xdr:cNvPr id="1115281" name="Option Button 257" hidden="1">
              <a:extLst>
                <a:ext uri="{63B3BB69-23CF-44E3-9099-C40C66FF867C}">
                  <a14:compatExt spid="_x0000_s11152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276225</xdr:colOff>
          <xdr:row>181</xdr:row>
          <xdr:rowOff>171450</xdr:rowOff>
        </xdr:to>
        <xdr:sp macro="" textlink="">
          <xdr:nvSpPr>
            <xdr:cNvPr id="1115282" name="Option Button 258" hidden="1">
              <a:extLst>
                <a:ext uri="{63B3BB69-23CF-44E3-9099-C40C66FF867C}">
                  <a14:compatExt spid="_x0000_s11152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181</xdr:row>
          <xdr:rowOff>0</xdr:rowOff>
        </xdr:from>
        <xdr:to>
          <xdr:col>24</xdr:col>
          <xdr:colOff>276225</xdr:colOff>
          <xdr:row>181</xdr:row>
          <xdr:rowOff>171450</xdr:rowOff>
        </xdr:to>
        <xdr:sp macro="" textlink="">
          <xdr:nvSpPr>
            <xdr:cNvPr id="1115283" name="Option Button 259" hidden="1">
              <a:extLst>
                <a:ext uri="{63B3BB69-23CF-44E3-9099-C40C66FF867C}">
                  <a14:compatExt spid="_x0000_s11152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Option Button 259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xdr:row>
          <xdr:rowOff>0</xdr:rowOff>
        </xdr:from>
        <xdr:to>
          <xdr:col>2</xdr:col>
          <xdr:colOff>9525</xdr:colOff>
          <xdr:row>4</xdr:row>
          <xdr:rowOff>9525</xdr:rowOff>
        </xdr:to>
        <xdr:sp macro="" textlink="">
          <xdr:nvSpPr>
            <xdr:cNvPr id="1115284" name="Check Box 148" hidden="1">
              <a:extLst>
                <a:ext uri="{63B3BB69-23CF-44E3-9099-C40C66FF867C}">
                  <a14:compatExt spid="_x0000_s1115284"/>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Users\HP\Downloads\FORM%20KREDIT%20MIDDLE%20JAMKRINDO\PAP%20MIDDLE%20-%20FI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Users\TAMJID~1\AppData\Local\Temp\Copy%20of%20ICR%20UD%20Jems%20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ser\Desktop\Users\LPDB-KUMKM\Downloads\FORMAT%20ICR-KSP-USP%20(konvensional)%20KSP%20Balo%20Toraj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ser\Desktop\LPDB-KUMKM\PAP%20KSP%2011%20Juli%20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user\Desktop\LPDB-KUMKM\Kertas%20Kerja%20Analisa\ICR%20BPR%20Mentari%20Tera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P"/>
      <sheetName val="CALL MEMO"/>
      <sheetName val="FID"/>
      <sheetName val="FKS"/>
      <sheetName val="FAK"/>
      <sheetName val="FRN"/>
      <sheetName val="MAP"/>
      <sheetName val="Sheet1"/>
      <sheetName val="MRP"/>
      <sheetName val="FIA"/>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Mitra"/>
      <sheetName val="Keuangan"/>
      <sheetName val="Utk ngetes"/>
      <sheetName val="Score ICR"/>
      <sheetName val="Score1"/>
      <sheetName val="Memo"/>
      <sheetName val="MKP-1A"/>
      <sheetName val="MKP-1B"/>
      <sheetName val="Investasi-Non Divers"/>
      <sheetName val="Investasi-Divers"/>
      <sheetName val="MK-Non Divers"/>
      <sheetName val="MK-Divers"/>
      <sheetName val="Kelayakan Usaha-NonDivers "/>
      <sheetName val="Kelayakan usaha-Divers"/>
      <sheetName val="Sensitifitas NonDivers"/>
      <sheetName val="Sheet2"/>
      <sheetName val="Dir. Mitra"/>
      <sheetName val="Sensitifitas Divers"/>
      <sheetName val="Terbilang"/>
      <sheetName val="Sheet1"/>
    </sheetNames>
    <sheetDataSet>
      <sheetData sheetId="0" refreshError="1">
        <row r="11">
          <cell r="D11" t="str">
            <v>UKM</v>
          </cell>
          <cell r="G11" t="str">
            <v>Koperasi</v>
          </cell>
        </row>
        <row r="12">
          <cell r="G12" t="str">
            <v>UKM</v>
          </cell>
        </row>
        <row r="13">
          <cell r="G13" t="str">
            <v>UKM Strategis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mum"/>
      <sheetName val="Neraca RL"/>
      <sheetName val="Financial Highlight"/>
      <sheetName val="desk&amp;interview"/>
      <sheetName val="informasi mitra"/>
      <sheetName val="rasio optional"/>
      <sheetName val="PYD lancar"/>
      <sheetName val="DER"/>
      <sheetName val="kriteria"/>
      <sheetName val="kelembagaan"/>
      <sheetName val="organisasi"/>
      <sheetName val="keuangan"/>
      <sheetName val="sa-pran"/>
      <sheetName val="struktur"/>
      <sheetName val="print"/>
      <sheetName val="resume desk 1"/>
      <sheetName val="resume desk 2"/>
      <sheetName val="print out"/>
      <sheetName val="Total Asset"/>
      <sheetName val="mendez"/>
      <sheetName val="memo"/>
      <sheetName val="Lb1-InfoDeb"/>
      <sheetName val="Lb2-Jaminan&amp;Group"/>
      <sheetName val="DM"/>
      <sheetName val="Number To Text"/>
      <sheetName val="Number To Text (2)"/>
      <sheetName val="Angs 1bln (3 thn)"/>
      <sheetName val="Angs 3 bln (3 thn)"/>
    </sheetNames>
    <sheetDataSet>
      <sheetData sheetId="0">
        <row r="8">
          <cell r="D8">
            <v>10341</v>
          </cell>
        </row>
      </sheetData>
      <sheetData sheetId="1">
        <row r="25">
          <cell r="E25">
            <v>265175417694.85999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5">
          <cell r="F115">
            <v>20000000000</v>
          </cell>
        </row>
      </sheetData>
      <sheetData sheetId="21"/>
      <sheetData sheetId="22"/>
      <sheetData sheetId="23"/>
      <sheetData sheetId="24"/>
      <sheetData sheetId="25"/>
      <sheetData sheetId="26"/>
      <sheetData sheetId="2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P 00 (Permenkop 15)"/>
      <sheetName val="PAP 00 (Sampling EndUser)"/>
      <sheetName val="PAP 00 (Keuangan)"/>
      <sheetName val="PAP 00 (Kelembagaan )"/>
      <sheetName val="CEKLIST 001 (DOKUMEN)"/>
      <sheetName val="CEKLIST 003 (LAPORAN KEUANGAN)"/>
      <sheetName val="FIP(PAP-01)"/>
      <sheetName val="FAK(PAP-02)"/>
      <sheetName val="FKS(PAP-03)"/>
      <sheetName val="CallMemo(Fin)"/>
      <sheetName val="MPP(PAP-04)"/>
      <sheetName val="FRT(PAP-05)"/>
      <sheetName val="BATA"/>
      <sheetName val="CEKLIST 002 (BIO DATA) (2)"/>
      <sheetName val="Lembar Input I Keuangan"/>
      <sheetName val="Rasio"/>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1">
          <cell r="H21">
            <v>0</v>
          </cell>
          <cell r="J21">
            <v>0</v>
          </cell>
          <cell r="L21">
            <v>0</v>
          </cell>
          <cell r="N21">
            <v>0</v>
          </cell>
        </row>
        <row r="32">
          <cell r="E32">
            <v>12</v>
          </cell>
        </row>
        <row r="33">
          <cell r="D33">
            <v>31</v>
          </cell>
          <cell r="E33">
            <v>12</v>
          </cell>
          <cell r="F33">
            <v>2015</v>
          </cell>
        </row>
        <row r="34">
          <cell r="D34">
            <v>31</v>
          </cell>
          <cell r="E34">
            <v>12</v>
          </cell>
          <cell r="F34">
            <v>2014</v>
          </cell>
        </row>
        <row r="35">
          <cell r="D35">
            <v>31</v>
          </cell>
          <cell r="E35">
            <v>12</v>
          </cell>
          <cell r="F35">
            <v>0</v>
          </cell>
        </row>
        <row r="44">
          <cell r="K44">
            <v>734510600</v>
          </cell>
          <cell r="M44">
            <v>149093500</v>
          </cell>
          <cell r="O44">
            <v>552437900</v>
          </cell>
          <cell r="Q44">
            <v>0</v>
          </cell>
        </row>
        <row r="45">
          <cell r="Q45">
            <v>0</v>
          </cell>
        </row>
        <row r="46">
          <cell r="K46">
            <v>31668403193</v>
          </cell>
          <cell r="M46">
            <v>28297813199</v>
          </cell>
          <cell r="O46">
            <v>28132510196</v>
          </cell>
          <cell r="Q46">
            <v>0</v>
          </cell>
        </row>
        <row r="47">
          <cell r="K47">
            <v>3009221781</v>
          </cell>
          <cell r="M47">
            <v>4070141828</v>
          </cell>
          <cell r="O47">
            <v>4261547249</v>
          </cell>
          <cell r="Q47">
            <v>0</v>
          </cell>
        </row>
        <row r="48">
          <cell r="K48">
            <v>21534806451</v>
          </cell>
          <cell r="M48">
            <v>13714946484</v>
          </cell>
          <cell r="O48">
            <v>9435530702</v>
          </cell>
          <cell r="Q48">
            <v>0</v>
          </cell>
        </row>
        <row r="49">
          <cell r="K49">
            <v>3580000000</v>
          </cell>
          <cell r="M49">
            <v>7080000000</v>
          </cell>
          <cell r="O49">
            <v>11480000000</v>
          </cell>
          <cell r="Q49">
            <v>0</v>
          </cell>
        </row>
        <row r="51">
          <cell r="K51">
            <v>-125574032</v>
          </cell>
          <cell r="M51">
            <v>-103974731</v>
          </cell>
          <cell r="O51">
            <v>-104577653</v>
          </cell>
        </row>
        <row r="52">
          <cell r="K52">
            <v>264472018771</v>
          </cell>
          <cell r="M52">
            <v>221157167636</v>
          </cell>
          <cell r="O52">
            <v>181853347422</v>
          </cell>
          <cell r="Q52">
            <v>0</v>
          </cell>
        </row>
        <row r="54">
          <cell r="Q54">
            <v>0</v>
          </cell>
        </row>
        <row r="55">
          <cell r="Q55">
            <v>0</v>
          </cell>
        </row>
        <row r="57">
          <cell r="Q57">
            <v>0</v>
          </cell>
        </row>
        <row r="65">
          <cell r="K65">
            <v>295470667395</v>
          </cell>
          <cell r="M65">
            <v>247879852740</v>
          </cell>
          <cell r="O65">
            <v>209529582353</v>
          </cell>
          <cell r="Q65">
            <v>0</v>
          </cell>
          <cell r="R65">
            <v>0</v>
          </cell>
        </row>
        <row r="68">
          <cell r="Q68">
            <v>0</v>
          </cell>
        </row>
        <row r="70">
          <cell r="K70">
            <v>137494894487</v>
          </cell>
          <cell r="M70">
            <v>106852697616</v>
          </cell>
          <cell r="O70">
            <v>88422308404</v>
          </cell>
          <cell r="Q70">
            <v>0</v>
          </cell>
        </row>
        <row r="71">
          <cell r="Q71">
            <v>0</v>
          </cell>
        </row>
        <row r="72">
          <cell r="Q72">
            <v>0</v>
          </cell>
        </row>
        <row r="73">
          <cell r="Q73">
            <v>0</v>
          </cell>
        </row>
        <row r="74">
          <cell r="K74">
            <v>15507191781</v>
          </cell>
          <cell r="M74">
            <v>0</v>
          </cell>
          <cell r="O74">
            <v>0</v>
          </cell>
          <cell r="Q74">
            <v>0</v>
          </cell>
        </row>
        <row r="75">
          <cell r="K75">
            <v>0</v>
          </cell>
          <cell r="M75">
            <v>0</v>
          </cell>
          <cell r="O75">
            <v>0</v>
          </cell>
          <cell r="Q75">
            <v>0</v>
          </cell>
        </row>
        <row r="76">
          <cell r="K76">
            <v>0</v>
          </cell>
          <cell r="M76">
            <v>0</v>
          </cell>
          <cell r="O76">
            <v>0</v>
          </cell>
          <cell r="Q76">
            <v>0</v>
          </cell>
        </row>
        <row r="77">
          <cell r="Q77">
            <v>0</v>
          </cell>
        </row>
        <row r="78">
          <cell r="K78">
            <v>43196990164</v>
          </cell>
          <cell r="M78">
            <v>61698842763</v>
          </cell>
          <cell r="O78">
            <v>58211111149</v>
          </cell>
          <cell r="Q78">
            <v>0</v>
          </cell>
        </row>
        <row r="79">
          <cell r="Q79">
            <v>0</v>
          </cell>
        </row>
        <row r="80">
          <cell r="Q80">
            <v>0</v>
          </cell>
        </row>
        <row r="81">
          <cell r="Q81">
            <v>0</v>
          </cell>
        </row>
        <row r="82">
          <cell r="Q82">
            <v>0</v>
          </cell>
        </row>
        <row r="83">
          <cell r="K83">
            <v>81580740255</v>
          </cell>
          <cell r="M83">
            <v>64025294756</v>
          </cell>
          <cell r="O83">
            <v>51529185225</v>
          </cell>
          <cell r="Q83">
            <v>0</v>
          </cell>
          <cell r="R83">
            <v>0</v>
          </cell>
        </row>
        <row r="84">
          <cell r="Q84">
            <v>0</v>
          </cell>
        </row>
        <row r="85">
          <cell r="Q85">
            <v>0</v>
          </cell>
        </row>
        <row r="89">
          <cell r="Q89">
            <v>0</v>
          </cell>
        </row>
        <row r="100">
          <cell r="Q100">
            <v>0</v>
          </cell>
        </row>
        <row r="115">
          <cell r="K115">
            <v>0</v>
          </cell>
          <cell r="M115">
            <v>0</v>
          </cell>
          <cell r="O115">
            <v>0</v>
          </cell>
          <cell r="Q115">
            <v>0</v>
          </cell>
        </row>
        <row r="129">
          <cell r="Q129">
            <v>0</v>
          </cell>
        </row>
        <row r="137">
          <cell r="Q137">
            <v>0</v>
          </cell>
        </row>
        <row r="142">
          <cell r="K142">
            <v>0</v>
          </cell>
          <cell r="M142">
            <v>0</v>
          </cell>
          <cell r="O142">
            <v>0</v>
          </cell>
          <cell r="Q142">
            <v>0</v>
          </cell>
        </row>
        <row r="143">
          <cell r="K143">
            <v>0</v>
          </cell>
          <cell r="M143">
            <v>0</v>
          </cell>
          <cell r="O143">
            <v>0</v>
          </cell>
          <cell r="Q143">
            <v>0</v>
          </cell>
        </row>
        <row r="144">
          <cell r="K144">
            <v>0</v>
          </cell>
          <cell r="M144">
            <v>0</v>
          </cell>
          <cell r="O144">
            <v>0</v>
          </cell>
          <cell r="Q144">
            <v>0</v>
          </cell>
        </row>
        <row r="148">
          <cell r="K148">
            <v>0</v>
          </cell>
          <cell r="M148">
            <v>0</v>
          </cell>
          <cell r="O148">
            <v>0</v>
          </cell>
          <cell r="Q148">
            <v>0</v>
          </cell>
        </row>
        <row r="149">
          <cell r="K149">
            <v>0</v>
          </cell>
          <cell r="M149">
            <v>0</v>
          </cell>
          <cell r="O149">
            <v>0</v>
          </cell>
          <cell r="Q149">
            <v>0</v>
          </cell>
        </row>
        <row r="150">
          <cell r="K150">
            <v>0</v>
          </cell>
          <cell r="M150">
            <v>0</v>
          </cell>
          <cell r="O150">
            <v>0</v>
          </cell>
          <cell r="Q150">
            <v>0</v>
          </cell>
        </row>
        <row r="153">
          <cell r="Q153">
            <v>0</v>
          </cell>
        </row>
        <row r="170">
          <cell r="Q170">
            <v>0</v>
          </cell>
        </row>
        <row r="178">
          <cell r="Q178">
            <v>0</v>
          </cell>
        </row>
      </sheetData>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embar Input I Keuangan"/>
      <sheetName val="Lembar INPUT II (Asumsi)"/>
      <sheetName val="Limited DD"/>
      <sheetName val="proforma"/>
      <sheetName val="PPAP"/>
      <sheetName val="KPMM"/>
      <sheetName val="Rasio"/>
      <sheetName val="alat bantu (2)"/>
      <sheetName val="Sheet1"/>
    </sheetNames>
    <sheetDataSet>
      <sheetData sheetId="0"/>
      <sheetData sheetId="1">
        <row r="35">
          <cell r="D35">
            <v>31</v>
          </cell>
          <cell r="E35">
            <v>12</v>
          </cell>
          <cell r="F35">
            <v>0</v>
          </cell>
        </row>
        <row r="44">
          <cell r="Q44">
            <v>0</v>
          </cell>
        </row>
        <row r="45">
          <cell r="K45">
            <v>0</v>
          </cell>
          <cell r="M45">
            <v>0</v>
          </cell>
          <cell r="O45">
            <v>0</v>
          </cell>
          <cell r="Q45">
            <v>0</v>
          </cell>
        </row>
        <row r="46">
          <cell r="Q46">
            <v>0</v>
          </cell>
        </row>
        <row r="52">
          <cell r="Q52">
            <v>0</v>
          </cell>
        </row>
        <row r="53">
          <cell r="Q53">
            <v>0</v>
          </cell>
        </row>
        <row r="54">
          <cell r="Q54">
            <v>0</v>
          </cell>
        </row>
        <row r="55">
          <cell r="Q55">
            <v>0</v>
          </cell>
        </row>
        <row r="56">
          <cell r="Q56">
            <v>0</v>
          </cell>
        </row>
        <row r="57">
          <cell r="K57">
            <v>3344617142</v>
          </cell>
          <cell r="M57">
            <v>3264416952</v>
          </cell>
          <cell r="O57">
            <v>2417634395</v>
          </cell>
          <cell r="Q57">
            <v>0</v>
          </cell>
        </row>
        <row r="59">
          <cell r="Q59">
            <v>0</v>
          </cell>
        </row>
        <row r="60">
          <cell r="Q60">
            <v>0</v>
          </cell>
        </row>
        <row r="61">
          <cell r="Q61">
            <v>0</v>
          </cell>
        </row>
        <row r="62">
          <cell r="Q62">
            <v>0</v>
          </cell>
        </row>
        <row r="63">
          <cell r="Q63">
            <v>0</v>
          </cell>
        </row>
        <row r="81">
          <cell r="K81">
            <v>0</v>
          </cell>
          <cell r="M81">
            <v>0</v>
          </cell>
          <cell r="O81">
            <v>0</v>
          </cell>
          <cell r="Q81">
            <v>0</v>
          </cell>
        </row>
        <row r="84">
          <cell r="Q84">
            <v>0</v>
          </cell>
        </row>
        <row r="85">
          <cell r="Q85">
            <v>0</v>
          </cell>
        </row>
        <row r="86">
          <cell r="M86">
            <v>0</v>
          </cell>
          <cell r="Q86">
            <v>0</v>
          </cell>
        </row>
        <row r="87">
          <cell r="Q87">
            <v>0</v>
          </cell>
        </row>
        <row r="88">
          <cell r="Q88">
            <v>0</v>
          </cell>
        </row>
        <row r="89">
          <cell r="M89">
            <v>0</v>
          </cell>
          <cell r="O89">
            <v>0</v>
          </cell>
          <cell r="Q89">
            <v>0</v>
          </cell>
        </row>
        <row r="90">
          <cell r="M90">
            <v>0</v>
          </cell>
          <cell r="O90">
            <v>0</v>
          </cell>
          <cell r="Q90">
            <v>0</v>
          </cell>
        </row>
        <row r="92">
          <cell r="Q92">
            <v>0</v>
          </cell>
        </row>
        <row r="93">
          <cell r="Q93">
            <v>0</v>
          </cell>
        </row>
        <row r="94">
          <cell r="Q94">
            <v>0</v>
          </cell>
        </row>
        <row r="95">
          <cell r="Q95">
            <v>0</v>
          </cell>
        </row>
        <row r="96">
          <cell r="Q96">
            <v>0</v>
          </cell>
        </row>
        <row r="97">
          <cell r="Q97">
            <v>0</v>
          </cell>
        </row>
        <row r="98">
          <cell r="M98">
            <v>0</v>
          </cell>
          <cell r="O98">
            <v>0</v>
          </cell>
          <cell r="Q98">
            <v>0</v>
          </cell>
        </row>
      </sheetData>
      <sheetData sheetId="2"/>
      <sheetData sheetId="3"/>
      <sheetData sheetId="4"/>
      <sheetData sheetId="5">
        <row r="34">
          <cell r="I34">
            <v>0</v>
          </cell>
        </row>
        <row r="65">
          <cell r="I65">
            <v>0</v>
          </cell>
        </row>
      </sheetData>
      <sheetData sheetId="6"/>
      <sheetData sheetId="7">
        <row r="4">
          <cell r="D4">
            <v>0.94083947544027102</v>
          </cell>
        </row>
        <row r="8">
          <cell r="D8">
            <v>-0.17946365467864295</v>
          </cell>
        </row>
        <row r="12">
          <cell r="D12">
            <v>0.16289214450873712</v>
          </cell>
        </row>
        <row r="16">
          <cell r="D16">
            <v>1.9492773298805336E-2</v>
          </cell>
          <cell r="F16">
            <v>1.4943761064557762E-2</v>
          </cell>
          <cell r="H16">
            <v>1.6083093678119342E-2</v>
          </cell>
        </row>
        <row r="20">
          <cell r="D20">
            <v>0.11099218807228906</v>
          </cell>
        </row>
        <row r="24">
          <cell r="D24">
            <v>0.41418381535795529</v>
          </cell>
        </row>
        <row r="28">
          <cell r="D28">
            <v>0.54683665129793169</v>
          </cell>
        </row>
        <row r="33">
          <cell r="D33">
            <v>2.6218189056808772</v>
          </cell>
        </row>
        <row r="37">
          <cell r="D37">
            <v>2.6252344742618035</v>
          </cell>
        </row>
        <row r="41">
          <cell r="D41">
            <v>0.27002273449484077</v>
          </cell>
        </row>
        <row r="49">
          <cell r="D49">
            <v>1.7112776285280313</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s>
</file>

<file path=xl/worksheets/_rels/sheet11.xml.rels><?xml version="1.0" encoding="UTF-8" standalone="yes"?>
<Relationships xmlns="http://schemas.openxmlformats.org/package/2006/relationships"><Relationship Id="rId13" Type="http://schemas.openxmlformats.org/officeDocument/2006/relationships/ctrlProp" Target="../ctrlProps/ctrlProp47.xml"/><Relationship Id="rId18" Type="http://schemas.openxmlformats.org/officeDocument/2006/relationships/ctrlProp" Target="../ctrlProps/ctrlProp52.xml"/><Relationship Id="rId26" Type="http://schemas.openxmlformats.org/officeDocument/2006/relationships/ctrlProp" Target="../ctrlProps/ctrlProp60.xml"/><Relationship Id="rId39" Type="http://schemas.openxmlformats.org/officeDocument/2006/relationships/ctrlProp" Target="../ctrlProps/ctrlProp73.xml"/><Relationship Id="rId21" Type="http://schemas.openxmlformats.org/officeDocument/2006/relationships/ctrlProp" Target="../ctrlProps/ctrlProp55.xml"/><Relationship Id="rId34" Type="http://schemas.openxmlformats.org/officeDocument/2006/relationships/ctrlProp" Target="../ctrlProps/ctrlProp68.xml"/><Relationship Id="rId42" Type="http://schemas.openxmlformats.org/officeDocument/2006/relationships/ctrlProp" Target="../ctrlProps/ctrlProp76.xml"/><Relationship Id="rId47" Type="http://schemas.openxmlformats.org/officeDocument/2006/relationships/ctrlProp" Target="../ctrlProps/ctrlProp81.xml"/><Relationship Id="rId50" Type="http://schemas.openxmlformats.org/officeDocument/2006/relationships/ctrlProp" Target="../ctrlProps/ctrlProp84.xml"/><Relationship Id="rId55" Type="http://schemas.openxmlformats.org/officeDocument/2006/relationships/ctrlProp" Target="../ctrlProps/ctrlProp89.xml"/><Relationship Id="rId63" Type="http://schemas.openxmlformats.org/officeDocument/2006/relationships/ctrlProp" Target="../ctrlProps/ctrlProp97.xml"/><Relationship Id="rId7" Type="http://schemas.openxmlformats.org/officeDocument/2006/relationships/ctrlProp" Target="../ctrlProps/ctrlProp41.xml"/><Relationship Id="rId2" Type="http://schemas.openxmlformats.org/officeDocument/2006/relationships/drawing" Target="../drawings/drawing3.xml"/><Relationship Id="rId16" Type="http://schemas.openxmlformats.org/officeDocument/2006/relationships/ctrlProp" Target="../ctrlProps/ctrlProp50.xml"/><Relationship Id="rId20" Type="http://schemas.openxmlformats.org/officeDocument/2006/relationships/ctrlProp" Target="../ctrlProps/ctrlProp54.xml"/><Relationship Id="rId29" Type="http://schemas.openxmlformats.org/officeDocument/2006/relationships/ctrlProp" Target="../ctrlProps/ctrlProp63.xml"/><Relationship Id="rId41" Type="http://schemas.openxmlformats.org/officeDocument/2006/relationships/ctrlProp" Target="../ctrlProps/ctrlProp75.xml"/><Relationship Id="rId54" Type="http://schemas.openxmlformats.org/officeDocument/2006/relationships/ctrlProp" Target="../ctrlProps/ctrlProp88.xml"/><Relationship Id="rId62" Type="http://schemas.openxmlformats.org/officeDocument/2006/relationships/ctrlProp" Target="../ctrlProps/ctrlProp96.xml"/><Relationship Id="rId1" Type="http://schemas.openxmlformats.org/officeDocument/2006/relationships/printerSettings" Target="../printerSettings/printerSettings9.bin"/><Relationship Id="rId6" Type="http://schemas.openxmlformats.org/officeDocument/2006/relationships/ctrlProp" Target="../ctrlProps/ctrlProp40.xml"/><Relationship Id="rId11" Type="http://schemas.openxmlformats.org/officeDocument/2006/relationships/ctrlProp" Target="../ctrlProps/ctrlProp45.xml"/><Relationship Id="rId24" Type="http://schemas.openxmlformats.org/officeDocument/2006/relationships/ctrlProp" Target="../ctrlProps/ctrlProp58.xml"/><Relationship Id="rId32" Type="http://schemas.openxmlformats.org/officeDocument/2006/relationships/ctrlProp" Target="../ctrlProps/ctrlProp66.xml"/><Relationship Id="rId37" Type="http://schemas.openxmlformats.org/officeDocument/2006/relationships/ctrlProp" Target="../ctrlProps/ctrlProp71.xml"/><Relationship Id="rId40" Type="http://schemas.openxmlformats.org/officeDocument/2006/relationships/ctrlProp" Target="../ctrlProps/ctrlProp74.xml"/><Relationship Id="rId45" Type="http://schemas.openxmlformats.org/officeDocument/2006/relationships/ctrlProp" Target="../ctrlProps/ctrlProp79.xml"/><Relationship Id="rId53" Type="http://schemas.openxmlformats.org/officeDocument/2006/relationships/ctrlProp" Target="../ctrlProps/ctrlProp87.xml"/><Relationship Id="rId58" Type="http://schemas.openxmlformats.org/officeDocument/2006/relationships/ctrlProp" Target="../ctrlProps/ctrlProp92.xml"/><Relationship Id="rId5" Type="http://schemas.openxmlformats.org/officeDocument/2006/relationships/ctrlProp" Target="../ctrlProps/ctrlProp39.xml"/><Relationship Id="rId15" Type="http://schemas.openxmlformats.org/officeDocument/2006/relationships/ctrlProp" Target="../ctrlProps/ctrlProp49.xml"/><Relationship Id="rId23" Type="http://schemas.openxmlformats.org/officeDocument/2006/relationships/ctrlProp" Target="../ctrlProps/ctrlProp57.xml"/><Relationship Id="rId28" Type="http://schemas.openxmlformats.org/officeDocument/2006/relationships/ctrlProp" Target="../ctrlProps/ctrlProp62.xml"/><Relationship Id="rId36" Type="http://schemas.openxmlformats.org/officeDocument/2006/relationships/ctrlProp" Target="../ctrlProps/ctrlProp70.xml"/><Relationship Id="rId49" Type="http://schemas.openxmlformats.org/officeDocument/2006/relationships/ctrlProp" Target="../ctrlProps/ctrlProp83.xml"/><Relationship Id="rId57" Type="http://schemas.openxmlformats.org/officeDocument/2006/relationships/ctrlProp" Target="../ctrlProps/ctrlProp91.xml"/><Relationship Id="rId61" Type="http://schemas.openxmlformats.org/officeDocument/2006/relationships/ctrlProp" Target="../ctrlProps/ctrlProp95.xml"/><Relationship Id="rId10" Type="http://schemas.openxmlformats.org/officeDocument/2006/relationships/ctrlProp" Target="../ctrlProps/ctrlProp44.xml"/><Relationship Id="rId19" Type="http://schemas.openxmlformats.org/officeDocument/2006/relationships/ctrlProp" Target="../ctrlProps/ctrlProp53.xml"/><Relationship Id="rId31" Type="http://schemas.openxmlformats.org/officeDocument/2006/relationships/ctrlProp" Target="../ctrlProps/ctrlProp65.xml"/><Relationship Id="rId44" Type="http://schemas.openxmlformats.org/officeDocument/2006/relationships/ctrlProp" Target="../ctrlProps/ctrlProp78.xml"/><Relationship Id="rId52" Type="http://schemas.openxmlformats.org/officeDocument/2006/relationships/ctrlProp" Target="../ctrlProps/ctrlProp86.xml"/><Relationship Id="rId60" Type="http://schemas.openxmlformats.org/officeDocument/2006/relationships/ctrlProp" Target="../ctrlProps/ctrlProp94.xml"/><Relationship Id="rId4" Type="http://schemas.openxmlformats.org/officeDocument/2006/relationships/ctrlProp" Target="../ctrlProps/ctrlProp38.xml"/><Relationship Id="rId9" Type="http://schemas.openxmlformats.org/officeDocument/2006/relationships/ctrlProp" Target="../ctrlProps/ctrlProp43.xml"/><Relationship Id="rId14" Type="http://schemas.openxmlformats.org/officeDocument/2006/relationships/ctrlProp" Target="../ctrlProps/ctrlProp48.xml"/><Relationship Id="rId22" Type="http://schemas.openxmlformats.org/officeDocument/2006/relationships/ctrlProp" Target="../ctrlProps/ctrlProp56.xml"/><Relationship Id="rId27" Type="http://schemas.openxmlformats.org/officeDocument/2006/relationships/ctrlProp" Target="../ctrlProps/ctrlProp61.xml"/><Relationship Id="rId30" Type="http://schemas.openxmlformats.org/officeDocument/2006/relationships/ctrlProp" Target="../ctrlProps/ctrlProp64.xml"/><Relationship Id="rId35" Type="http://schemas.openxmlformats.org/officeDocument/2006/relationships/ctrlProp" Target="../ctrlProps/ctrlProp69.xml"/><Relationship Id="rId43" Type="http://schemas.openxmlformats.org/officeDocument/2006/relationships/ctrlProp" Target="../ctrlProps/ctrlProp77.xml"/><Relationship Id="rId48" Type="http://schemas.openxmlformats.org/officeDocument/2006/relationships/ctrlProp" Target="../ctrlProps/ctrlProp82.xml"/><Relationship Id="rId56" Type="http://schemas.openxmlformats.org/officeDocument/2006/relationships/ctrlProp" Target="../ctrlProps/ctrlProp90.xml"/><Relationship Id="rId64" Type="http://schemas.openxmlformats.org/officeDocument/2006/relationships/ctrlProp" Target="../ctrlProps/ctrlProp98.xml"/><Relationship Id="rId8" Type="http://schemas.openxmlformats.org/officeDocument/2006/relationships/ctrlProp" Target="../ctrlProps/ctrlProp42.xml"/><Relationship Id="rId51" Type="http://schemas.openxmlformats.org/officeDocument/2006/relationships/ctrlProp" Target="../ctrlProps/ctrlProp85.xml"/><Relationship Id="rId3" Type="http://schemas.openxmlformats.org/officeDocument/2006/relationships/vmlDrawing" Target="../drawings/vmlDrawing2.vml"/><Relationship Id="rId12" Type="http://schemas.openxmlformats.org/officeDocument/2006/relationships/ctrlProp" Target="../ctrlProps/ctrlProp46.xml"/><Relationship Id="rId17" Type="http://schemas.openxmlformats.org/officeDocument/2006/relationships/ctrlProp" Target="../ctrlProps/ctrlProp51.xml"/><Relationship Id="rId25" Type="http://schemas.openxmlformats.org/officeDocument/2006/relationships/ctrlProp" Target="../ctrlProps/ctrlProp59.xml"/><Relationship Id="rId33" Type="http://schemas.openxmlformats.org/officeDocument/2006/relationships/ctrlProp" Target="../ctrlProps/ctrlProp67.xml"/><Relationship Id="rId38" Type="http://schemas.openxmlformats.org/officeDocument/2006/relationships/ctrlProp" Target="../ctrlProps/ctrlProp72.xml"/><Relationship Id="rId46" Type="http://schemas.openxmlformats.org/officeDocument/2006/relationships/ctrlProp" Target="../ctrlProps/ctrlProp80.xml"/><Relationship Id="rId59" Type="http://schemas.openxmlformats.org/officeDocument/2006/relationships/ctrlProp" Target="../ctrlProps/ctrlProp93.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03.xml"/><Relationship Id="rId13" Type="http://schemas.openxmlformats.org/officeDocument/2006/relationships/ctrlProp" Target="../ctrlProps/ctrlProp108.xml"/><Relationship Id="rId18" Type="http://schemas.openxmlformats.org/officeDocument/2006/relationships/ctrlProp" Target="../ctrlProps/ctrlProp113.xml"/><Relationship Id="rId26" Type="http://schemas.openxmlformats.org/officeDocument/2006/relationships/ctrlProp" Target="../ctrlProps/ctrlProp121.xml"/><Relationship Id="rId3" Type="http://schemas.openxmlformats.org/officeDocument/2006/relationships/vmlDrawing" Target="../drawings/vmlDrawing3.vml"/><Relationship Id="rId21" Type="http://schemas.openxmlformats.org/officeDocument/2006/relationships/ctrlProp" Target="../ctrlProps/ctrlProp116.xml"/><Relationship Id="rId7" Type="http://schemas.openxmlformats.org/officeDocument/2006/relationships/ctrlProp" Target="../ctrlProps/ctrlProp102.xml"/><Relationship Id="rId12" Type="http://schemas.openxmlformats.org/officeDocument/2006/relationships/ctrlProp" Target="../ctrlProps/ctrlProp107.xml"/><Relationship Id="rId17" Type="http://schemas.openxmlformats.org/officeDocument/2006/relationships/ctrlProp" Target="../ctrlProps/ctrlProp112.xml"/><Relationship Id="rId25" Type="http://schemas.openxmlformats.org/officeDocument/2006/relationships/ctrlProp" Target="../ctrlProps/ctrlProp120.xml"/><Relationship Id="rId2" Type="http://schemas.openxmlformats.org/officeDocument/2006/relationships/drawing" Target="../drawings/drawing4.xml"/><Relationship Id="rId16" Type="http://schemas.openxmlformats.org/officeDocument/2006/relationships/ctrlProp" Target="../ctrlProps/ctrlProp111.xml"/><Relationship Id="rId20" Type="http://schemas.openxmlformats.org/officeDocument/2006/relationships/ctrlProp" Target="../ctrlProps/ctrlProp115.xml"/><Relationship Id="rId1" Type="http://schemas.openxmlformats.org/officeDocument/2006/relationships/printerSettings" Target="../printerSettings/printerSettings10.bin"/><Relationship Id="rId6" Type="http://schemas.openxmlformats.org/officeDocument/2006/relationships/ctrlProp" Target="../ctrlProps/ctrlProp101.xml"/><Relationship Id="rId11" Type="http://schemas.openxmlformats.org/officeDocument/2006/relationships/ctrlProp" Target="../ctrlProps/ctrlProp106.xml"/><Relationship Id="rId24" Type="http://schemas.openxmlformats.org/officeDocument/2006/relationships/ctrlProp" Target="../ctrlProps/ctrlProp119.xml"/><Relationship Id="rId5" Type="http://schemas.openxmlformats.org/officeDocument/2006/relationships/ctrlProp" Target="../ctrlProps/ctrlProp100.xml"/><Relationship Id="rId15" Type="http://schemas.openxmlformats.org/officeDocument/2006/relationships/ctrlProp" Target="../ctrlProps/ctrlProp110.xml"/><Relationship Id="rId23" Type="http://schemas.openxmlformats.org/officeDocument/2006/relationships/ctrlProp" Target="../ctrlProps/ctrlProp118.xml"/><Relationship Id="rId10" Type="http://schemas.openxmlformats.org/officeDocument/2006/relationships/ctrlProp" Target="../ctrlProps/ctrlProp105.xml"/><Relationship Id="rId19" Type="http://schemas.openxmlformats.org/officeDocument/2006/relationships/ctrlProp" Target="../ctrlProps/ctrlProp114.xml"/><Relationship Id="rId4" Type="http://schemas.openxmlformats.org/officeDocument/2006/relationships/ctrlProp" Target="../ctrlProps/ctrlProp99.xml"/><Relationship Id="rId9" Type="http://schemas.openxmlformats.org/officeDocument/2006/relationships/ctrlProp" Target="../ctrlProps/ctrlProp104.xml"/><Relationship Id="rId14" Type="http://schemas.openxmlformats.org/officeDocument/2006/relationships/ctrlProp" Target="../ctrlProps/ctrlProp109.xml"/><Relationship Id="rId22" Type="http://schemas.openxmlformats.org/officeDocument/2006/relationships/ctrlProp" Target="../ctrlProps/ctrlProp117.xml"/><Relationship Id="rId27" Type="http://schemas.openxmlformats.org/officeDocument/2006/relationships/ctrlProp" Target="../ctrlProps/ctrlProp122.xml"/></Relationships>
</file>

<file path=xl/worksheets/_rels/sheet13.xml.rels><?xml version="1.0" encoding="UTF-8" standalone="yes"?>
<Relationships xmlns="http://schemas.openxmlformats.org/package/2006/relationships"><Relationship Id="rId117" Type="http://schemas.openxmlformats.org/officeDocument/2006/relationships/ctrlProp" Target="../ctrlProps/ctrlProp236.xml"/><Relationship Id="rId21" Type="http://schemas.openxmlformats.org/officeDocument/2006/relationships/ctrlProp" Target="../ctrlProps/ctrlProp140.xml"/><Relationship Id="rId42" Type="http://schemas.openxmlformats.org/officeDocument/2006/relationships/ctrlProp" Target="../ctrlProps/ctrlProp161.xml"/><Relationship Id="rId63" Type="http://schemas.openxmlformats.org/officeDocument/2006/relationships/ctrlProp" Target="../ctrlProps/ctrlProp182.xml"/><Relationship Id="rId84" Type="http://schemas.openxmlformats.org/officeDocument/2006/relationships/ctrlProp" Target="../ctrlProps/ctrlProp203.xml"/><Relationship Id="rId138" Type="http://schemas.openxmlformats.org/officeDocument/2006/relationships/ctrlProp" Target="../ctrlProps/ctrlProp257.xml"/><Relationship Id="rId159" Type="http://schemas.openxmlformats.org/officeDocument/2006/relationships/ctrlProp" Target="../ctrlProps/ctrlProp278.xml"/><Relationship Id="rId170" Type="http://schemas.openxmlformats.org/officeDocument/2006/relationships/ctrlProp" Target="../ctrlProps/ctrlProp289.xml"/><Relationship Id="rId191" Type="http://schemas.openxmlformats.org/officeDocument/2006/relationships/ctrlProp" Target="../ctrlProps/ctrlProp310.xml"/><Relationship Id="rId205" Type="http://schemas.openxmlformats.org/officeDocument/2006/relationships/ctrlProp" Target="../ctrlProps/ctrlProp324.xml"/><Relationship Id="rId226" Type="http://schemas.openxmlformats.org/officeDocument/2006/relationships/ctrlProp" Target="../ctrlProps/ctrlProp345.xml"/><Relationship Id="rId247" Type="http://schemas.openxmlformats.org/officeDocument/2006/relationships/ctrlProp" Target="../ctrlProps/ctrlProp366.xml"/><Relationship Id="rId107" Type="http://schemas.openxmlformats.org/officeDocument/2006/relationships/ctrlProp" Target="../ctrlProps/ctrlProp226.xml"/><Relationship Id="rId11" Type="http://schemas.openxmlformats.org/officeDocument/2006/relationships/ctrlProp" Target="../ctrlProps/ctrlProp130.xml"/><Relationship Id="rId32" Type="http://schemas.openxmlformats.org/officeDocument/2006/relationships/ctrlProp" Target="../ctrlProps/ctrlProp151.xml"/><Relationship Id="rId53" Type="http://schemas.openxmlformats.org/officeDocument/2006/relationships/ctrlProp" Target="../ctrlProps/ctrlProp172.xml"/><Relationship Id="rId74" Type="http://schemas.openxmlformats.org/officeDocument/2006/relationships/ctrlProp" Target="../ctrlProps/ctrlProp193.xml"/><Relationship Id="rId128" Type="http://schemas.openxmlformats.org/officeDocument/2006/relationships/ctrlProp" Target="../ctrlProps/ctrlProp247.xml"/><Relationship Id="rId149" Type="http://schemas.openxmlformats.org/officeDocument/2006/relationships/ctrlProp" Target="../ctrlProps/ctrlProp268.xml"/><Relationship Id="rId5" Type="http://schemas.openxmlformats.org/officeDocument/2006/relationships/ctrlProp" Target="../ctrlProps/ctrlProp124.xml"/><Relationship Id="rId95" Type="http://schemas.openxmlformats.org/officeDocument/2006/relationships/ctrlProp" Target="../ctrlProps/ctrlProp214.xml"/><Relationship Id="rId160" Type="http://schemas.openxmlformats.org/officeDocument/2006/relationships/ctrlProp" Target="../ctrlProps/ctrlProp279.xml"/><Relationship Id="rId181" Type="http://schemas.openxmlformats.org/officeDocument/2006/relationships/ctrlProp" Target="../ctrlProps/ctrlProp300.xml"/><Relationship Id="rId216" Type="http://schemas.openxmlformats.org/officeDocument/2006/relationships/ctrlProp" Target="../ctrlProps/ctrlProp335.xml"/><Relationship Id="rId237" Type="http://schemas.openxmlformats.org/officeDocument/2006/relationships/ctrlProp" Target="../ctrlProps/ctrlProp356.xml"/><Relationship Id="rId22" Type="http://schemas.openxmlformats.org/officeDocument/2006/relationships/ctrlProp" Target="../ctrlProps/ctrlProp141.xml"/><Relationship Id="rId43" Type="http://schemas.openxmlformats.org/officeDocument/2006/relationships/ctrlProp" Target="../ctrlProps/ctrlProp162.xml"/><Relationship Id="rId64" Type="http://schemas.openxmlformats.org/officeDocument/2006/relationships/ctrlProp" Target="../ctrlProps/ctrlProp183.xml"/><Relationship Id="rId118" Type="http://schemas.openxmlformats.org/officeDocument/2006/relationships/ctrlProp" Target="../ctrlProps/ctrlProp237.xml"/><Relationship Id="rId139" Type="http://schemas.openxmlformats.org/officeDocument/2006/relationships/ctrlProp" Target="../ctrlProps/ctrlProp258.xml"/><Relationship Id="rId85" Type="http://schemas.openxmlformats.org/officeDocument/2006/relationships/ctrlProp" Target="../ctrlProps/ctrlProp204.xml"/><Relationship Id="rId150" Type="http://schemas.openxmlformats.org/officeDocument/2006/relationships/ctrlProp" Target="../ctrlProps/ctrlProp269.xml"/><Relationship Id="rId171" Type="http://schemas.openxmlformats.org/officeDocument/2006/relationships/ctrlProp" Target="../ctrlProps/ctrlProp290.xml"/><Relationship Id="rId192" Type="http://schemas.openxmlformats.org/officeDocument/2006/relationships/ctrlProp" Target="../ctrlProps/ctrlProp311.xml"/><Relationship Id="rId206" Type="http://schemas.openxmlformats.org/officeDocument/2006/relationships/ctrlProp" Target="../ctrlProps/ctrlProp325.xml"/><Relationship Id="rId227" Type="http://schemas.openxmlformats.org/officeDocument/2006/relationships/ctrlProp" Target="../ctrlProps/ctrlProp346.xml"/><Relationship Id="rId248" Type="http://schemas.openxmlformats.org/officeDocument/2006/relationships/ctrlProp" Target="../ctrlProps/ctrlProp367.xml"/><Relationship Id="rId12" Type="http://schemas.openxmlformats.org/officeDocument/2006/relationships/ctrlProp" Target="../ctrlProps/ctrlProp131.xml"/><Relationship Id="rId33" Type="http://schemas.openxmlformats.org/officeDocument/2006/relationships/ctrlProp" Target="../ctrlProps/ctrlProp152.xml"/><Relationship Id="rId108" Type="http://schemas.openxmlformats.org/officeDocument/2006/relationships/ctrlProp" Target="../ctrlProps/ctrlProp227.xml"/><Relationship Id="rId129" Type="http://schemas.openxmlformats.org/officeDocument/2006/relationships/ctrlProp" Target="../ctrlProps/ctrlProp248.xml"/><Relationship Id="rId54" Type="http://schemas.openxmlformats.org/officeDocument/2006/relationships/ctrlProp" Target="../ctrlProps/ctrlProp173.xml"/><Relationship Id="rId70" Type="http://schemas.openxmlformats.org/officeDocument/2006/relationships/ctrlProp" Target="../ctrlProps/ctrlProp189.xml"/><Relationship Id="rId75" Type="http://schemas.openxmlformats.org/officeDocument/2006/relationships/ctrlProp" Target="../ctrlProps/ctrlProp194.xml"/><Relationship Id="rId91" Type="http://schemas.openxmlformats.org/officeDocument/2006/relationships/ctrlProp" Target="../ctrlProps/ctrlProp210.xml"/><Relationship Id="rId96" Type="http://schemas.openxmlformats.org/officeDocument/2006/relationships/ctrlProp" Target="../ctrlProps/ctrlProp215.xml"/><Relationship Id="rId140" Type="http://schemas.openxmlformats.org/officeDocument/2006/relationships/ctrlProp" Target="../ctrlProps/ctrlProp259.xml"/><Relationship Id="rId145" Type="http://schemas.openxmlformats.org/officeDocument/2006/relationships/ctrlProp" Target="../ctrlProps/ctrlProp264.xml"/><Relationship Id="rId161" Type="http://schemas.openxmlformats.org/officeDocument/2006/relationships/ctrlProp" Target="../ctrlProps/ctrlProp280.xml"/><Relationship Id="rId166" Type="http://schemas.openxmlformats.org/officeDocument/2006/relationships/ctrlProp" Target="../ctrlProps/ctrlProp285.xml"/><Relationship Id="rId182" Type="http://schemas.openxmlformats.org/officeDocument/2006/relationships/ctrlProp" Target="../ctrlProps/ctrlProp301.xml"/><Relationship Id="rId187" Type="http://schemas.openxmlformats.org/officeDocument/2006/relationships/ctrlProp" Target="../ctrlProps/ctrlProp306.xml"/><Relationship Id="rId217" Type="http://schemas.openxmlformats.org/officeDocument/2006/relationships/ctrlProp" Target="../ctrlProps/ctrlProp336.xml"/><Relationship Id="rId1" Type="http://schemas.openxmlformats.org/officeDocument/2006/relationships/printerSettings" Target="../printerSettings/printerSettings11.bin"/><Relationship Id="rId6" Type="http://schemas.openxmlformats.org/officeDocument/2006/relationships/ctrlProp" Target="../ctrlProps/ctrlProp125.xml"/><Relationship Id="rId212" Type="http://schemas.openxmlformats.org/officeDocument/2006/relationships/ctrlProp" Target="../ctrlProps/ctrlProp331.xml"/><Relationship Id="rId233" Type="http://schemas.openxmlformats.org/officeDocument/2006/relationships/ctrlProp" Target="../ctrlProps/ctrlProp352.xml"/><Relationship Id="rId238" Type="http://schemas.openxmlformats.org/officeDocument/2006/relationships/ctrlProp" Target="../ctrlProps/ctrlProp357.xml"/><Relationship Id="rId254" Type="http://schemas.openxmlformats.org/officeDocument/2006/relationships/ctrlProp" Target="../ctrlProps/ctrlProp373.xml"/><Relationship Id="rId23" Type="http://schemas.openxmlformats.org/officeDocument/2006/relationships/ctrlProp" Target="../ctrlProps/ctrlProp142.xml"/><Relationship Id="rId28" Type="http://schemas.openxmlformats.org/officeDocument/2006/relationships/ctrlProp" Target="../ctrlProps/ctrlProp147.xml"/><Relationship Id="rId49" Type="http://schemas.openxmlformats.org/officeDocument/2006/relationships/ctrlProp" Target="../ctrlProps/ctrlProp168.xml"/><Relationship Id="rId114" Type="http://schemas.openxmlformats.org/officeDocument/2006/relationships/ctrlProp" Target="../ctrlProps/ctrlProp233.xml"/><Relationship Id="rId119" Type="http://schemas.openxmlformats.org/officeDocument/2006/relationships/ctrlProp" Target="../ctrlProps/ctrlProp238.xml"/><Relationship Id="rId44" Type="http://schemas.openxmlformats.org/officeDocument/2006/relationships/ctrlProp" Target="../ctrlProps/ctrlProp163.xml"/><Relationship Id="rId60" Type="http://schemas.openxmlformats.org/officeDocument/2006/relationships/ctrlProp" Target="../ctrlProps/ctrlProp179.xml"/><Relationship Id="rId65" Type="http://schemas.openxmlformats.org/officeDocument/2006/relationships/ctrlProp" Target="../ctrlProps/ctrlProp184.xml"/><Relationship Id="rId81" Type="http://schemas.openxmlformats.org/officeDocument/2006/relationships/ctrlProp" Target="../ctrlProps/ctrlProp200.xml"/><Relationship Id="rId86" Type="http://schemas.openxmlformats.org/officeDocument/2006/relationships/ctrlProp" Target="../ctrlProps/ctrlProp205.xml"/><Relationship Id="rId130" Type="http://schemas.openxmlformats.org/officeDocument/2006/relationships/ctrlProp" Target="../ctrlProps/ctrlProp249.xml"/><Relationship Id="rId135" Type="http://schemas.openxmlformats.org/officeDocument/2006/relationships/ctrlProp" Target="../ctrlProps/ctrlProp254.xml"/><Relationship Id="rId151" Type="http://schemas.openxmlformats.org/officeDocument/2006/relationships/ctrlProp" Target="../ctrlProps/ctrlProp270.xml"/><Relationship Id="rId156" Type="http://schemas.openxmlformats.org/officeDocument/2006/relationships/ctrlProp" Target="../ctrlProps/ctrlProp275.xml"/><Relationship Id="rId177" Type="http://schemas.openxmlformats.org/officeDocument/2006/relationships/ctrlProp" Target="../ctrlProps/ctrlProp296.xml"/><Relationship Id="rId198" Type="http://schemas.openxmlformats.org/officeDocument/2006/relationships/ctrlProp" Target="../ctrlProps/ctrlProp317.xml"/><Relationship Id="rId172" Type="http://schemas.openxmlformats.org/officeDocument/2006/relationships/ctrlProp" Target="../ctrlProps/ctrlProp291.xml"/><Relationship Id="rId193" Type="http://schemas.openxmlformats.org/officeDocument/2006/relationships/ctrlProp" Target="../ctrlProps/ctrlProp312.xml"/><Relationship Id="rId202" Type="http://schemas.openxmlformats.org/officeDocument/2006/relationships/ctrlProp" Target="../ctrlProps/ctrlProp321.xml"/><Relationship Id="rId207" Type="http://schemas.openxmlformats.org/officeDocument/2006/relationships/ctrlProp" Target="../ctrlProps/ctrlProp326.xml"/><Relationship Id="rId223" Type="http://schemas.openxmlformats.org/officeDocument/2006/relationships/ctrlProp" Target="../ctrlProps/ctrlProp342.xml"/><Relationship Id="rId228" Type="http://schemas.openxmlformats.org/officeDocument/2006/relationships/ctrlProp" Target="../ctrlProps/ctrlProp347.xml"/><Relationship Id="rId244" Type="http://schemas.openxmlformats.org/officeDocument/2006/relationships/ctrlProp" Target="../ctrlProps/ctrlProp363.xml"/><Relationship Id="rId249" Type="http://schemas.openxmlformats.org/officeDocument/2006/relationships/ctrlProp" Target="../ctrlProps/ctrlProp368.xml"/><Relationship Id="rId13" Type="http://schemas.openxmlformats.org/officeDocument/2006/relationships/ctrlProp" Target="../ctrlProps/ctrlProp132.xml"/><Relationship Id="rId18" Type="http://schemas.openxmlformats.org/officeDocument/2006/relationships/ctrlProp" Target="../ctrlProps/ctrlProp137.xml"/><Relationship Id="rId39" Type="http://schemas.openxmlformats.org/officeDocument/2006/relationships/ctrlProp" Target="../ctrlProps/ctrlProp158.xml"/><Relationship Id="rId109" Type="http://schemas.openxmlformats.org/officeDocument/2006/relationships/ctrlProp" Target="../ctrlProps/ctrlProp228.xml"/><Relationship Id="rId34" Type="http://schemas.openxmlformats.org/officeDocument/2006/relationships/ctrlProp" Target="../ctrlProps/ctrlProp153.xml"/><Relationship Id="rId50" Type="http://schemas.openxmlformats.org/officeDocument/2006/relationships/ctrlProp" Target="../ctrlProps/ctrlProp169.xml"/><Relationship Id="rId55" Type="http://schemas.openxmlformats.org/officeDocument/2006/relationships/ctrlProp" Target="../ctrlProps/ctrlProp174.xml"/><Relationship Id="rId76" Type="http://schemas.openxmlformats.org/officeDocument/2006/relationships/ctrlProp" Target="../ctrlProps/ctrlProp195.xml"/><Relationship Id="rId97" Type="http://schemas.openxmlformats.org/officeDocument/2006/relationships/ctrlProp" Target="../ctrlProps/ctrlProp216.xml"/><Relationship Id="rId104" Type="http://schemas.openxmlformats.org/officeDocument/2006/relationships/ctrlProp" Target="../ctrlProps/ctrlProp223.xml"/><Relationship Id="rId120" Type="http://schemas.openxmlformats.org/officeDocument/2006/relationships/ctrlProp" Target="../ctrlProps/ctrlProp239.xml"/><Relationship Id="rId125" Type="http://schemas.openxmlformats.org/officeDocument/2006/relationships/ctrlProp" Target="../ctrlProps/ctrlProp244.xml"/><Relationship Id="rId141" Type="http://schemas.openxmlformats.org/officeDocument/2006/relationships/ctrlProp" Target="../ctrlProps/ctrlProp260.xml"/><Relationship Id="rId146" Type="http://schemas.openxmlformats.org/officeDocument/2006/relationships/ctrlProp" Target="../ctrlProps/ctrlProp265.xml"/><Relationship Id="rId167" Type="http://schemas.openxmlformats.org/officeDocument/2006/relationships/ctrlProp" Target="../ctrlProps/ctrlProp286.xml"/><Relationship Id="rId188" Type="http://schemas.openxmlformats.org/officeDocument/2006/relationships/ctrlProp" Target="../ctrlProps/ctrlProp307.xml"/><Relationship Id="rId7" Type="http://schemas.openxmlformats.org/officeDocument/2006/relationships/ctrlProp" Target="../ctrlProps/ctrlProp126.xml"/><Relationship Id="rId71" Type="http://schemas.openxmlformats.org/officeDocument/2006/relationships/ctrlProp" Target="../ctrlProps/ctrlProp190.xml"/><Relationship Id="rId92" Type="http://schemas.openxmlformats.org/officeDocument/2006/relationships/ctrlProp" Target="../ctrlProps/ctrlProp211.xml"/><Relationship Id="rId162" Type="http://schemas.openxmlformats.org/officeDocument/2006/relationships/ctrlProp" Target="../ctrlProps/ctrlProp281.xml"/><Relationship Id="rId183" Type="http://schemas.openxmlformats.org/officeDocument/2006/relationships/ctrlProp" Target="../ctrlProps/ctrlProp302.xml"/><Relationship Id="rId213" Type="http://schemas.openxmlformats.org/officeDocument/2006/relationships/ctrlProp" Target="../ctrlProps/ctrlProp332.xml"/><Relationship Id="rId218" Type="http://schemas.openxmlformats.org/officeDocument/2006/relationships/ctrlProp" Target="../ctrlProps/ctrlProp337.xml"/><Relationship Id="rId234" Type="http://schemas.openxmlformats.org/officeDocument/2006/relationships/ctrlProp" Target="../ctrlProps/ctrlProp353.xml"/><Relationship Id="rId239" Type="http://schemas.openxmlformats.org/officeDocument/2006/relationships/ctrlProp" Target="../ctrlProps/ctrlProp358.xml"/><Relationship Id="rId2" Type="http://schemas.openxmlformats.org/officeDocument/2006/relationships/drawing" Target="../drawings/drawing5.xml"/><Relationship Id="rId29" Type="http://schemas.openxmlformats.org/officeDocument/2006/relationships/ctrlProp" Target="../ctrlProps/ctrlProp148.xml"/><Relationship Id="rId250" Type="http://schemas.openxmlformats.org/officeDocument/2006/relationships/ctrlProp" Target="../ctrlProps/ctrlProp369.xml"/><Relationship Id="rId255" Type="http://schemas.openxmlformats.org/officeDocument/2006/relationships/ctrlProp" Target="../ctrlProps/ctrlProp374.xml"/><Relationship Id="rId24" Type="http://schemas.openxmlformats.org/officeDocument/2006/relationships/ctrlProp" Target="../ctrlProps/ctrlProp143.xml"/><Relationship Id="rId40" Type="http://schemas.openxmlformats.org/officeDocument/2006/relationships/ctrlProp" Target="../ctrlProps/ctrlProp159.xml"/><Relationship Id="rId45" Type="http://schemas.openxmlformats.org/officeDocument/2006/relationships/ctrlProp" Target="../ctrlProps/ctrlProp164.xml"/><Relationship Id="rId66" Type="http://schemas.openxmlformats.org/officeDocument/2006/relationships/ctrlProp" Target="../ctrlProps/ctrlProp185.xml"/><Relationship Id="rId87" Type="http://schemas.openxmlformats.org/officeDocument/2006/relationships/ctrlProp" Target="../ctrlProps/ctrlProp206.xml"/><Relationship Id="rId110" Type="http://schemas.openxmlformats.org/officeDocument/2006/relationships/ctrlProp" Target="../ctrlProps/ctrlProp229.xml"/><Relationship Id="rId115" Type="http://schemas.openxmlformats.org/officeDocument/2006/relationships/ctrlProp" Target="../ctrlProps/ctrlProp234.xml"/><Relationship Id="rId131" Type="http://schemas.openxmlformats.org/officeDocument/2006/relationships/ctrlProp" Target="../ctrlProps/ctrlProp250.xml"/><Relationship Id="rId136" Type="http://schemas.openxmlformats.org/officeDocument/2006/relationships/ctrlProp" Target="../ctrlProps/ctrlProp255.xml"/><Relationship Id="rId157" Type="http://schemas.openxmlformats.org/officeDocument/2006/relationships/ctrlProp" Target="../ctrlProps/ctrlProp276.xml"/><Relationship Id="rId178" Type="http://schemas.openxmlformats.org/officeDocument/2006/relationships/ctrlProp" Target="../ctrlProps/ctrlProp297.xml"/><Relationship Id="rId61" Type="http://schemas.openxmlformats.org/officeDocument/2006/relationships/ctrlProp" Target="../ctrlProps/ctrlProp180.xml"/><Relationship Id="rId82" Type="http://schemas.openxmlformats.org/officeDocument/2006/relationships/ctrlProp" Target="../ctrlProps/ctrlProp201.xml"/><Relationship Id="rId152" Type="http://schemas.openxmlformats.org/officeDocument/2006/relationships/ctrlProp" Target="../ctrlProps/ctrlProp271.xml"/><Relationship Id="rId173" Type="http://schemas.openxmlformats.org/officeDocument/2006/relationships/ctrlProp" Target="../ctrlProps/ctrlProp292.xml"/><Relationship Id="rId194" Type="http://schemas.openxmlformats.org/officeDocument/2006/relationships/ctrlProp" Target="../ctrlProps/ctrlProp313.xml"/><Relationship Id="rId199" Type="http://schemas.openxmlformats.org/officeDocument/2006/relationships/ctrlProp" Target="../ctrlProps/ctrlProp318.xml"/><Relationship Id="rId203" Type="http://schemas.openxmlformats.org/officeDocument/2006/relationships/ctrlProp" Target="../ctrlProps/ctrlProp322.xml"/><Relationship Id="rId208" Type="http://schemas.openxmlformats.org/officeDocument/2006/relationships/ctrlProp" Target="../ctrlProps/ctrlProp327.xml"/><Relationship Id="rId229" Type="http://schemas.openxmlformats.org/officeDocument/2006/relationships/ctrlProp" Target="../ctrlProps/ctrlProp348.xml"/><Relationship Id="rId19" Type="http://schemas.openxmlformats.org/officeDocument/2006/relationships/ctrlProp" Target="../ctrlProps/ctrlProp138.xml"/><Relationship Id="rId224" Type="http://schemas.openxmlformats.org/officeDocument/2006/relationships/ctrlProp" Target="../ctrlProps/ctrlProp343.xml"/><Relationship Id="rId240" Type="http://schemas.openxmlformats.org/officeDocument/2006/relationships/ctrlProp" Target="../ctrlProps/ctrlProp359.xml"/><Relationship Id="rId245" Type="http://schemas.openxmlformats.org/officeDocument/2006/relationships/ctrlProp" Target="../ctrlProps/ctrlProp364.xml"/><Relationship Id="rId14" Type="http://schemas.openxmlformats.org/officeDocument/2006/relationships/ctrlProp" Target="../ctrlProps/ctrlProp133.xml"/><Relationship Id="rId30" Type="http://schemas.openxmlformats.org/officeDocument/2006/relationships/ctrlProp" Target="../ctrlProps/ctrlProp149.xml"/><Relationship Id="rId35" Type="http://schemas.openxmlformats.org/officeDocument/2006/relationships/ctrlProp" Target="../ctrlProps/ctrlProp154.xml"/><Relationship Id="rId56" Type="http://schemas.openxmlformats.org/officeDocument/2006/relationships/ctrlProp" Target="../ctrlProps/ctrlProp175.xml"/><Relationship Id="rId77" Type="http://schemas.openxmlformats.org/officeDocument/2006/relationships/ctrlProp" Target="../ctrlProps/ctrlProp196.xml"/><Relationship Id="rId100" Type="http://schemas.openxmlformats.org/officeDocument/2006/relationships/ctrlProp" Target="../ctrlProps/ctrlProp219.xml"/><Relationship Id="rId105" Type="http://schemas.openxmlformats.org/officeDocument/2006/relationships/ctrlProp" Target="../ctrlProps/ctrlProp224.xml"/><Relationship Id="rId126" Type="http://schemas.openxmlformats.org/officeDocument/2006/relationships/ctrlProp" Target="../ctrlProps/ctrlProp245.xml"/><Relationship Id="rId147" Type="http://schemas.openxmlformats.org/officeDocument/2006/relationships/ctrlProp" Target="../ctrlProps/ctrlProp266.xml"/><Relationship Id="rId168" Type="http://schemas.openxmlformats.org/officeDocument/2006/relationships/ctrlProp" Target="../ctrlProps/ctrlProp287.xml"/><Relationship Id="rId8" Type="http://schemas.openxmlformats.org/officeDocument/2006/relationships/ctrlProp" Target="../ctrlProps/ctrlProp127.xml"/><Relationship Id="rId51" Type="http://schemas.openxmlformats.org/officeDocument/2006/relationships/ctrlProp" Target="../ctrlProps/ctrlProp170.xml"/><Relationship Id="rId72" Type="http://schemas.openxmlformats.org/officeDocument/2006/relationships/ctrlProp" Target="../ctrlProps/ctrlProp191.xml"/><Relationship Id="rId93" Type="http://schemas.openxmlformats.org/officeDocument/2006/relationships/ctrlProp" Target="../ctrlProps/ctrlProp212.xml"/><Relationship Id="rId98" Type="http://schemas.openxmlformats.org/officeDocument/2006/relationships/ctrlProp" Target="../ctrlProps/ctrlProp217.xml"/><Relationship Id="rId121" Type="http://schemas.openxmlformats.org/officeDocument/2006/relationships/ctrlProp" Target="../ctrlProps/ctrlProp240.xml"/><Relationship Id="rId142" Type="http://schemas.openxmlformats.org/officeDocument/2006/relationships/ctrlProp" Target="../ctrlProps/ctrlProp261.xml"/><Relationship Id="rId163" Type="http://schemas.openxmlformats.org/officeDocument/2006/relationships/ctrlProp" Target="../ctrlProps/ctrlProp282.xml"/><Relationship Id="rId184" Type="http://schemas.openxmlformats.org/officeDocument/2006/relationships/ctrlProp" Target="../ctrlProps/ctrlProp303.xml"/><Relationship Id="rId189" Type="http://schemas.openxmlformats.org/officeDocument/2006/relationships/ctrlProp" Target="../ctrlProps/ctrlProp308.xml"/><Relationship Id="rId219" Type="http://schemas.openxmlformats.org/officeDocument/2006/relationships/ctrlProp" Target="../ctrlProps/ctrlProp338.xml"/><Relationship Id="rId3" Type="http://schemas.openxmlformats.org/officeDocument/2006/relationships/vmlDrawing" Target="../drawings/vmlDrawing4.vml"/><Relationship Id="rId214" Type="http://schemas.openxmlformats.org/officeDocument/2006/relationships/ctrlProp" Target="../ctrlProps/ctrlProp333.xml"/><Relationship Id="rId230" Type="http://schemas.openxmlformats.org/officeDocument/2006/relationships/ctrlProp" Target="../ctrlProps/ctrlProp349.xml"/><Relationship Id="rId235" Type="http://schemas.openxmlformats.org/officeDocument/2006/relationships/ctrlProp" Target="../ctrlProps/ctrlProp354.xml"/><Relationship Id="rId251" Type="http://schemas.openxmlformats.org/officeDocument/2006/relationships/ctrlProp" Target="../ctrlProps/ctrlProp370.xml"/><Relationship Id="rId25" Type="http://schemas.openxmlformats.org/officeDocument/2006/relationships/ctrlProp" Target="../ctrlProps/ctrlProp144.xml"/><Relationship Id="rId46" Type="http://schemas.openxmlformats.org/officeDocument/2006/relationships/ctrlProp" Target="../ctrlProps/ctrlProp165.xml"/><Relationship Id="rId67" Type="http://schemas.openxmlformats.org/officeDocument/2006/relationships/ctrlProp" Target="../ctrlProps/ctrlProp186.xml"/><Relationship Id="rId116" Type="http://schemas.openxmlformats.org/officeDocument/2006/relationships/ctrlProp" Target="../ctrlProps/ctrlProp235.xml"/><Relationship Id="rId137" Type="http://schemas.openxmlformats.org/officeDocument/2006/relationships/ctrlProp" Target="../ctrlProps/ctrlProp256.xml"/><Relationship Id="rId158" Type="http://schemas.openxmlformats.org/officeDocument/2006/relationships/ctrlProp" Target="../ctrlProps/ctrlProp277.xml"/><Relationship Id="rId20" Type="http://schemas.openxmlformats.org/officeDocument/2006/relationships/ctrlProp" Target="../ctrlProps/ctrlProp139.xml"/><Relationship Id="rId41" Type="http://schemas.openxmlformats.org/officeDocument/2006/relationships/ctrlProp" Target="../ctrlProps/ctrlProp160.xml"/><Relationship Id="rId62" Type="http://schemas.openxmlformats.org/officeDocument/2006/relationships/ctrlProp" Target="../ctrlProps/ctrlProp181.xml"/><Relationship Id="rId83" Type="http://schemas.openxmlformats.org/officeDocument/2006/relationships/ctrlProp" Target="../ctrlProps/ctrlProp202.xml"/><Relationship Id="rId88" Type="http://schemas.openxmlformats.org/officeDocument/2006/relationships/ctrlProp" Target="../ctrlProps/ctrlProp207.xml"/><Relationship Id="rId111" Type="http://schemas.openxmlformats.org/officeDocument/2006/relationships/ctrlProp" Target="../ctrlProps/ctrlProp230.xml"/><Relationship Id="rId132" Type="http://schemas.openxmlformats.org/officeDocument/2006/relationships/ctrlProp" Target="../ctrlProps/ctrlProp251.xml"/><Relationship Id="rId153" Type="http://schemas.openxmlformats.org/officeDocument/2006/relationships/ctrlProp" Target="../ctrlProps/ctrlProp272.xml"/><Relationship Id="rId174" Type="http://schemas.openxmlformats.org/officeDocument/2006/relationships/ctrlProp" Target="../ctrlProps/ctrlProp293.xml"/><Relationship Id="rId179" Type="http://schemas.openxmlformats.org/officeDocument/2006/relationships/ctrlProp" Target="../ctrlProps/ctrlProp298.xml"/><Relationship Id="rId195" Type="http://schemas.openxmlformats.org/officeDocument/2006/relationships/ctrlProp" Target="../ctrlProps/ctrlProp314.xml"/><Relationship Id="rId209" Type="http://schemas.openxmlformats.org/officeDocument/2006/relationships/ctrlProp" Target="../ctrlProps/ctrlProp328.xml"/><Relationship Id="rId190" Type="http://schemas.openxmlformats.org/officeDocument/2006/relationships/ctrlProp" Target="../ctrlProps/ctrlProp309.xml"/><Relationship Id="rId204" Type="http://schemas.openxmlformats.org/officeDocument/2006/relationships/ctrlProp" Target="../ctrlProps/ctrlProp323.xml"/><Relationship Id="rId220" Type="http://schemas.openxmlformats.org/officeDocument/2006/relationships/ctrlProp" Target="../ctrlProps/ctrlProp339.xml"/><Relationship Id="rId225" Type="http://schemas.openxmlformats.org/officeDocument/2006/relationships/ctrlProp" Target="../ctrlProps/ctrlProp344.xml"/><Relationship Id="rId241" Type="http://schemas.openxmlformats.org/officeDocument/2006/relationships/ctrlProp" Target="../ctrlProps/ctrlProp360.xml"/><Relationship Id="rId246" Type="http://schemas.openxmlformats.org/officeDocument/2006/relationships/ctrlProp" Target="../ctrlProps/ctrlProp365.xml"/><Relationship Id="rId15" Type="http://schemas.openxmlformats.org/officeDocument/2006/relationships/ctrlProp" Target="../ctrlProps/ctrlProp134.xml"/><Relationship Id="rId36" Type="http://schemas.openxmlformats.org/officeDocument/2006/relationships/ctrlProp" Target="../ctrlProps/ctrlProp155.xml"/><Relationship Id="rId57" Type="http://schemas.openxmlformats.org/officeDocument/2006/relationships/ctrlProp" Target="../ctrlProps/ctrlProp176.xml"/><Relationship Id="rId106" Type="http://schemas.openxmlformats.org/officeDocument/2006/relationships/ctrlProp" Target="../ctrlProps/ctrlProp225.xml"/><Relationship Id="rId127" Type="http://schemas.openxmlformats.org/officeDocument/2006/relationships/ctrlProp" Target="../ctrlProps/ctrlProp246.xml"/><Relationship Id="rId10" Type="http://schemas.openxmlformats.org/officeDocument/2006/relationships/ctrlProp" Target="../ctrlProps/ctrlProp129.xml"/><Relationship Id="rId31" Type="http://schemas.openxmlformats.org/officeDocument/2006/relationships/ctrlProp" Target="../ctrlProps/ctrlProp150.xml"/><Relationship Id="rId52" Type="http://schemas.openxmlformats.org/officeDocument/2006/relationships/ctrlProp" Target="../ctrlProps/ctrlProp171.xml"/><Relationship Id="rId73" Type="http://schemas.openxmlformats.org/officeDocument/2006/relationships/ctrlProp" Target="../ctrlProps/ctrlProp192.xml"/><Relationship Id="rId78" Type="http://schemas.openxmlformats.org/officeDocument/2006/relationships/ctrlProp" Target="../ctrlProps/ctrlProp197.xml"/><Relationship Id="rId94" Type="http://schemas.openxmlformats.org/officeDocument/2006/relationships/ctrlProp" Target="../ctrlProps/ctrlProp213.xml"/><Relationship Id="rId99" Type="http://schemas.openxmlformats.org/officeDocument/2006/relationships/ctrlProp" Target="../ctrlProps/ctrlProp218.xml"/><Relationship Id="rId101" Type="http://schemas.openxmlformats.org/officeDocument/2006/relationships/ctrlProp" Target="../ctrlProps/ctrlProp220.xml"/><Relationship Id="rId122" Type="http://schemas.openxmlformats.org/officeDocument/2006/relationships/ctrlProp" Target="../ctrlProps/ctrlProp241.xml"/><Relationship Id="rId143" Type="http://schemas.openxmlformats.org/officeDocument/2006/relationships/ctrlProp" Target="../ctrlProps/ctrlProp262.xml"/><Relationship Id="rId148" Type="http://schemas.openxmlformats.org/officeDocument/2006/relationships/ctrlProp" Target="../ctrlProps/ctrlProp267.xml"/><Relationship Id="rId164" Type="http://schemas.openxmlformats.org/officeDocument/2006/relationships/ctrlProp" Target="../ctrlProps/ctrlProp283.xml"/><Relationship Id="rId169" Type="http://schemas.openxmlformats.org/officeDocument/2006/relationships/ctrlProp" Target="../ctrlProps/ctrlProp288.xml"/><Relationship Id="rId185" Type="http://schemas.openxmlformats.org/officeDocument/2006/relationships/ctrlProp" Target="../ctrlProps/ctrlProp304.xml"/><Relationship Id="rId4" Type="http://schemas.openxmlformats.org/officeDocument/2006/relationships/ctrlProp" Target="../ctrlProps/ctrlProp123.xml"/><Relationship Id="rId9" Type="http://schemas.openxmlformats.org/officeDocument/2006/relationships/ctrlProp" Target="../ctrlProps/ctrlProp128.xml"/><Relationship Id="rId180" Type="http://schemas.openxmlformats.org/officeDocument/2006/relationships/ctrlProp" Target="../ctrlProps/ctrlProp299.xml"/><Relationship Id="rId210" Type="http://schemas.openxmlformats.org/officeDocument/2006/relationships/ctrlProp" Target="../ctrlProps/ctrlProp329.xml"/><Relationship Id="rId215" Type="http://schemas.openxmlformats.org/officeDocument/2006/relationships/ctrlProp" Target="../ctrlProps/ctrlProp334.xml"/><Relationship Id="rId236" Type="http://schemas.openxmlformats.org/officeDocument/2006/relationships/ctrlProp" Target="../ctrlProps/ctrlProp355.xml"/><Relationship Id="rId26" Type="http://schemas.openxmlformats.org/officeDocument/2006/relationships/ctrlProp" Target="../ctrlProps/ctrlProp145.xml"/><Relationship Id="rId231" Type="http://schemas.openxmlformats.org/officeDocument/2006/relationships/ctrlProp" Target="../ctrlProps/ctrlProp350.xml"/><Relationship Id="rId252" Type="http://schemas.openxmlformats.org/officeDocument/2006/relationships/ctrlProp" Target="../ctrlProps/ctrlProp371.xml"/><Relationship Id="rId47" Type="http://schemas.openxmlformats.org/officeDocument/2006/relationships/ctrlProp" Target="../ctrlProps/ctrlProp166.xml"/><Relationship Id="rId68" Type="http://schemas.openxmlformats.org/officeDocument/2006/relationships/ctrlProp" Target="../ctrlProps/ctrlProp187.xml"/><Relationship Id="rId89" Type="http://schemas.openxmlformats.org/officeDocument/2006/relationships/ctrlProp" Target="../ctrlProps/ctrlProp208.xml"/><Relationship Id="rId112" Type="http://schemas.openxmlformats.org/officeDocument/2006/relationships/ctrlProp" Target="../ctrlProps/ctrlProp231.xml"/><Relationship Id="rId133" Type="http://schemas.openxmlformats.org/officeDocument/2006/relationships/ctrlProp" Target="../ctrlProps/ctrlProp252.xml"/><Relationship Id="rId154" Type="http://schemas.openxmlformats.org/officeDocument/2006/relationships/ctrlProp" Target="../ctrlProps/ctrlProp273.xml"/><Relationship Id="rId175" Type="http://schemas.openxmlformats.org/officeDocument/2006/relationships/ctrlProp" Target="../ctrlProps/ctrlProp294.xml"/><Relationship Id="rId196" Type="http://schemas.openxmlformats.org/officeDocument/2006/relationships/ctrlProp" Target="../ctrlProps/ctrlProp315.xml"/><Relationship Id="rId200" Type="http://schemas.openxmlformats.org/officeDocument/2006/relationships/ctrlProp" Target="../ctrlProps/ctrlProp319.xml"/><Relationship Id="rId16" Type="http://schemas.openxmlformats.org/officeDocument/2006/relationships/ctrlProp" Target="../ctrlProps/ctrlProp135.xml"/><Relationship Id="rId221" Type="http://schemas.openxmlformats.org/officeDocument/2006/relationships/ctrlProp" Target="../ctrlProps/ctrlProp340.xml"/><Relationship Id="rId242" Type="http://schemas.openxmlformats.org/officeDocument/2006/relationships/ctrlProp" Target="../ctrlProps/ctrlProp361.xml"/><Relationship Id="rId37" Type="http://schemas.openxmlformats.org/officeDocument/2006/relationships/ctrlProp" Target="../ctrlProps/ctrlProp156.xml"/><Relationship Id="rId58" Type="http://schemas.openxmlformats.org/officeDocument/2006/relationships/ctrlProp" Target="../ctrlProps/ctrlProp177.xml"/><Relationship Id="rId79" Type="http://schemas.openxmlformats.org/officeDocument/2006/relationships/ctrlProp" Target="../ctrlProps/ctrlProp198.xml"/><Relationship Id="rId102" Type="http://schemas.openxmlformats.org/officeDocument/2006/relationships/ctrlProp" Target="../ctrlProps/ctrlProp221.xml"/><Relationship Id="rId123" Type="http://schemas.openxmlformats.org/officeDocument/2006/relationships/ctrlProp" Target="../ctrlProps/ctrlProp242.xml"/><Relationship Id="rId144" Type="http://schemas.openxmlformats.org/officeDocument/2006/relationships/ctrlProp" Target="../ctrlProps/ctrlProp263.xml"/><Relationship Id="rId90" Type="http://schemas.openxmlformats.org/officeDocument/2006/relationships/ctrlProp" Target="../ctrlProps/ctrlProp209.xml"/><Relationship Id="rId165" Type="http://schemas.openxmlformats.org/officeDocument/2006/relationships/ctrlProp" Target="../ctrlProps/ctrlProp284.xml"/><Relationship Id="rId186" Type="http://schemas.openxmlformats.org/officeDocument/2006/relationships/ctrlProp" Target="../ctrlProps/ctrlProp305.xml"/><Relationship Id="rId211" Type="http://schemas.openxmlformats.org/officeDocument/2006/relationships/ctrlProp" Target="../ctrlProps/ctrlProp330.xml"/><Relationship Id="rId232" Type="http://schemas.openxmlformats.org/officeDocument/2006/relationships/ctrlProp" Target="../ctrlProps/ctrlProp351.xml"/><Relationship Id="rId253" Type="http://schemas.openxmlformats.org/officeDocument/2006/relationships/ctrlProp" Target="../ctrlProps/ctrlProp372.xml"/><Relationship Id="rId27" Type="http://schemas.openxmlformats.org/officeDocument/2006/relationships/ctrlProp" Target="../ctrlProps/ctrlProp146.xml"/><Relationship Id="rId48" Type="http://schemas.openxmlformats.org/officeDocument/2006/relationships/ctrlProp" Target="../ctrlProps/ctrlProp167.xml"/><Relationship Id="rId69" Type="http://schemas.openxmlformats.org/officeDocument/2006/relationships/ctrlProp" Target="../ctrlProps/ctrlProp188.xml"/><Relationship Id="rId113" Type="http://schemas.openxmlformats.org/officeDocument/2006/relationships/ctrlProp" Target="../ctrlProps/ctrlProp232.xml"/><Relationship Id="rId134" Type="http://schemas.openxmlformats.org/officeDocument/2006/relationships/ctrlProp" Target="../ctrlProps/ctrlProp253.xml"/><Relationship Id="rId80" Type="http://schemas.openxmlformats.org/officeDocument/2006/relationships/ctrlProp" Target="../ctrlProps/ctrlProp199.xml"/><Relationship Id="rId155" Type="http://schemas.openxmlformats.org/officeDocument/2006/relationships/ctrlProp" Target="../ctrlProps/ctrlProp274.xml"/><Relationship Id="rId176" Type="http://schemas.openxmlformats.org/officeDocument/2006/relationships/ctrlProp" Target="../ctrlProps/ctrlProp295.xml"/><Relationship Id="rId197" Type="http://schemas.openxmlformats.org/officeDocument/2006/relationships/ctrlProp" Target="../ctrlProps/ctrlProp316.xml"/><Relationship Id="rId201" Type="http://schemas.openxmlformats.org/officeDocument/2006/relationships/ctrlProp" Target="../ctrlProps/ctrlProp320.xml"/><Relationship Id="rId222" Type="http://schemas.openxmlformats.org/officeDocument/2006/relationships/ctrlProp" Target="../ctrlProps/ctrlProp341.xml"/><Relationship Id="rId243" Type="http://schemas.openxmlformats.org/officeDocument/2006/relationships/ctrlProp" Target="../ctrlProps/ctrlProp362.xml"/><Relationship Id="rId17" Type="http://schemas.openxmlformats.org/officeDocument/2006/relationships/ctrlProp" Target="../ctrlProps/ctrlProp136.xml"/><Relationship Id="rId38" Type="http://schemas.openxmlformats.org/officeDocument/2006/relationships/ctrlProp" Target="../ctrlProps/ctrlProp157.xml"/><Relationship Id="rId59" Type="http://schemas.openxmlformats.org/officeDocument/2006/relationships/ctrlProp" Target="../ctrlProps/ctrlProp178.xml"/><Relationship Id="rId103" Type="http://schemas.openxmlformats.org/officeDocument/2006/relationships/ctrlProp" Target="../ctrlProps/ctrlProp222.xml"/><Relationship Id="rId124" Type="http://schemas.openxmlformats.org/officeDocument/2006/relationships/ctrlProp" Target="../ctrlProps/ctrlProp243.xml"/></Relationships>
</file>

<file path=xl/worksheets/_rels/sheet14.xml.rels><?xml version="1.0" encoding="UTF-8" standalone="yes"?>
<Relationships xmlns="http://schemas.openxmlformats.org/package/2006/relationships"><Relationship Id="rId13" Type="http://schemas.openxmlformats.org/officeDocument/2006/relationships/ctrlProp" Target="../ctrlProps/ctrlProp384.xml"/><Relationship Id="rId18" Type="http://schemas.openxmlformats.org/officeDocument/2006/relationships/ctrlProp" Target="../ctrlProps/ctrlProp389.xml"/><Relationship Id="rId26" Type="http://schemas.openxmlformats.org/officeDocument/2006/relationships/ctrlProp" Target="../ctrlProps/ctrlProp397.xml"/><Relationship Id="rId39" Type="http://schemas.openxmlformats.org/officeDocument/2006/relationships/ctrlProp" Target="../ctrlProps/ctrlProp410.xml"/><Relationship Id="rId21" Type="http://schemas.openxmlformats.org/officeDocument/2006/relationships/ctrlProp" Target="../ctrlProps/ctrlProp392.xml"/><Relationship Id="rId34" Type="http://schemas.openxmlformats.org/officeDocument/2006/relationships/ctrlProp" Target="../ctrlProps/ctrlProp405.xml"/><Relationship Id="rId42" Type="http://schemas.openxmlformats.org/officeDocument/2006/relationships/ctrlProp" Target="../ctrlProps/ctrlProp413.xml"/><Relationship Id="rId47" Type="http://schemas.openxmlformats.org/officeDocument/2006/relationships/ctrlProp" Target="../ctrlProps/ctrlProp418.xml"/><Relationship Id="rId50" Type="http://schemas.openxmlformats.org/officeDocument/2006/relationships/ctrlProp" Target="../ctrlProps/ctrlProp421.xml"/><Relationship Id="rId55" Type="http://schemas.openxmlformats.org/officeDocument/2006/relationships/ctrlProp" Target="../ctrlProps/ctrlProp426.xml"/><Relationship Id="rId7" Type="http://schemas.openxmlformats.org/officeDocument/2006/relationships/ctrlProp" Target="../ctrlProps/ctrlProp378.xml"/><Relationship Id="rId2" Type="http://schemas.openxmlformats.org/officeDocument/2006/relationships/drawing" Target="../drawings/drawing6.xml"/><Relationship Id="rId16" Type="http://schemas.openxmlformats.org/officeDocument/2006/relationships/ctrlProp" Target="../ctrlProps/ctrlProp387.xml"/><Relationship Id="rId20" Type="http://schemas.openxmlformats.org/officeDocument/2006/relationships/ctrlProp" Target="../ctrlProps/ctrlProp391.xml"/><Relationship Id="rId29" Type="http://schemas.openxmlformats.org/officeDocument/2006/relationships/ctrlProp" Target="../ctrlProps/ctrlProp400.xml"/><Relationship Id="rId41" Type="http://schemas.openxmlformats.org/officeDocument/2006/relationships/ctrlProp" Target="../ctrlProps/ctrlProp412.xml"/><Relationship Id="rId54" Type="http://schemas.openxmlformats.org/officeDocument/2006/relationships/ctrlProp" Target="../ctrlProps/ctrlProp425.xml"/><Relationship Id="rId62" Type="http://schemas.openxmlformats.org/officeDocument/2006/relationships/ctrlProp" Target="../ctrlProps/ctrlProp433.xml"/><Relationship Id="rId1" Type="http://schemas.openxmlformats.org/officeDocument/2006/relationships/printerSettings" Target="../printerSettings/printerSettings12.bin"/><Relationship Id="rId6" Type="http://schemas.openxmlformats.org/officeDocument/2006/relationships/ctrlProp" Target="../ctrlProps/ctrlProp377.xml"/><Relationship Id="rId11" Type="http://schemas.openxmlformats.org/officeDocument/2006/relationships/ctrlProp" Target="../ctrlProps/ctrlProp382.xml"/><Relationship Id="rId24" Type="http://schemas.openxmlformats.org/officeDocument/2006/relationships/ctrlProp" Target="../ctrlProps/ctrlProp395.xml"/><Relationship Id="rId32" Type="http://schemas.openxmlformats.org/officeDocument/2006/relationships/ctrlProp" Target="../ctrlProps/ctrlProp403.xml"/><Relationship Id="rId37" Type="http://schemas.openxmlformats.org/officeDocument/2006/relationships/ctrlProp" Target="../ctrlProps/ctrlProp408.xml"/><Relationship Id="rId40" Type="http://schemas.openxmlformats.org/officeDocument/2006/relationships/ctrlProp" Target="../ctrlProps/ctrlProp411.xml"/><Relationship Id="rId45" Type="http://schemas.openxmlformats.org/officeDocument/2006/relationships/ctrlProp" Target="../ctrlProps/ctrlProp416.xml"/><Relationship Id="rId53" Type="http://schemas.openxmlformats.org/officeDocument/2006/relationships/ctrlProp" Target="../ctrlProps/ctrlProp424.xml"/><Relationship Id="rId58" Type="http://schemas.openxmlformats.org/officeDocument/2006/relationships/ctrlProp" Target="../ctrlProps/ctrlProp429.xml"/><Relationship Id="rId5" Type="http://schemas.openxmlformats.org/officeDocument/2006/relationships/ctrlProp" Target="../ctrlProps/ctrlProp376.xml"/><Relationship Id="rId15" Type="http://schemas.openxmlformats.org/officeDocument/2006/relationships/ctrlProp" Target="../ctrlProps/ctrlProp386.xml"/><Relationship Id="rId23" Type="http://schemas.openxmlformats.org/officeDocument/2006/relationships/ctrlProp" Target="../ctrlProps/ctrlProp394.xml"/><Relationship Id="rId28" Type="http://schemas.openxmlformats.org/officeDocument/2006/relationships/ctrlProp" Target="../ctrlProps/ctrlProp399.xml"/><Relationship Id="rId36" Type="http://schemas.openxmlformats.org/officeDocument/2006/relationships/ctrlProp" Target="../ctrlProps/ctrlProp407.xml"/><Relationship Id="rId49" Type="http://schemas.openxmlformats.org/officeDocument/2006/relationships/ctrlProp" Target="../ctrlProps/ctrlProp420.xml"/><Relationship Id="rId57" Type="http://schemas.openxmlformats.org/officeDocument/2006/relationships/ctrlProp" Target="../ctrlProps/ctrlProp428.xml"/><Relationship Id="rId61" Type="http://schemas.openxmlformats.org/officeDocument/2006/relationships/ctrlProp" Target="../ctrlProps/ctrlProp432.xml"/><Relationship Id="rId10" Type="http://schemas.openxmlformats.org/officeDocument/2006/relationships/ctrlProp" Target="../ctrlProps/ctrlProp381.xml"/><Relationship Id="rId19" Type="http://schemas.openxmlformats.org/officeDocument/2006/relationships/ctrlProp" Target="../ctrlProps/ctrlProp390.xml"/><Relationship Id="rId31" Type="http://schemas.openxmlformats.org/officeDocument/2006/relationships/ctrlProp" Target="../ctrlProps/ctrlProp402.xml"/><Relationship Id="rId44" Type="http://schemas.openxmlformats.org/officeDocument/2006/relationships/ctrlProp" Target="../ctrlProps/ctrlProp415.xml"/><Relationship Id="rId52" Type="http://schemas.openxmlformats.org/officeDocument/2006/relationships/ctrlProp" Target="../ctrlProps/ctrlProp423.xml"/><Relationship Id="rId60" Type="http://schemas.openxmlformats.org/officeDocument/2006/relationships/ctrlProp" Target="../ctrlProps/ctrlProp431.xml"/><Relationship Id="rId4" Type="http://schemas.openxmlformats.org/officeDocument/2006/relationships/ctrlProp" Target="../ctrlProps/ctrlProp375.xml"/><Relationship Id="rId9" Type="http://schemas.openxmlformats.org/officeDocument/2006/relationships/ctrlProp" Target="../ctrlProps/ctrlProp380.xml"/><Relationship Id="rId14" Type="http://schemas.openxmlformats.org/officeDocument/2006/relationships/ctrlProp" Target="../ctrlProps/ctrlProp385.xml"/><Relationship Id="rId22" Type="http://schemas.openxmlformats.org/officeDocument/2006/relationships/ctrlProp" Target="../ctrlProps/ctrlProp393.xml"/><Relationship Id="rId27" Type="http://schemas.openxmlformats.org/officeDocument/2006/relationships/ctrlProp" Target="../ctrlProps/ctrlProp398.xml"/><Relationship Id="rId30" Type="http://schemas.openxmlformats.org/officeDocument/2006/relationships/ctrlProp" Target="../ctrlProps/ctrlProp401.xml"/><Relationship Id="rId35" Type="http://schemas.openxmlformats.org/officeDocument/2006/relationships/ctrlProp" Target="../ctrlProps/ctrlProp406.xml"/><Relationship Id="rId43" Type="http://schemas.openxmlformats.org/officeDocument/2006/relationships/ctrlProp" Target="../ctrlProps/ctrlProp414.xml"/><Relationship Id="rId48" Type="http://schemas.openxmlformats.org/officeDocument/2006/relationships/ctrlProp" Target="../ctrlProps/ctrlProp419.xml"/><Relationship Id="rId56" Type="http://schemas.openxmlformats.org/officeDocument/2006/relationships/ctrlProp" Target="../ctrlProps/ctrlProp427.xml"/><Relationship Id="rId8" Type="http://schemas.openxmlformats.org/officeDocument/2006/relationships/ctrlProp" Target="../ctrlProps/ctrlProp379.xml"/><Relationship Id="rId51" Type="http://schemas.openxmlformats.org/officeDocument/2006/relationships/ctrlProp" Target="../ctrlProps/ctrlProp422.xml"/><Relationship Id="rId3" Type="http://schemas.openxmlformats.org/officeDocument/2006/relationships/vmlDrawing" Target="../drawings/vmlDrawing5.vml"/><Relationship Id="rId12" Type="http://schemas.openxmlformats.org/officeDocument/2006/relationships/ctrlProp" Target="../ctrlProps/ctrlProp383.xml"/><Relationship Id="rId17" Type="http://schemas.openxmlformats.org/officeDocument/2006/relationships/ctrlProp" Target="../ctrlProps/ctrlProp388.xml"/><Relationship Id="rId25" Type="http://schemas.openxmlformats.org/officeDocument/2006/relationships/ctrlProp" Target="../ctrlProps/ctrlProp396.xml"/><Relationship Id="rId33" Type="http://schemas.openxmlformats.org/officeDocument/2006/relationships/ctrlProp" Target="../ctrlProps/ctrlProp404.xml"/><Relationship Id="rId38" Type="http://schemas.openxmlformats.org/officeDocument/2006/relationships/ctrlProp" Target="../ctrlProps/ctrlProp409.xml"/><Relationship Id="rId46" Type="http://schemas.openxmlformats.org/officeDocument/2006/relationships/ctrlProp" Target="../ctrlProps/ctrlProp417.xml"/><Relationship Id="rId59" Type="http://schemas.openxmlformats.org/officeDocument/2006/relationships/ctrlProp" Target="../ctrlProps/ctrlProp430.xml"/></Relationships>
</file>

<file path=xl/worksheets/_rels/sheet15.xml.rels><?xml version="1.0" encoding="UTF-8" standalone="yes"?>
<Relationships xmlns="http://schemas.openxmlformats.org/package/2006/relationships"><Relationship Id="rId117" Type="http://schemas.openxmlformats.org/officeDocument/2006/relationships/ctrlProp" Target="../ctrlProps/ctrlProp547.xml"/><Relationship Id="rId299" Type="http://schemas.openxmlformats.org/officeDocument/2006/relationships/ctrlProp" Target="../ctrlProps/ctrlProp729.xml"/><Relationship Id="rId21" Type="http://schemas.openxmlformats.org/officeDocument/2006/relationships/ctrlProp" Target="../ctrlProps/ctrlProp451.xml"/><Relationship Id="rId63" Type="http://schemas.openxmlformats.org/officeDocument/2006/relationships/ctrlProp" Target="../ctrlProps/ctrlProp493.xml"/><Relationship Id="rId159" Type="http://schemas.openxmlformats.org/officeDocument/2006/relationships/ctrlProp" Target="../ctrlProps/ctrlProp589.xml"/><Relationship Id="rId324" Type="http://schemas.openxmlformats.org/officeDocument/2006/relationships/ctrlProp" Target="../ctrlProps/ctrlProp754.xml"/><Relationship Id="rId366" Type="http://schemas.openxmlformats.org/officeDocument/2006/relationships/ctrlProp" Target="../ctrlProps/ctrlProp796.xml"/><Relationship Id="rId531" Type="http://schemas.openxmlformats.org/officeDocument/2006/relationships/ctrlProp" Target="../ctrlProps/ctrlProp961.xml"/><Relationship Id="rId573" Type="http://schemas.openxmlformats.org/officeDocument/2006/relationships/ctrlProp" Target="../ctrlProps/ctrlProp1003.xml"/><Relationship Id="rId170" Type="http://schemas.openxmlformats.org/officeDocument/2006/relationships/ctrlProp" Target="../ctrlProps/ctrlProp600.xml"/><Relationship Id="rId226" Type="http://schemas.openxmlformats.org/officeDocument/2006/relationships/ctrlProp" Target="../ctrlProps/ctrlProp656.xml"/><Relationship Id="rId433" Type="http://schemas.openxmlformats.org/officeDocument/2006/relationships/ctrlProp" Target="../ctrlProps/ctrlProp863.xml"/><Relationship Id="rId268" Type="http://schemas.openxmlformats.org/officeDocument/2006/relationships/ctrlProp" Target="../ctrlProps/ctrlProp698.xml"/><Relationship Id="rId475" Type="http://schemas.openxmlformats.org/officeDocument/2006/relationships/ctrlProp" Target="../ctrlProps/ctrlProp905.xml"/><Relationship Id="rId32" Type="http://schemas.openxmlformats.org/officeDocument/2006/relationships/ctrlProp" Target="../ctrlProps/ctrlProp462.xml"/><Relationship Id="rId74" Type="http://schemas.openxmlformats.org/officeDocument/2006/relationships/ctrlProp" Target="../ctrlProps/ctrlProp504.xml"/><Relationship Id="rId128" Type="http://schemas.openxmlformats.org/officeDocument/2006/relationships/ctrlProp" Target="../ctrlProps/ctrlProp558.xml"/><Relationship Id="rId335" Type="http://schemas.openxmlformats.org/officeDocument/2006/relationships/ctrlProp" Target="../ctrlProps/ctrlProp765.xml"/><Relationship Id="rId377" Type="http://schemas.openxmlformats.org/officeDocument/2006/relationships/ctrlProp" Target="../ctrlProps/ctrlProp807.xml"/><Relationship Id="rId500" Type="http://schemas.openxmlformats.org/officeDocument/2006/relationships/ctrlProp" Target="../ctrlProps/ctrlProp930.xml"/><Relationship Id="rId542" Type="http://schemas.openxmlformats.org/officeDocument/2006/relationships/ctrlProp" Target="../ctrlProps/ctrlProp972.xml"/><Relationship Id="rId584" Type="http://schemas.openxmlformats.org/officeDocument/2006/relationships/ctrlProp" Target="../ctrlProps/ctrlProp1014.xml"/><Relationship Id="rId5" Type="http://schemas.openxmlformats.org/officeDocument/2006/relationships/ctrlProp" Target="../ctrlProps/ctrlProp435.xml"/><Relationship Id="rId181" Type="http://schemas.openxmlformats.org/officeDocument/2006/relationships/ctrlProp" Target="../ctrlProps/ctrlProp611.xml"/><Relationship Id="rId237" Type="http://schemas.openxmlformats.org/officeDocument/2006/relationships/ctrlProp" Target="../ctrlProps/ctrlProp667.xml"/><Relationship Id="rId402" Type="http://schemas.openxmlformats.org/officeDocument/2006/relationships/ctrlProp" Target="../ctrlProps/ctrlProp832.xml"/><Relationship Id="rId279" Type="http://schemas.openxmlformats.org/officeDocument/2006/relationships/ctrlProp" Target="../ctrlProps/ctrlProp709.xml"/><Relationship Id="rId444" Type="http://schemas.openxmlformats.org/officeDocument/2006/relationships/ctrlProp" Target="../ctrlProps/ctrlProp874.xml"/><Relationship Id="rId486" Type="http://schemas.openxmlformats.org/officeDocument/2006/relationships/ctrlProp" Target="../ctrlProps/ctrlProp916.xml"/><Relationship Id="rId43" Type="http://schemas.openxmlformats.org/officeDocument/2006/relationships/ctrlProp" Target="../ctrlProps/ctrlProp473.xml"/><Relationship Id="rId139" Type="http://schemas.openxmlformats.org/officeDocument/2006/relationships/ctrlProp" Target="../ctrlProps/ctrlProp569.xml"/><Relationship Id="rId290" Type="http://schemas.openxmlformats.org/officeDocument/2006/relationships/ctrlProp" Target="../ctrlProps/ctrlProp720.xml"/><Relationship Id="rId304" Type="http://schemas.openxmlformats.org/officeDocument/2006/relationships/ctrlProp" Target="../ctrlProps/ctrlProp734.xml"/><Relationship Id="rId346" Type="http://schemas.openxmlformats.org/officeDocument/2006/relationships/ctrlProp" Target="../ctrlProps/ctrlProp776.xml"/><Relationship Id="rId388" Type="http://schemas.openxmlformats.org/officeDocument/2006/relationships/ctrlProp" Target="../ctrlProps/ctrlProp818.xml"/><Relationship Id="rId511" Type="http://schemas.openxmlformats.org/officeDocument/2006/relationships/ctrlProp" Target="../ctrlProps/ctrlProp941.xml"/><Relationship Id="rId553" Type="http://schemas.openxmlformats.org/officeDocument/2006/relationships/ctrlProp" Target="../ctrlProps/ctrlProp983.xml"/><Relationship Id="rId85" Type="http://schemas.openxmlformats.org/officeDocument/2006/relationships/ctrlProp" Target="../ctrlProps/ctrlProp515.xml"/><Relationship Id="rId150" Type="http://schemas.openxmlformats.org/officeDocument/2006/relationships/ctrlProp" Target="../ctrlProps/ctrlProp580.xml"/><Relationship Id="rId192" Type="http://schemas.openxmlformats.org/officeDocument/2006/relationships/ctrlProp" Target="../ctrlProps/ctrlProp622.xml"/><Relationship Id="rId206" Type="http://schemas.openxmlformats.org/officeDocument/2006/relationships/ctrlProp" Target="../ctrlProps/ctrlProp636.xml"/><Relationship Id="rId413" Type="http://schemas.openxmlformats.org/officeDocument/2006/relationships/ctrlProp" Target="../ctrlProps/ctrlProp843.xml"/><Relationship Id="rId595" Type="http://schemas.openxmlformats.org/officeDocument/2006/relationships/ctrlProp" Target="../ctrlProps/ctrlProp1025.xml"/><Relationship Id="rId248" Type="http://schemas.openxmlformats.org/officeDocument/2006/relationships/ctrlProp" Target="../ctrlProps/ctrlProp678.xml"/><Relationship Id="rId455" Type="http://schemas.openxmlformats.org/officeDocument/2006/relationships/ctrlProp" Target="../ctrlProps/ctrlProp885.xml"/><Relationship Id="rId497" Type="http://schemas.openxmlformats.org/officeDocument/2006/relationships/ctrlProp" Target="../ctrlProps/ctrlProp927.xml"/><Relationship Id="rId12" Type="http://schemas.openxmlformats.org/officeDocument/2006/relationships/ctrlProp" Target="../ctrlProps/ctrlProp442.xml"/><Relationship Id="rId108" Type="http://schemas.openxmlformats.org/officeDocument/2006/relationships/ctrlProp" Target="../ctrlProps/ctrlProp538.xml"/><Relationship Id="rId315" Type="http://schemas.openxmlformats.org/officeDocument/2006/relationships/ctrlProp" Target="../ctrlProps/ctrlProp745.xml"/><Relationship Id="rId357" Type="http://schemas.openxmlformats.org/officeDocument/2006/relationships/ctrlProp" Target="../ctrlProps/ctrlProp787.xml"/><Relationship Id="rId522" Type="http://schemas.openxmlformats.org/officeDocument/2006/relationships/ctrlProp" Target="../ctrlProps/ctrlProp952.xml"/><Relationship Id="rId54" Type="http://schemas.openxmlformats.org/officeDocument/2006/relationships/ctrlProp" Target="../ctrlProps/ctrlProp484.xml"/><Relationship Id="rId96" Type="http://schemas.openxmlformats.org/officeDocument/2006/relationships/ctrlProp" Target="../ctrlProps/ctrlProp526.xml"/><Relationship Id="rId161" Type="http://schemas.openxmlformats.org/officeDocument/2006/relationships/ctrlProp" Target="../ctrlProps/ctrlProp591.xml"/><Relationship Id="rId217" Type="http://schemas.openxmlformats.org/officeDocument/2006/relationships/ctrlProp" Target="../ctrlProps/ctrlProp647.xml"/><Relationship Id="rId399" Type="http://schemas.openxmlformats.org/officeDocument/2006/relationships/ctrlProp" Target="../ctrlProps/ctrlProp829.xml"/><Relationship Id="rId564" Type="http://schemas.openxmlformats.org/officeDocument/2006/relationships/ctrlProp" Target="../ctrlProps/ctrlProp994.xml"/><Relationship Id="rId259" Type="http://schemas.openxmlformats.org/officeDocument/2006/relationships/ctrlProp" Target="../ctrlProps/ctrlProp689.xml"/><Relationship Id="rId424" Type="http://schemas.openxmlformats.org/officeDocument/2006/relationships/ctrlProp" Target="../ctrlProps/ctrlProp854.xml"/><Relationship Id="rId466" Type="http://schemas.openxmlformats.org/officeDocument/2006/relationships/ctrlProp" Target="../ctrlProps/ctrlProp896.xml"/><Relationship Id="rId23" Type="http://schemas.openxmlformats.org/officeDocument/2006/relationships/ctrlProp" Target="../ctrlProps/ctrlProp453.xml"/><Relationship Id="rId119" Type="http://schemas.openxmlformats.org/officeDocument/2006/relationships/ctrlProp" Target="../ctrlProps/ctrlProp549.xml"/><Relationship Id="rId270" Type="http://schemas.openxmlformats.org/officeDocument/2006/relationships/ctrlProp" Target="../ctrlProps/ctrlProp700.xml"/><Relationship Id="rId326" Type="http://schemas.openxmlformats.org/officeDocument/2006/relationships/ctrlProp" Target="../ctrlProps/ctrlProp756.xml"/><Relationship Id="rId533" Type="http://schemas.openxmlformats.org/officeDocument/2006/relationships/ctrlProp" Target="../ctrlProps/ctrlProp963.xml"/><Relationship Id="rId65" Type="http://schemas.openxmlformats.org/officeDocument/2006/relationships/ctrlProp" Target="../ctrlProps/ctrlProp495.xml"/><Relationship Id="rId130" Type="http://schemas.openxmlformats.org/officeDocument/2006/relationships/ctrlProp" Target="../ctrlProps/ctrlProp560.xml"/><Relationship Id="rId368" Type="http://schemas.openxmlformats.org/officeDocument/2006/relationships/ctrlProp" Target="../ctrlProps/ctrlProp798.xml"/><Relationship Id="rId575" Type="http://schemas.openxmlformats.org/officeDocument/2006/relationships/ctrlProp" Target="../ctrlProps/ctrlProp1005.xml"/><Relationship Id="rId172" Type="http://schemas.openxmlformats.org/officeDocument/2006/relationships/ctrlProp" Target="../ctrlProps/ctrlProp602.xml"/><Relationship Id="rId228" Type="http://schemas.openxmlformats.org/officeDocument/2006/relationships/ctrlProp" Target="../ctrlProps/ctrlProp658.xml"/><Relationship Id="rId435" Type="http://schemas.openxmlformats.org/officeDocument/2006/relationships/ctrlProp" Target="../ctrlProps/ctrlProp865.xml"/><Relationship Id="rId477" Type="http://schemas.openxmlformats.org/officeDocument/2006/relationships/ctrlProp" Target="../ctrlProps/ctrlProp907.xml"/><Relationship Id="rId281" Type="http://schemas.openxmlformats.org/officeDocument/2006/relationships/ctrlProp" Target="../ctrlProps/ctrlProp711.xml"/><Relationship Id="rId337" Type="http://schemas.openxmlformats.org/officeDocument/2006/relationships/ctrlProp" Target="../ctrlProps/ctrlProp767.xml"/><Relationship Id="rId502" Type="http://schemas.openxmlformats.org/officeDocument/2006/relationships/ctrlProp" Target="../ctrlProps/ctrlProp932.xml"/><Relationship Id="rId34" Type="http://schemas.openxmlformats.org/officeDocument/2006/relationships/ctrlProp" Target="../ctrlProps/ctrlProp464.xml"/><Relationship Id="rId76" Type="http://schemas.openxmlformats.org/officeDocument/2006/relationships/ctrlProp" Target="../ctrlProps/ctrlProp506.xml"/><Relationship Id="rId141" Type="http://schemas.openxmlformats.org/officeDocument/2006/relationships/ctrlProp" Target="../ctrlProps/ctrlProp571.xml"/><Relationship Id="rId379" Type="http://schemas.openxmlformats.org/officeDocument/2006/relationships/ctrlProp" Target="../ctrlProps/ctrlProp809.xml"/><Relationship Id="rId544" Type="http://schemas.openxmlformats.org/officeDocument/2006/relationships/ctrlProp" Target="../ctrlProps/ctrlProp974.xml"/><Relationship Id="rId586" Type="http://schemas.openxmlformats.org/officeDocument/2006/relationships/ctrlProp" Target="../ctrlProps/ctrlProp1016.xml"/><Relationship Id="rId7" Type="http://schemas.openxmlformats.org/officeDocument/2006/relationships/ctrlProp" Target="../ctrlProps/ctrlProp437.xml"/><Relationship Id="rId183" Type="http://schemas.openxmlformats.org/officeDocument/2006/relationships/ctrlProp" Target="../ctrlProps/ctrlProp613.xml"/><Relationship Id="rId239" Type="http://schemas.openxmlformats.org/officeDocument/2006/relationships/ctrlProp" Target="../ctrlProps/ctrlProp669.xml"/><Relationship Id="rId390" Type="http://schemas.openxmlformats.org/officeDocument/2006/relationships/ctrlProp" Target="../ctrlProps/ctrlProp820.xml"/><Relationship Id="rId404" Type="http://schemas.openxmlformats.org/officeDocument/2006/relationships/ctrlProp" Target="../ctrlProps/ctrlProp834.xml"/><Relationship Id="rId446" Type="http://schemas.openxmlformats.org/officeDocument/2006/relationships/ctrlProp" Target="../ctrlProps/ctrlProp876.xml"/><Relationship Id="rId250" Type="http://schemas.openxmlformats.org/officeDocument/2006/relationships/ctrlProp" Target="../ctrlProps/ctrlProp680.xml"/><Relationship Id="rId292" Type="http://schemas.openxmlformats.org/officeDocument/2006/relationships/ctrlProp" Target="../ctrlProps/ctrlProp722.xml"/><Relationship Id="rId306" Type="http://schemas.openxmlformats.org/officeDocument/2006/relationships/ctrlProp" Target="../ctrlProps/ctrlProp736.xml"/><Relationship Id="rId488" Type="http://schemas.openxmlformats.org/officeDocument/2006/relationships/ctrlProp" Target="../ctrlProps/ctrlProp918.xml"/><Relationship Id="rId45" Type="http://schemas.openxmlformats.org/officeDocument/2006/relationships/ctrlProp" Target="../ctrlProps/ctrlProp475.xml"/><Relationship Id="rId87" Type="http://schemas.openxmlformats.org/officeDocument/2006/relationships/ctrlProp" Target="../ctrlProps/ctrlProp517.xml"/><Relationship Id="rId110" Type="http://schemas.openxmlformats.org/officeDocument/2006/relationships/ctrlProp" Target="../ctrlProps/ctrlProp540.xml"/><Relationship Id="rId348" Type="http://schemas.openxmlformats.org/officeDocument/2006/relationships/ctrlProp" Target="../ctrlProps/ctrlProp778.xml"/><Relationship Id="rId513" Type="http://schemas.openxmlformats.org/officeDocument/2006/relationships/ctrlProp" Target="../ctrlProps/ctrlProp943.xml"/><Relationship Id="rId555" Type="http://schemas.openxmlformats.org/officeDocument/2006/relationships/ctrlProp" Target="../ctrlProps/ctrlProp985.xml"/><Relationship Id="rId597" Type="http://schemas.openxmlformats.org/officeDocument/2006/relationships/ctrlProp" Target="../ctrlProps/ctrlProp1027.xml"/><Relationship Id="rId152" Type="http://schemas.openxmlformats.org/officeDocument/2006/relationships/ctrlProp" Target="../ctrlProps/ctrlProp582.xml"/><Relationship Id="rId194" Type="http://schemas.openxmlformats.org/officeDocument/2006/relationships/ctrlProp" Target="../ctrlProps/ctrlProp624.xml"/><Relationship Id="rId208" Type="http://schemas.openxmlformats.org/officeDocument/2006/relationships/ctrlProp" Target="../ctrlProps/ctrlProp638.xml"/><Relationship Id="rId415" Type="http://schemas.openxmlformats.org/officeDocument/2006/relationships/ctrlProp" Target="../ctrlProps/ctrlProp845.xml"/><Relationship Id="rId457" Type="http://schemas.openxmlformats.org/officeDocument/2006/relationships/ctrlProp" Target="../ctrlProps/ctrlProp887.xml"/><Relationship Id="rId261" Type="http://schemas.openxmlformats.org/officeDocument/2006/relationships/ctrlProp" Target="../ctrlProps/ctrlProp691.xml"/><Relationship Id="rId499" Type="http://schemas.openxmlformats.org/officeDocument/2006/relationships/ctrlProp" Target="../ctrlProps/ctrlProp929.xml"/><Relationship Id="rId14" Type="http://schemas.openxmlformats.org/officeDocument/2006/relationships/ctrlProp" Target="../ctrlProps/ctrlProp444.xml"/><Relationship Id="rId56" Type="http://schemas.openxmlformats.org/officeDocument/2006/relationships/ctrlProp" Target="../ctrlProps/ctrlProp486.xml"/><Relationship Id="rId317" Type="http://schemas.openxmlformats.org/officeDocument/2006/relationships/ctrlProp" Target="../ctrlProps/ctrlProp747.xml"/><Relationship Id="rId359" Type="http://schemas.openxmlformats.org/officeDocument/2006/relationships/ctrlProp" Target="../ctrlProps/ctrlProp789.xml"/><Relationship Id="rId524" Type="http://schemas.openxmlformats.org/officeDocument/2006/relationships/ctrlProp" Target="../ctrlProps/ctrlProp954.xml"/><Relationship Id="rId566" Type="http://schemas.openxmlformats.org/officeDocument/2006/relationships/ctrlProp" Target="../ctrlProps/ctrlProp996.xml"/><Relationship Id="rId98" Type="http://schemas.openxmlformats.org/officeDocument/2006/relationships/ctrlProp" Target="../ctrlProps/ctrlProp528.xml"/><Relationship Id="rId121" Type="http://schemas.openxmlformats.org/officeDocument/2006/relationships/ctrlProp" Target="../ctrlProps/ctrlProp551.xml"/><Relationship Id="rId163" Type="http://schemas.openxmlformats.org/officeDocument/2006/relationships/ctrlProp" Target="../ctrlProps/ctrlProp593.xml"/><Relationship Id="rId219" Type="http://schemas.openxmlformats.org/officeDocument/2006/relationships/ctrlProp" Target="../ctrlProps/ctrlProp649.xml"/><Relationship Id="rId370" Type="http://schemas.openxmlformats.org/officeDocument/2006/relationships/ctrlProp" Target="../ctrlProps/ctrlProp800.xml"/><Relationship Id="rId426" Type="http://schemas.openxmlformats.org/officeDocument/2006/relationships/ctrlProp" Target="../ctrlProps/ctrlProp856.xml"/><Relationship Id="rId230" Type="http://schemas.openxmlformats.org/officeDocument/2006/relationships/ctrlProp" Target="../ctrlProps/ctrlProp660.xml"/><Relationship Id="rId468" Type="http://schemas.openxmlformats.org/officeDocument/2006/relationships/ctrlProp" Target="../ctrlProps/ctrlProp898.xml"/><Relationship Id="rId25" Type="http://schemas.openxmlformats.org/officeDocument/2006/relationships/ctrlProp" Target="../ctrlProps/ctrlProp455.xml"/><Relationship Id="rId67" Type="http://schemas.openxmlformats.org/officeDocument/2006/relationships/ctrlProp" Target="../ctrlProps/ctrlProp497.xml"/><Relationship Id="rId272" Type="http://schemas.openxmlformats.org/officeDocument/2006/relationships/ctrlProp" Target="../ctrlProps/ctrlProp702.xml"/><Relationship Id="rId328" Type="http://schemas.openxmlformats.org/officeDocument/2006/relationships/ctrlProp" Target="../ctrlProps/ctrlProp758.xml"/><Relationship Id="rId535" Type="http://schemas.openxmlformats.org/officeDocument/2006/relationships/ctrlProp" Target="../ctrlProps/ctrlProp965.xml"/><Relationship Id="rId577" Type="http://schemas.openxmlformats.org/officeDocument/2006/relationships/ctrlProp" Target="../ctrlProps/ctrlProp1007.xml"/><Relationship Id="rId132" Type="http://schemas.openxmlformats.org/officeDocument/2006/relationships/ctrlProp" Target="../ctrlProps/ctrlProp562.xml"/><Relationship Id="rId174" Type="http://schemas.openxmlformats.org/officeDocument/2006/relationships/ctrlProp" Target="../ctrlProps/ctrlProp604.xml"/><Relationship Id="rId381" Type="http://schemas.openxmlformats.org/officeDocument/2006/relationships/ctrlProp" Target="../ctrlProps/ctrlProp811.xml"/><Relationship Id="rId241" Type="http://schemas.openxmlformats.org/officeDocument/2006/relationships/ctrlProp" Target="../ctrlProps/ctrlProp671.xml"/><Relationship Id="rId437" Type="http://schemas.openxmlformats.org/officeDocument/2006/relationships/ctrlProp" Target="../ctrlProps/ctrlProp867.xml"/><Relationship Id="rId479" Type="http://schemas.openxmlformats.org/officeDocument/2006/relationships/ctrlProp" Target="../ctrlProps/ctrlProp909.xml"/><Relationship Id="rId36" Type="http://schemas.openxmlformats.org/officeDocument/2006/relationships/ctrlProp" Target="../ctrlProps/ctrlProp466.xml"/><Relationship Id="rId283" Type="http://schemas.openxmlformats.org/officeDocument/2006/relationships/ctrlProp" Target="../ctrlProps/ctrlProp713.xml"/><Relationship Id="rId339" Type="http://schemas.openxmlformats.org/officeDocument/2006/relationships/ctrlProp" Target="../ctrlProps/ctrlProp769.xml"/><Relationship Id="rId490" Type="http://schemas.openxmlformats.org/officeDocument/2006/relationships/ctrlProp" Target="../ctrlProps/ctrlProp920.xml"/><Relationship Id="rId504" Type="http://schemas.openxmlformats.org/officeDocument/2006/relationships/ctrlProp" Target="../ctrlProps/ctrlProp934.xml"/><Relationship Id="rId546" Type="http://schemas.openxmlformats.org/officeDocument/2006/relationships/ctrlProp" Target="../ctrlProps/ctrlProp976.xml"/><Relationship Id="rId78" Type="http://schemas.openxmlformats.org/officeDocument/2006/relationships/ctrlProp" Target="../ctrlProps/ctrlProp508.xml"/><Relationship Id="rId101" Type="http://schemas.openxmlformats.org/officeDocument/2006/relationships/ctrlProp" Target="../ctrlProps/ctrlProp531.xml"/><Relationship Id="rId143" Type="http://schemas.openxmlformats.org/officeDocument/2006/relationships/ctrlProp" Target="../ctrlProps/ctrlProp573.xml"/><Relationship Id="rId185" Type="http://schemas.openxmlformats.org/officeDocument/2006/relationships/ctrlProp" Target="../ctrlProps/ctrlProp615.xml"/><Relationship Id="rId350" Type="http://schemas.openxmlformats.org/officeDocument/2006/relationships/ctrlProp" Target="../ctrlProps/ctrlProp780.xml"/><Relationship Id="rId406" Type="http://schemas.openxmlformats.org/officeDocument/2006/relationships/ctrlProp" Target="../ctrlProps/ctrlProp836.xml"/><Relationship Id="rId588" Type="http://schemas.openxmlformats.org/officeDocument/2006/relationships/ctrlProp" Target="../ctrlProps/ctrlProp1018.xml"/><Relationship Id="rId9" Type="http://schemas.openxmlformats.org/officeDocument/2006/relationships/ctrlProp" Target="../ctrlProps/ctrlProp439.xml"/><Relationship Id="rId210" Type="http://schemas.openxmlformats.org/officeDocument/2006/relationships/ctrlProp" Target="../ctrlProps/ctrlProp640.xml"/><Relationship Id="rId392" Type="http://schemas.openxmlformats.org/officeDocument/2006/relationships/ctrlProp" Target="../ctrlProps/ctrlProp822.xml"/><Relationship Id="rId448" Type="http://schemas.openxmlformats.org/officeDocument/2006/relationships/ctrlProp" Target="../ctrlProps/ctrlProp878.xml"/><Relationship Id="rId252" Type="http://schemas.openxmlformats.org/officeDocument/2006/relationships/ctrlProp" Target="../ctrlProps/ctrlProp682.xml"/><Relationship Id="rId294" Type="http://schemas.openxmlformats.org/officeDocument/2006/relationships/ctrlProp" Target="../ctrlProps/ctrlProp724.xml"/><Relationship Id="rId308" Type="http://schemas.openxmlformats.org/officeDocument/2006/relationships/ctrlProp" Target="../ctrlProps/ctrlProp738.xml"/><Relationship Id="rId515" Type="http://schemas.openxmlformats.org/officeDocument/2006/relationships/ctrlProp" Target="../ctrlProps/ctrlProp945.xml"/><Relationship Id="rId47" Type="http://schemas.openxmlformats.org/officeDocument/2006/relationships/ctrlProp" Target="../ctrlProps/ctrlProp477.xml"/><Relationship Id="rId89" Type="http://schemas.openxmlformats.org/officeDocument/2006/relationships/ctrlProp" Target="../ctrlProps/ctrlProp519.xml"/><Relationship Id="rId112" Type="http://schemas.openxmlformats.org/officeDocument/2006/relationships/ctrlProp" Target="../ctrlProps/ctrlProp542.xml"/><Relationship Id="rId154" Type="http://schemas.openxmlformats.org/officeDocument/2006/relationships/ctrlProp" Target="../ctrlProps/ctrlProp584.xml"/><Relationship Id="rId361" Type="http://schemas.openxmlformats.org/officeDocument/2006/relationships/ctrlProp" Target="../ctrlProps/ctrlProp791.xml"/><Relationship Id="rId557" Type="http://schemas.openxmlformats.org/officeDocument/2006/relationships/ctrlProp" Target="../ctrlProps/ctrlProp987.xml"/><Relationship Id="rId196" Type="http://schemas.openxmlformats.org/officeDocument/2006/relationships/ctrlProp" Target="../ctrlProps/ctrlProp626.xml"/><Relationship Id="rId417" Type="http://schemas.openxmlformats.org/officeDocument/2006/relationships/ctrlProp" Target="../ctrlProps/ctrlProp847.xml"/><Relationship Id="rId459" Type="http://schemas.openxmlformats.org/officeDocument/2006/relationships/ctrlProp" Target="../ctrlProps/ctrlProp889.xml"/><Relationship Id="rId16" Type="http://schemas.openxmlformats.org/officeDocument/2006/relationships/ctrlProp" Target="../ctrlProps/ctrlProp446.xml"/><Relationship Id="rId221" Type="http://schemas.openxmlformats.org/officeDocument/2006/relationships/ctrlProp" Target="../ctrlProps/ctrlProp651.xml"/><Relationship Id="rId263" Type="http://schemas.openxmlformats.org/officeDocument/2006/relationships/ctrlProp" Target="../ctrlProps/ctrlProp693.xml"/><Relationship Id="rId319" Type="http://schemas.openxmlformats.org/officeDocument/2006/relationships/ctrlProp" Target="../ctrlProps/ctrlProp749.xml"/><Relationship Id="rId470" Type="http://schemas.openxmlformats.org/officeDocument/2006/relationships/ctrlProp" Target="../ctrlProps/ctrlProp900.xml"/><Relationship Id="rId526" Type="http://schemas.openxmlformats.org/officeDocument/2006/relationships/ctrlProp" Target="../ctrlProps/ctrlProp956.xml"/><Relationship Id="rId37" Type="http://schemas.openxmlformats.org/officeDocument/2006/relationships/ctrlProp" Target="../ctrlProps/ctrlProp467.xml"/><Relationship Id="rId58" Type="http://schemas.openxmlformats.org/officeDocument/2006/relationships/ctrlProp" Target="../ctrlProps/ctrlProp488.xml"/><Relationship Id="rId79" Type="http://schemas.openxmlformats.org/officeDocument/2006/relationships/ctrlProp" Target="../ctrlProps/ctrlProp509.xml"/><Relationship Id="rId102" Type="http://schemas.openxmlformats.org/officeDocument/2006/relationships/ctrlProp" Target="../ctrlProps/ctrlProp532.xml"/><Relationship Id="rId123" Type="http://schemas.openxmlformats.org/officeDocument/2006/relationships/ctrlProp" Target="../ctrlProps/ctrlProp553.xml"/><Relationship Id="rId144" Type="http://schemas.openxmlformats.org/officeDocument/2006/relationships/ctrlProp" Target="../ctrlProps/ctrlProp574.xml"/><Relationship Id="rId330" Type="http://schemas.openxmlformats.org/officeDocument/2006/relationships/ctrlProp" Target="../ctrlProps/ctrlProp760.xml"/><Relationship Id="rId547" Type="http://schemas.openxmlformats.org/officeDocument/2006/relationships/ctrlProp" Target="../ctrlProps/ctrlProp977.xml"/><Relationship Id="rId568" Type="http://schemas.openxmlformats.org/officeDocument/2006/relationships/ctrlProp" Target="../ctrlProps/ctrlProp998.xml"/><Relationship Id="rId589" Type="http://schemas.openxmlformats.org/officeDocument/2006/relationships/ctrlProp" Target="../ctrlProps/ctrlProp1019.xml"/><Relationship Id="rId90" Type="http://schemas.openxmlformats.org/officeDocument/2006/relationships/ctrlProp" Target="../ctrlProps/ctrlProp520.xml"/><Relationship Id="rId165" Type="http://schemas.openxmlformats.org/officeDocument/2006/relationships/ctrlProp" Target="../ctrlProps/ctrlProp595.xml"/><Relationship Id="rId186" Type="http://schemas.openxmlformats.org/officeDocument/2006/relationships/ctrlProp" Target="../ctrlProps/ctrlProp616.xml"/><Relationship Id="rId351" Type="http://schemas.openxmlformats.org/officeDocument/2006/relationships/ctrlProp" Target="../ctrlProps/ctrlProp781.xml"/><Relationship Id="rId372" Type="http://schemas.openxmlformats.org/officeDocument/2006/relationships/ctrlProp" Target="../ctrlProps/ctrlProp802.xml"/><Relationship Id="rId393" Type="http://schemas.openxmlformats.org/officeDocument/2006/relationships/ctrlProp" Target="../ctrlProps/ctrlProp823.xml"/><Relationship Id="rId407" Type="http://schemas.openxmlformats.org/officeDocument/2006/relationships/ctrlProp" Target="../ctrlProps/ctrlProp837.xml"/><Relationship Id="rId428" Type="http://schemas.openxmlformats.org/officeDocument/2006/relationships/ctrlProp" Target="../ctrlProps/ctrlProp858.xml"/><Relationship Id="rId449" Type="http://schemas.openxmlformats.org/officeDocument/2006/relationships/ctrlProp" Target="../ctrlProps/ctrlProp879.xml"/><Relationship Id="rId211" Type="http://schemas.openxmlformats.org/officeDocument/2006/relationships/ctrlProp" Target="../ctrlProps/ctrlProp641.xml"/><Relationship Id="rId232" Type="http://schemas.openxmlformats.org/officeDocument/2006/relationships/ctrlProp" Target="../ctrlProps/ctrlProp662.xml"/><Relationship Id="rId253" Type="http://schemas.openxmlformats.org/officeDocument/2006/relationships/ctrlProp" Target="../ctrlProps/ctrlProp683.xml"/><Relationship Id="rId274" Type="http://schemas.openxmlformats.org/officeDocument/2006/relationships/ctrlProp" Target="../ctrlProps/ctrlProp704.xml"/><Relationship Id="rId295" Type="http://schemas.openxmlformats.org/officeDocument/2006/relationships/ctrlProp" Target="../ctrlProps/ctrlProp725.xml"/><Relationship Id="rId309" Type="http://schemas.openxmlformats.org/officeDocument/2006/relationships/ctrlProp" Target="../ctrlProps/ctrlProp739.xml"/><Relationship Id="rId460" Type="http://schemas.openxmlformats.org/officeDocument/2006/relationships/ctrlProp" Target="../ctrlProps/ctrlProp890.xml"/><Relationship Id="rId481" Type="http://schemas.openxmlformats.org/officeDocument/2006/relationships/ctrlProp" Target="../ctrlProps/ctrlProp911.xml"/><Relationship Id="rId516" Type="http://schemas.openxmlformats.org/officeDocument/2006/relationships/ctrlProp" Target="../ctrlProps/ctrlProp946.xml"/><Relationship Id="rId27" Type="http://schemas.openxmlformats.org/officeDocument/2006/relationships/ctrlProp" Target="../ctrlProps/ctrlProp457.xml"/><Relationship Id="rId48" Type="http://schemas.openxmlformats.org/officeDocument/2006/relationships/ctrlProp" Target="../ctrlProps/ctrlProp478.xml"/><Relationship Id="rId69" Type="http://schemas.openxmlformats.org/officeDocument/2006/relationships/ctrlProp" Target="../ctrlProps/ctrlProp499.xml"/><Relationship Id="rId113" Type="http://schemas.openxmlformats.org/officeDocument/2006/relationships/ctrlProp" Target="../ctrlProps/ctrlProp543.xml"/><Relationship Id="rId134" Type="http://schemas.openxmlformats.org/officeDocument/2006/relationships/ctrlProp" Target="../ctrlProps/ctrlProp564.xml"/><Relationship Id="rId320" Type="http://schemas.openxmlformats.org/officeDocument/2006/relationships/ctrlProp" Target="../ctrlProps/ctrlProp750.xml"/><Relationship Id="rId537" Type="http://schemas.openxmlformats.org/officeDocument/2006/relationships/ctrlProp" Target="../ctrlProps/ctrlProp967.xml"/><Relationship Id="rId558" Type="http://schemas.openxmlformats.org/officeDocument/2006/relationships/ctrlProp" Target="../ctrlProps/ctrlProp988.xml"/><Relationship Id="rId579" Type="http://schemas.openxmlformats.org/officeDocument/2006/relationships/ctrlProp" Target="../ctrlProps/ctrlProp1009.xml"/><Relationship Id="rId80" Type="http://schemas.openxmlformats.org/officeDocument/2006/relationships/ctrlProp" Target="../ctrlProps/ctrlProp510.xml"/><Relationship Id="rId155" Type="http://schemas.openxmlformats.org/officeDocument/2006/relationships/ctrlProp" Target="../ctrlProps/ctrlProp585.xml"/><Relationship Id="rId176" Type="http://schemas.openxmlformats.org/officeDocument/2006/relationships/ctrlProp" Target="../ctrlProps/ctrlProp606.xml"/><Relationship Id="rId197" Type="http://schemas.openxmlformats.org/officeDocument/2006/relationships/ctrlProp" Target="../ctrlProps/ctrlProp627.xml"/><Relationship Id="rId341" Type="http://schemas.openxmlformats.org/officeDocument/2006/relationships/ctrlProp" Target="../ctrlProps/ctrlProp771.xml"/><Relationship Id="rId362" Type="http://schemas.openxmlformats.org/officeDocument/2006/relationships/ctrlProp" Target="../ctrlProps/ctrlProp792.xml"/><Relationship Id="rId383" Type="http://schemas.openxmlformats.org/officeDocument/2006/relationships/ctrlProp" Target="../ctrlProps/ctrlProp813.xml"/><Relationship Id="rId418" Type="http://schemas.openxmlformats.org/officeDocument/2006/relationships/ctrlProp" Target="../ctrlProps/ctrlProp848.xml"/><Relationship Id="rId439" Type="http://schemas.openxmlformats.org/officeDocument/2006/relationships/ctrlProp" Target="../ctrlProps/ctrlProp869.xml"/><Relationship Id="rId590" Type="http://schemas.openxmlformats.org/officeDocument/2006/relationships/ctrlProp" Target="../ctrlProps/ctrlProp1020.xml"/><Relationship Id="rId201" Type="http://schemas.openxmlformats.org/officeDocument/2006/relationships/ctrlProp" Target="../ctrlProps/ctrlProp631.xml"/><Relationship Id="rId222" Type="http://schemas.openxmlformats.org/officeDocument/2006/relationships/ctrlProp" Target="../ctrlProps/ctrlProp652.xml"/><Relationship Id="rId243" Type="http://schemas.openxmlformats.org/officeDocument/2006/relationships/ctrlProp" Target="../ctrlProps/ctrlProp673.xml"/><Relationship Id="rId264" Type="http://schemas.openxmlformats.org/officeDocument/2006/relationships/ctrlProp" Target="../ctrlProps/ctrlProp694.xml"/><Relationship Id="rId285" Type="http://schemas.openxmlformats.org/officeDocument/2006/relationships/ctrlProp" Target="../ctrlProps/ctrlProp715.xml"/><Relationship Id="rId450" Type="http://schemas.openxmlformats.org/officeDocument/2006/relationships/ctrlProp" Target="../ctrlProps/ctrlProp880.xml"/><Relationship Id="rId471" Type="http://schemas.openxmlformats.org/officeDocument/2006/relationships/ctrlProp" Target="../ctrlProps/ctrlProp901.xml"/><Relationship Id="rId506" Type="http://schemas.openxmlformats.org/officeDocument/2006/relationships/ctrlProp" Target="../ctrlProps/ctrlProp936.xml"/><Relationship Id="rId17" Type="http://schemas.openxmlformats.org/officeDocument/2006/relationships/ctrlProp" Target="../ctrlProps/ctrlProp447.xml"/><Relationship Id="rId38" Type="http://schemas.openxmlformats.org/officeDocument/2006/relationships/ctrlProp" Target="../ctrlProps/ctrlProp468.xml"/><Relationship Id="rId59" Type="http://schemas.openxmlformats.org/officeDocument/2006/relationships/ctrlProp" Target="../ctrlProps/ctrlProp489.xml"/><Relationship Id="rId103" Type="http://schemas.openxmlformats.org/officeDocument/2006/relationships/ctrlProp" Target="../ctrlProps/ctrlProp533.xml"/><Relationship Id="rId124" Type="http://schemas.openxmlformats.org/officeDocument/2006/relationships/ctrlProp" Target="../ctrlProps/ctrlProp554.xml"/><Relationship Id="rId310" Type="http://schemas.openxmlformats.org/officeDocument/2006/relationships/ctrlProp" Target="../ctrlProps/ctrlProp740.xml"/><Relationship Id="rId492" Type="http://schemas.openxmlformats.org/officeDocument/2006/relationships/ctrlProp" Target="../ctrlProps/ctrlProp922.xml"/><Relationship Id="rId527" Type="http://schemas.openxmlformats.org/officeDocument/2006/relationships/ctrlProp" Target="../ctrlProps/ctrlProp957.xml"/><Relationship Id="rId548" Type="http://schemas.openxmlformats.org/officeDocument/2006/relationships/ctrlProp" Target="../ctrlProps/ctrlProp978.xml"/><Relationship Id="rId569" Type="http://schemas.openxmlformats.org/officeDocument/2006/relationships/ctrlProp" Target="../ctrlProps/ctrlProp999.xml"/><Relationship Id="rId70" Type="http://schemas.openxmlformats.org/officeDocument/2006/relationships/ctrlProp" Target="../ctrlProps/ctrlProp500.xml"/><Relationship Id="rId91" Type="http://schemas.openxmlformats.org/officeDocument/2006/relationships/ctrlProp" Target="../ctrlProps/ctrlProp521.xml"/><Relationship Id="rId145" Type="http://schemas.openxmlformats.org/officeDocument/2006/relationships/ctrlProp" Target="../ctrlProps/ctrlProp575.xml"/><Relationship Id="rId166" Type="http://schemas.openxmlformats.org/officeDocument/2006/relationships/ctrlProp" Target="../ctrlProps/ctrlProp596.xml"/><Relationship Id="rId187" Type="http://schemas.openxmlformats.org/officeDocument/2006/relationships/ctrlProp" Target="../ctrlProps/ctrlProp617.xml"/><Relationship Id="rId331" Type="http://schemas.openxmlformats.org/officeDocument/2006/relationships/ctrlProp" Target="../ctrlProps/ctrlProp761.xml"/><Relationship Id="rId352" Type="http://schemas.openxmlformats.org/officeDocument/2006/relationships/ctrlProp" Target="../ctrlProps/ctrlProp782.xml"/><Relationship Id="rId373" Type="http://schemas.openxmlformats.org/officeDocument/2006/relationships/ctrlProp" Target="../ctrlProps/ctrlProp803.xml"/><Relationship Id="rId394" Type="http://schemas.openxmlformats.org/officeDocument/2006/relationships/ctrlProp" Target="../ctrlProps/ctrlProp824.xml"/><Relationship Id="rId408" Type="http://schemas.openxmlformats.org/officeDocument/2006/relationships/ctrlProp" Target="../ctrlProps/ctrlProp838.xml"/><Relationship Id="rId429" Type="http://schemas.openxmlformats.org/officeDocument/2006/relationships/ctrlProp" Target="../ctrlProps/ctrlProp859.xml"/><Relationship Id="rId580" Type="http://schemas.openxmlformats.org/officeDocument/2006/relationships/ctrlProp" Target="../ctrlProps/ctrlProp1010.xml"/><Relationship Id="rId1" Type="http://schemas.openxmlformats.org/officeDocument/2006/relationships/printerSettings" Target="../printerSettings/printerSettings13.bin"/><Relationship Id="rId212" Type="http://schemas.openxmlformats.org/officeDocument/2006/relationships/ctrlProp" Target="../ctrlProps/ctrlProp642.xml"/><Relationship Id="rId233" Type="http://schemas.openxmlformats.org/officeDocument/2006/relationships/ctrlProp" Target="../ctrlProps/ctrlProp663.xml"/><Relationship Id="rId254" Type="http://schemas.openxmlformats.org/officeDocument/2006/relationships/ctrlProp" Target="../ctrlProps/ctrlProp684.xml"/><Relationship Id="rId440" Type="http://schemas.openxmlformats.org/officeDocument/2006/relationships/ctrlProp" Target="../ctrlProps/ctrlProp870.xml"/><Relationship Id="rId28" Type="http://schemas.openxmlformats.org/officeDocument/2006/relationships/ctrlProp" Target="../ctrlProps/ctrlProp458.xml"/><Relationship Id="rId49" Type="http://schemas.openxmlformats.org/officeDocument/2006/relationships/ctrlProp" Target="../ctrlProps/ctrlProp479.xml"/><Relationship Id="rId114" Type="http://schemas.openxmlformats.org/officeDocument/2006/relationships/ctrlProp" Target="../ctrlProps/ctrlProp544.xml"/><Relationship Id="rId275" Type="http://schemas.openxmlformats.org/officeDocument/2006/relationships/ctrlProp" Target="../ctrlProps/ctrlProp705.xml"/><Relationship Id="rId296" Type="http://schemas.openxmlformats.org/officeDocument/2006/relationships/ctrlProp" Target="../ctrlProps/ctrlProp726.xml"/><Relationship Id="rId300" Type="http://schemas.openxmlformats.org/officeDocument/2006/relationships/ctrlProp" Target="../ctrlProps/ctrlProp730.xml"/><Relationship Id="rId461" Type="http://schemas.openxmlformats.org/officeDocument/2006/relationships/ctrlProp" Target="../ctrlProps/ctrlProp891.xml"/><Relationship Id="rId482" Type="http://schemas.openxmlformats.org/officeDocument/2006/relationships/ctrlProp" Target="../ctrlProps/ctrlProp912.xml"/><Relationship Id="rId517" Type="http://schemas.openxmlformats.org/officeDocument/2006/relationships/ctrlProp" Target="../ctrlProps/ctrlProp947.xml"/><Relationship Id="rId538" Type="http://schemas.openxmlformats.org/officeDocument/2006/relationships/ctrlProp" Target="../ctrlProps/ctrlProp968.xml"/><Relationship Id="rId559" Type="http://schemas.openxmlformats.org/officeDocument/2006/relationships/ctrlProp" Target="../ctrlProps/ctrlProp989.xml"/><Relationship Id="rId60" Type="http://schemas.openxmlformats.org/officeDocument/2006/relationships/ctrlProp" Target="../ctrlProps/ctrlProp490.xml"/><Relationship Id="rId81" Type="http://schemas.openxmlformats.org/officeDocument/2006/relationships/ctrlProp" Target="../ctrlProps/ctrlProp511.xml"/><Relationship Id="rId135" Type="http://schemas.openxmlformats.org/officeDocument/2006/relationships/ctrlProp" Target="../ctrlProps/ctrlProp565.xml"/><Relationship Id="rId156" Type="http://schemas.openxmlformats.org/officeDocument/2006/relationships/ctrlProp" Target="../ctrlProps/ctrlProp586.xml"/><Relationship Id="rId177" Type="http://schemas.openxmlformats.org/officeDocument/2006/relationships/ctrlProp" Target="../ctrlProps/ctrlProp607.xml"/><Relationship Id="rId198" Type="http://schemas.openxmlformats.org/officeDocument/2006/relationships/ctrlProp" Target="../ctrlProps/ctrlProp628.xml"/><Relationship Id="rId321" Type="http://schemas.openxmlformats.org/officeDocument/2006/relationships/ctrlProp" Target="../ctrlProps/ctrlProp751.xml"/><Relationship Id="rId342" Type="http://schemas.openxmlformats.org/officeDocument/2006/relationships/ctrlProp" Target="../ctrlProps/ctrlProp772.xml"/><Relationship Id="rId363" Type="http://schemas.openxmlformats.org/officeDocument/2006/relationships/ctrlProp" Target="../ctrlProps/ctrlProp793.xml"/><Relationship Id="rId384" Type="http://schemas.openxmlformats.org/officeDocument/2006/relationships/ctrlProp" Target="../ctrlProps/ctrlProp814.xml"/><Relationship Id="rId419" Type="http://schemas.openxmlformats.org/officeDocument/2006/relationships/ctrlProp" Target="../ctrlProps/ctrlProp849.xml"/><Relationship Id="rId570" Type="http://schemas.openxmlformats.org/officeDocument/2006/relationships/ctrlProp" Target="../ctrlProps/ctrlProp1000.xml"/><Relationship Id="rId591" Type="http://schemas.openxmlformats.org/officeDocument/2006/relationships/ctrlProp" Target="../ctrlProps/ctrlProp1021.xml"/><Relationship Id="rId202" Type="http://schemas.openxmlformats.org/officeDocument/2006/relationships/ctrlProp" Target="../ctrlProps/ctrlProp632.xml"/><Relationship Id="rId223" Type="http://schemas.openxmlformats.org/officeDocument/2006/relationships/ctrlProp" Target="../ctrlProps/ctrlProp653.xml"/><Relationship Id="rId244" Type="http://schemas.openxmlformats.org/officeDocument/2006/relationships/ctrlProp" Target="../ctrlProps/ctrlProp674.xml"/><Relationship Id="rId430" Type="http://schemas.openxmlformats.org/officeDocument/2006/relationships/ctrlProp" Target="../ctrlProps/ctrlProp860.xml"/><Relationship Id="rId18" Type="http://schemas.openxmlformats.org/officeDocument/2006/relationships/ctrlProp" Target="../ctrlProps/ctrlProp448.xml"/><Relationship Id="rId39" Type="http://schemas.openxmlformats.org/officeDocument/2006/relationships/ctrlProp" Target="../ctrlProps/ctrlProp469.xml"/><Relationship Id="rId265" Type="http://schemas.openxmlformats.org/officeDocument/2006/relationships/ctrlProp" Target="../ctrlProps/ctrlProp695.xml"/><Relationship Id="rId286" Type="http://schemas.openxmlformats.org/officeDocument/2006/relationships/ctrlProp" Target="../ctrlProps/ctrlProp716.xml"/><Relationship Id="rId451" Type="http://schemas.openxmlformats.org/officeDocument/2006/relationships/ctrlProp" Target="../ctrlProps/ctrlProp881.xml"/><Relationship Id="rId472" Type="http://schemas.openxmlformats.org/officeDocument/2006/relationships/ctrlProp" Target="../ctrlProps/ctrlProp902.xml"/><Relationship Id="rId493" Type="http://schemas.openxmlformats.org/officeDocument/2006/relationships/ctrlProp" Target="../ctrlProps/ctrlProp923.xml"/><Relationship Id="rId507" Type="http://schemas.openxmlformats.org/officeDocument/2006/relationships/ctrlProp" Target="../ctrlProps/ctrlProp937.xml"/><Relationship Id="rId528" Type="http://schemas.openxmlformats.org/officeDocument/2006/relationships/ctrlProp" Target="../ctrlProps/ctrlProp958.xml"/><Relationship Id="rId549" Type="http://schemas.openxmlformats.org/officeDocument/2006/relationships/ctrlProp" Target="../ctrlProps/ctrlProp979.xml"/><Relationship Id="rId50" Type="http://schemas.openxmlformats.org/officeDocument/2006/relationships/ctrlProp" Target="../ctrlProps/ctrlProp480.xml"/><Relationship Id="rId104" Type="http://schemas.openxmlformats.org/officeDocument/2006/relationships/ctrlProp" Target="../ctrlProps/ctrlProp534.xml"/><Relationship Id="rId125" Type="http://schemas.openxmlformats.org/officeDocument/2006/relationships/ctrlProp" Target="../ctrlProps/ctrlProp555.xml"/><Relationship Id="rId146" Type="http://schemas.openxmlformats.org/officeDocument/2006/relationships/ctrlProp" Target="../ctrlProps/ctrlProp576.xml"/><Relationship Id="rId167" Type="http://schemas.openxmlformats.org/officeDocument/2006/relationships/ctrlProp" Target="../ctrlProps/ctrlProp597.xml"/><Relationship Id="rId188" Type="http://schemas.openxmlformats.org/officeDocument/2006/relationships/ctrlProp" Target="../ctrlProps/ctrlProp618.xml"/><Relationship Id="rId311" Type="http://schemas.openxmlformats.org/officeDocument/2006/relationships/ctrlProp" Target="../ctrlProps/ctrlProp741.xml"/><Relationship Id="rId332" Type="http://schemas.openxmlformats.org/officeDocument/2006/relationships/ctrlProp" Target="../ctrlProps/ctrlProp762.xml"/><Relationship Id="rId353" Type="http://schemas.openxmlformats.org/officeDocument/2006/relationships/ctrlProp" Target="../ctrlProps/ctrlProp783.xml"/><Relationship Id="rId374" Type="http://schemas.openxmlformats.org/officeDocument/2006/relationships/ctrlProp" Target="../ctrlProps/ctrlProp804.xml"/><Relationship Id="rId395" Type="http://schemas.openxmlformats.org/officeDocument/2006/relationships/ctrlProp" Target="../ctrlProps/ctrlProp825.xml"/><Relationship Id="rId409" Type="http://schemas.openxmlformats.org/officeDocument/2006/relationships/ctrlProp" Target="../ctrlProps/ctrlProp839.xml"/><Relationship Id="rId560" Type="http://schemas.openxmlformats.org/officeDocument/2006/relationships/ctrlProp" Target="../ctrlProps/ctrlProp990.xml"/><Relationship Id="rId581" Type="http://schemas.openxmlformats.org/officeDocument/2006/relationships/ctrlProp" Target="../ctrlProps/ctrlProp1011.xml"/><Relationship Id="rId71" Type="http://schemas.openxmlformats.org/officeDocument/2006/relationships/ctrlProp" Target="../ctrlProps/ctrlProp501.xml"/><Relationship Id="rId92" Type="http://schemas.openxmlformats.org/officeDocument/2006/relationships/ctrlProp" Target="../ctrlProps/ctrlProp522.xml"/><Relationship Id="rId213" Type="http://schemas.openxmlformats.org/officeDocument/2006/relationships/ctrlProp" Target="../ctrlProps/ctrlProp643.xml"/><Relationship Id="rId234" Type="http://schemas.openxmlformats.org/officeDocument/2006/relationships/ctrlProp" Target="../ctrlProps/ctrlProp664.xml"/><Relationship Id="rId420" Type="http://schemas.openxmlformats.org/officeDocument/2006/relationships/ctrlProp" Target="../ctrlProps/ctrlProp850.xml"/><Relationship Id="rId2" Type="http://schemas.openxmlformats.org/officeDocument/2006/relationships/drawing" Target="../drawings/drawing7.xml"/><Relationship Id="rId29" Type="http://schemas.openxmlformats.org/officeDocument/2006/relationships/ctrlProp" Target="../ctrlProps/ctrlProp459.xml"/><Relationship Id="rId255" Type="http://schemas.openxmlformats.org/officeDocument/2006/relationships/ctrlProp" Target="../ctrlProps/ctrlProp685.xml"/><Relationship Id="rId276" Type="http://schemas.openxmlformats.org/officeDocument/2006/relationships/ctrlProp" Target="../ctrlProps/ctrlProp706.xml"/><Relationship Id="rId297" Type="http://schemas.openxmlformats.org/officeDocument/2006/relationships/ctrlProp" Target="../ctrlProps/ctrlProp727.xml"/><Relationship Id="rId441" Type="http://schemas.openxmlformats.org/officeDocument/2006/relationships/ctrlProp" Target="../ctrlProps/ctrlProp871.xml"/><Relationship Id="rId462" Type="http://schemas.openxmlformats.org/officeDocument/2006/relationships/ctrlProp" Target="../ctrlProps/ctrlProp892.xml"/><Relationship Id="rId483" Type="http://schemas.openxmlformats.org/officeDocument/2006/relationships/ctrlProp" Target="../ctrlProps/ctrlProp913.xml"/><Relationship Id="rId518" Type="http://schemas.openxmlformats.org/officeDocument/2006/relationships/ctrlProp" Target="../ctrlProps/ctrlProp948.xml"/><Relationship Id="rId539" Type="http://schemas.openxmlformats.org/officeDocument/2006/relationships/ctrlProp" Target="../ctrlProps/ctrlProp969.xml"/><Relationship Id="rId40" Type="http://schemas.openxmlformats.org/officeDocument/2006/relationships/ctrlProp" Target="../ctrlProps/ctrlProp470.xml"/><Relationship Id="rId115" Type="http://schemas.openxmlformats.org/officeDocument/2006/relationships/ctrlProp" Target="../ctrlProps/ctrlProp545.xml"/><Relationship Id="rId136" Type="http://schemas.openxmlformats.org/officeDocument/2006/relationships/ctrlProp" Target="../ctrlProps/ctrlProp566.xml"/><Relationship Id="rId157" Type="http://schemas.openxmlformats.org/officeDocument/2006/relationships/ctrlProp" Target="../ctrlProps/ctrlProp587.xml"/><Relationship Id="rId178" Type="http://schemas.openxmlformats.org/officeDocument/2006/relationships/ctrlProp" Target="../ctrlProps/ctrlProp608.xml"/><Relationship Id="rId301" Type="http://schemas.openxmlformats.org/officeDocument/2006/relationships/ctrlProp" Target="../ctrlProps/ctrlProp731.xml"/><Relationship Id="rId322" Type="http://schemas.openxmlformats.org/officeDocument/2006/relationships/ctrlProp" Target="../ctrlProps/ctrlProp752.xml"/><Relationship Id="rId343" Type="http://schemas.openxmlformats.org/officeDocument/2006/relationships/ctrlProp" Target="../ctrlProps/ctrlProp773.xml"/><Relationship Id="rId364" Type="http://schemas.openxmlformats.org/officeDocument/2006/relationships/ctrlProp" Target="../ctrlProps/ctrlProp794.xml"/><Relationship Id="rId550" Type="http://schemas.openxmlformats.org/officeDocument/2006/relationships/ctrlProp" Target="../ctrlProps/ctrlProp980.xml"/><Relationship Id="rId61" Type="http://schemas.openxmlformats.org/officeDocument/2006/relationships/ctrlProp" Target="../ctrlProps/ctrlProp491.xml"/><Relationship Id="rId82" Type="http://schemas.openxmlformats.org/officeDocument/2006/relationships/ctrlProp" Target="../ctrlProps/ctrlProp512.xml"/><Relationship Id="rId199" Type="http://schemas.openxmlformats.org/officeDocument/2006/relationships/ctrlProp" Target="../ctrlProps/ctrlProp629.xml"/><Relationship Id="rId203" Type="http://schemas.openxmlformats.org/officeDocument/2006/relationships/ctrlProp" Target="../ctrlProps/ctrlProp633.xml"/><Relationship Id="rId385" Type="http://schemas.openxmlformats.org/officeDocument/2006/relationships/ctrlProp" Target="../ctrlProps/ctrlProp815.xml"/><Relationship Id="rId571" Type="http://schemas.openxmlformats.org/officeDocument/2006/relationships/ctrlProp" Target="../ctrlProps/ctrlProp1001.xml"/><Relationship Id="rId592" Type="http://schemas.openxmlformats.org/officeDocument/2006/relationships/ctrlProp" Target="../ctrlProps/ctrlProp1022.xml"/><Relationship Id="rId19" Type="http://schemas.openxmlformats.org/officeDocument/2006/relationships/ctrlProp" Target="../ctrlProps/ctrlProp449.xml"/><Relationship Id="rId224" Type="http://schemas.openxmlformats.org/officeDocument/2006/relationships/ctrlProp" Target="../ctrlProps/ctrlProp654.xml"/><Relationship Id="rId245" Type="http://schemas.openxmlformats.org/officeDocument/2006/relationships/ctrlProp" Target="../ctrlProps/ctrlProp675.xml"/><Relationship Id="rId266" Type="http://schemas.openxmlformats.org/officeDocument/2006/relationships/ctrlProp" Target="../ctrlProps/ctrlProp696.xml"/><Relationship Id="rId287" Type="http://schemas.openxmlformats.org/officeDocument/2006/relationships/ctrlProp" Target="../ctrlProps/ctrlProp717.xml"/><Relationship Id="rId410" Type="http://schemas.openxmlformats.org/officeDocument/2006/relationships/ctrlProp" Target="../ctrlProps/ctrlProp840.xml"/><Relationship Id="rId431" Type="http://schemas.openxmlformats.org/officeDocument/2006/relationships/ctrlProp" Target="../ctrlProps/ctrlProp861.xml"/><Relationship Id="rId452" Type="http://schemas.openxmlformats.org/officeDocument/2006/relationships/ctrlProp" Target="../ctrlProps/ctrlProp882.xml"/><Relationship Id="rId473" Type="http://schemas.openxmlformats.org/officeDocument/2006/relationships/ctrlProp" Target="../ctrlProps/ctrlProp903.xml"/><Relationship Id="rId494" Type="http://schemas.openxmlformats.org/officeDocument/2006/relationships/ctrlProp" Target="../ctrlProps/ctrlProp924.xml"/><Relationship Id="rId508" Type="http://schemas.openxmlformats.org/officeDocument/2006/relationships/ctrlProp" Target="../ctrlProps/ctrlProp938.xml"/><Relationship Id="rId529" Type="http://schemas.openxmlformats.org/officeDocument/2006/relationships/ctrlProp" Target="../ctrlProps/ctrlProp959.xml"/><Relationship Id="rId30" Type="http://schemas.openxmlformats.org/officeDocument/2006/relationships/ctrlProp" Target="../ctrlProps/ctrlProp460.xml"/><Relationship Id="rId105" Type="http://schemas.openxmlformats.org/officeDocument/2006/relationships/ctrlProp" Target="../ctrlProps/ctrlProp535.xml"/><Relationship Id="rId126" Type="http://schemas.openxmlformats.org/officeDocument/2006/relationships/ctrlProp" Target="../ctrlProps/ctrlProp556.xml"/><Relationship Id="rId147" Type="http://schemas.openxmlformats.org/officeDocument/2006/relationships/ctrlProp" Target="../ctrlProps/ctrlProp577.xml"/><Relationship Id="rId168" Type="http://schemas.openxmlformats.org/officeDocument/2006/relationships/ctrlProp" Target="../ctrlProps/ctrlProp598.xml"/><Relationship Id="rId312" Type="http://schemas.openxmlformats.org/officeDocument/2006/relationships/ctrlProp" Target="../ctrlProps/ctrlProp742.xml"/><Relationship Id="rId333" Type="http://schemas.openxmlformats.org/officeDocument/2006/relationships/ctrlProp" Target="../ctrlProps/ctrlProp763.xml"/><Relationship Id="rId354" Type="http://schemas.openxmlformats.org/officeDocument/2006/relationships/ctrlProp" Target="../ctrlProps/ctrlProp784.xml"/><Relationship Id="rId540" Type="http://schemas.openxmlformats.org/officeDocument/2006/relationships/ctrlProp" Target="../ctrlProps/ctrlProp970.xml"/><Relationship Id="rId51" Type="http://schemas.openxmlformats.org/officeDocument/2006/relationships/ctrlProp" Target="../ctrlProps/ctrlProp481.xml"/><Relationship Id="rId72" Type="http://schemas.openxmlformats.org/officeDocument/2006/relationships/ctrlProp" Target="../ctrlProps/ctrlProp502.xml"/><Relationship Id="rId93" Type="http://schemas.openxmlformats.org/officeDocument/2006/relationships/ctrlProp" Target="../ctrlProps/ctrlProp523.xml"/><Relationship Id="rId189" Type="http://schemas.openxmlformats.org/officeDocument/2006/relationships/ctrlProp" Target="../ctrlProps/ctrlProp619.xml"/><Relationship Id="rId375" Type="http://schemas.openxmlformats.org/officeDocument/2006/relationships/ctrlProp" Target="../ctrlProps/ctrlProp805.xml"/><Relationship Id="rId396" Type="http://schemas.openxmlformats.org/officeDocument/2006/relationships/ctrlProp" Target="../ctrlProps/ctrlProp826.xml"/><Relationship Id="rId561" Type="http://schemas.openxmlformats.org/officeDocument/2006/relationships/ctrlProp" Target="../ctrlProps/ctrlProp991.xml"/><Relationship Id="rId582" Type="http://schemas.openxmlformats.org/officeDocument/2006/relationships/ctrlProp" Target="../ctrlProps/ctrlProp1012.xml"/><Relationship Id="rId3" Type="http://schemas.openxmlformats.org/officeDocument/2006/relationships/vmlDrawing" Target="../drawings/vmlDrawing6.vml"/><Relationship Id="rId214" Type="http://schemas.openxmlformats.org/officeDocument/2006/relationships/ctrlProp" Target="../ctrlProps/ctrlProp644.xml"/><Relationship Id="rId235" Type="http://schemas.openxmlformats.org/officeDocument/2006/relationships/ctrlProp" Target="../ctrlProps/ctrlProp665.xml"/><Relationship Id="rId256" Type="http://schemas.openxmlformats.org/officeDocument/2006/relationships/ctrlProp" Target="../ctrlProps/ctrlProp686.xml"/><Relationship Id="rId277" Type="http://schemas.openxmlformats.org/officeDocument/2006/relationships/ctrlProp" Target="../ctrlProps/ctrlProp707.xml"/><Relationship Id="rId298" Type="http://schemas.openxmlformats.org/officeDocument/2006/relationships/ctrlProp" Target="../ctrlProps/ctrlProp728.xml"/><Relationship Id="rId400" Type="http://schemas.openxmlformats.org/officeDocument/2006/relationships/ctrlProp" Target="../ctrlProps/ctrlProp830.xml"/><Relationship Id="rId421" Type="http://schemas.openxmlformats.org/officeDocument/2006/relationships/ctrlProp" Target="../ctrlProps/ctrlProp851.xml"/><Relationship Id="rId442" Type="http://schemas.openxmlformats.org/officeDocument/2006/relationships/ctrlProp" Target="../ctrlProps/ctrlProp872.xml"/><Relationship Id="rId463" Type="http://schemas.openxmlformats.org/officeDocument/2006/relationships/ctrlProp" Target="../ctrlProps/ctrlProp893.xml"/><Relationship Id="rId484" Type="http://schemas.openxmlformats.org/officeDocument/2006/relationships/ctrlProp" Target="../ctrlProps/ctrlProp914.xml"/><Relationship Id="rId519" Type="http://schemas.openxmlformats.org/officeDocument/2006/relationships/ctrlProp" Target="../ctrlProps/ctrlProp949.xml"/><Relationship Id="rId116" Type="http://schemas.openxmlformats.org/officeDocument/2006/relationships/ctrlProp" Target="../ctrlProps/ctrlProp546.xml"/><Relationship Id="rId137" Type="http://schemas.openxmlformats.org/officeDocument/2006/relationships/ctrlProp" Target="../ctrlProps/ctrlProp567.xml"/><Relationship Id="rId158" Type="http://schemas.openxmlformats.org/officeDocument/2006/relationships/ctrlProp" Target="../ctrlProps/ctrlProp588.xml"/><Relationship Id="rId302" Type="http://schemas.openxmlformats.org/officeDocument/2006/relationships/ctrlProp" Target="../ctrlProps/ctrlProp732.xml"/><Relationship Id="rId323" Type="http://schemas.openxmlformats.org/officeDocument/2006/relationships/ctrlProp" Target="../ctrlProps/ctrlProp753.xml"/><Relationship Id="rId344" Type="http://schemas.openxmlformats.org/officeDocument/2006/relationships/ctrlProp" Target="../ctrlProps/ctrlProp774.xml"/><Relationship Id="rId530" Type="http://schemas.openxmlformats.org/officeDocument/2006/relationships/ctrlProp" Target="../ctrlProps/ctrlProp960.xml"/><Relationship Id="rId20" Type="http://schemas.openxmlformats.org/officeDocument/2006/relationships/ctrlProp" Target="../ctrlProps/ctrlProp450.xml"/><Relationship Id="rId41" Type="http://schemas.openxmlformats.org/officeDocument/2006/relationships/ctrlProp" Target="../ctrlProps/ctrlProp471.xml"/><Relationship Id="rId62" Type="http://schemas.openxmlformats.org/officeDocument/2006/relationships/ctrlProp" Target="../ctrlProps/ctrlProp492.xml"/><Relationship Id="rId83" Type="http://schemas.openxmlformats.org/officeDocument/2006/relationships/ctrlProp" Target="../ctrlProps/ctrlProp513.xml"/><Relationship Id="rId179" Type="http://schemas.openxmlformats.org/officeDocument/2006/relationships/ctrlProp" Target="../ctrlProps/ctrlProp609.xml"/><Relationship Id="rId365" Type="http://schemas.openxmlformats.org/officeDocument/2006/relationships/ctrlProp" Target="../ctrlProps/ctrlProp795.xml"/><Relationship Id="rId386" Type="http://schemas.openxmlformats.org/officeDocument/2006/relationships/ctrlProp" Target="../ctrlProps/ctrlProp816.xml"/><Relationship Id="rId551" Type="http://schemas.openxmlformats.org/officeDocument/2006/relationships/ctrlProp" Target="../ctrlProps/ctrlProp981.xml"/><Relationship Id="rId572" Type="http://schemas.openxmlformats.org/officeDocument/2006/relationships/ctrlProp" Target="../ctrlProps/ctrlProp1002.xml"/><Relationship Id="rId593" Type="http://schemas.openxmlformats.org/officeDocument/2006/relationships/ctrlProp" Target="../ctrlProps/ctrlProp1023.xml"/><Relationship Id="rId190" Type="http://schemas.openxmlformats.org/officeDocument/2006/relationships/ctrlProp" Target="../ctrlProps/ctrlProp620.xml"/><Relationship Id="rId204" Type="http://schemas.openxmlformats.org/officeDocument/2006/relationships/ctrlProp" Target="../ctrlProps/ctrlProp634.xml"/><Relationship Id="rId225" Type="http://schemas.openxmlformats.org/officeDocument/2006/relationships/ctrlProp" Target="../ctrlProps/ctrlProp655.xml"/><Relationship Id="rId246" Type="http://schemas.openxmlformats.org/officeDocument/2006/relationships/ctrlProp" Target="../ctrlProps/ctrlProp676.xml"/><Relationship Id="rId267" Type="http://schemas.openxmlformats.org/officeDocument/2006/relationships/ctrlProp" Target="../ctrlProps/ctrlProp697.xml"/><Relationship Id="rId288" Type="http://schemas.openxmlformats.org/officeDocument/2006/relationships/ctrlProp" Target="../ctrlProps/ctrlProp718.xml"/><Relationship Id="rId411" Type="http://schemas.openxmlformats.org/officeDocument/2006/relationships/ctrlProp" Target="../ctrlProps/ctrlProp841.xml"/><Relationship Id="rId432" Type="http://schemas.openxmlformats.org/officeDocument/2006/relationships/ctrlProp" Target="../ctrlProps/ctrlProp862.xml"/><Relationship Id="rId453" Type="http://schemas.openxmlformats.org/officeDocument/2006/relationships/ctrlProp" Target="../ctrlProps/ctrlProp883.xml"/><Relationship Id="rId474" Type="http://schemas.openxmlformats.org/officeDocument/2006/relationships/ctrlProp" Target="../ctrlProps/ctrlProp904.xml"/><Relationship Id="rId509" Type="http://schemas.openxmlformats.org/officeDocument/2006/relationships/ctrlProp" Target="../ctrlProps/ctrlProp939.xml"/><Relationship Id="rId106" Type="http://schemas.openxmlformats.org/officeDocument/2006/relationships/ctrlProp" Target="../ctrlProps/ctrlProp536.xml"/><Relationship Id="rId127" Type="http://schemas.openxmlformats.org/officeDocument/2006/relationships/ctrlProp" Target="../ctrlProps/ctrlProp557.xml"/><Relationship Id="rId313" Type="http://schemas.openxmlformats.org/officeDocument/2006/relationships/ctrlProp" Target="../ctrlProps/ctrlProp743.xml"/><Relationship Id="rId495" Type="http://schemas.openxmlformats.org/officeDocument/2006/relationships/ctrlProp" Target="../ctrlProps/ctrlProp925.xml"/><Relationship Id="rId10" Type="http://schemas.openxmlformats.org/officeDocument/2006/relationships/ctrlProp" Target="../ctrlProps/ctrlProp440.xml"/><Relationship Id="rId31" Type="http://schemas.openxmlformats.org/officeDocument/2006/relationships/ctrlProp" Target="../ctrlProps/ctrlProp461.xml"/><Relationship Id="rId52" Type="http://schemas.openxmlformats.org/officeDocument/2006/relationships/ctrlProp" Target="../ctrlProps/ctrlProp482.xml"/><Relationship Id="rId73" Type="http://schemas.openxmlformats.org/officeDocument/2006/relationships/ctrlProp" Target="../ctrlProps/ctrlProp503.xml"/><Relationship Id="rId94" Type="http://schemas.openxmlformats.org/officeDocument/2006/relationships/ctrlProp" Target="../ctrlProps/ctrlProp524.xml"/><Relationship Id="rId148" Type="http://schemas.openxmlformats.org/officeDocument/2006/relationships/ctrlProp" Target="../ctrlProps/ctrlProp578.xml"/><Relationship Id="rId169" Type="http://schemas.openxmlformats.org/officeDocument/2006/relationships/ctrlProp" Target="../ctrlProps/ctrlProp599.xml"/><Relationship Id="rId334" Type="http://schemas.openxmlformats.org/officeDocument/2006/relationships/ctrlProp" Target="../ctrlProps/ctrlProp764.xml"/><Relationship Id="rId355" Type="http://schemas.openxmlformats.org/officeDocument/2006/relationships/ctrlProp" Target="../ctrlProps/ctrlProp785.xml"/><Relationship Id="rId376" Type="http://schemas.openxmlformats.org/officeDocument/2006/relationships/ctrlProp" Target="../ctrlProps/ctrlProp806.xml"/><Relationship Id="rId397" Type="http://schemas.openxmlformats.org/officeDocument/2006/relationships/ctrlProp" Target="../ctrlProps/ctrlProp827.xml"/><Relationship Id="rId520" Type="http://schemas.openxmlformats.org/officeDocument/2006/relationships/ctrlProp" Target="../ctrlProps/ctrlProp950.xml"/><Relationship Id="rId541" Type="http://schemas.openxmlformats.org/officeDocument/2006/relationships/ctrlProp" Target="../ctrlProps/ctrlProp971.xml"/><Relationship Id="rId562" Type="http://schemas.openxmlformats.org/officeDocument/2006/relationships/ctrlProp" Target="../ctrlProps/ctrlProp992.xml"/><Relationship Id="rId583" Type="http://schemas.openxmlformats.org/officeDocument/2006/relationships/ctrlProp" Target="../ctrlProps/ctrlProp1013.xml"/><Relationship Id="rId4" Type="http://schemas.openxmlformats.org/officeDocument/2006/relationships/ctrlProp" Target="../ctrlProps/ctrlProp434.xml"/><Relationship Id="rId180" Type="http://schemas.openxmlformats.org/officeDocument/2006/relationships/ctrlProp" Target="../ctrlProps/ctrlProp610.xml"/><Relationship Id="rId215" Type="http://schemas.openxmlformats.org/officeDocument/2006/relationships/ctrlProp" Target="../ctrlProps/ctrlProp645.xml"/><Relationship Id="rId236" Type="http://schemas.openxmlformats.org/officeDocument/2006/relationships/ctrlProp" Target="../ctrlProps/ctrlProp666.xml"/><Relationship Id="rId257" Type="http://schemas.openxmlformats.org/officeDocument/2006/relationships/ctrlProp" Target="../ctrlProps/ctrlProp687.xml"/><Relationship Id="rId278" Type="http://schemas.openxmlformats.org/officeDocument/2006/relationships/ctrlProp" Target="../ctrlProps/ctrlProp708.xml"/><Relationship Id="rId401" Type="http://schemas.openxmlformats.org/officeDocument/2006/relationships/ctrlProp" Target="../ctrlProps/ctrlProp831.xml"/><Relationship Id="rId422" Type="http://schemas.openxmlformats.org/officeDocument/2006/relationships/ctrlProp" Target="../ctrlProps/ctrlProp852.xml"/><Relationship Id="rId443" Type="http://schemas.openxmlformats.org/officeDocument/2006/relationships/ctrlProp" Target="../ctrlProps/ctrlProp873.xml"/><Relationship Id="rId464" Type="http://schemas.openxmlformats.org/officeDocument/2006/relationships/ctrlProp" Target="../ctrlProps/ctrlProp894.xml"/><Relationship Id="rId303" Type="http://schemas.openxmlformats.org/officeDocument/2006/relationships/ctrlProp" Target="../ctrlProps/ctrlProp733.xml"/><Relationship Id="rId485" Type="http://schemas.openxmlformats.org/officeDocument/2006/relationships/ctrlProp" Target="../ctrlProps/ctrlProp915.xml"/><Relationship Id="rId42" Type="http://schemas.openxmlformats.org/officeDocument/2006/relationships/ctrlProp" Target="../ctrlProps/ctrlProp472.xml"/><Relationship Id="rId84" Type="http://schemas.openxmlformats.org/officeDocument/2006/relationships/ctrlProp" Target="../ctrlProps/ctrlProp514.xml"/><Relationship Id="rId138" Type="http://schemas.openxmlformats.org/officeDocument/2006/relationships/ctrlProp" Target="../ctrlProps/ctrlProp568.xml"/><Relationship Id="rId345" Type="http://schemas.openxmlformats.org/officeDocument/2006/relationships/ctrlProp" Target="../ctrlProps/ctrlProp775.xml"/><Relationship Id="rId387" Type="http://schemas.openxmlformats.org/officeDocument/2006/relationships/ctrlProp" Target="../ctrlProps/ctrlProp817.xml"/><Relationship Id="rId510" Type="http://schemas.openxmlformats.org/officeDocument/2006/relationships/ctrlProp" Target="../ctrlProps/ctrlProp940.xml"/><Relationship Id="rId552" Type="http://schemas.openxmlformats.org/officeDocument/2006/relationships/ctrlProp" Target="../ctrlProps/ctrlProp982.xml"/><Relationship Id="rId594" Type="http://schemas.openxmlformats.org/officeDocument/2006/relationships/ctrlProp" Target="../ctrlProps/ctrlProp1024.xml"/><Relationship Id="rId191" Type="http://schemas.openxmlformats.org/officeDocument/2006/relationships/ctrlProp" Target="../ctrlProps/ctrlProp621.xml"/><Relationship Id="rId205" Type="http://schemas.openxmlformats.org/officeDocument/2006/relationships/ctrlProp" Target="../ctrlProps/ctrlProp635.xml"/><Relationship Id="rId247" Type="http://schemas.openxmlformats.org/officeDocument/2006/relationships/ctrlProp" Target="../ctrlProps/ctrlProp677.xml"/><Relationship Id="rId412" Type="http://schemas.openxmlformats.org/officeDocument/2006/relationships/ctrlProp" Target="../ctrlProps/ctrlProp842.xml"/><Relationship Id="rId107" Type="http://schemas.openxmlformats.org/officeDocument/2006/relationships/ctrlProp" Target="../ctrlProps/ctrlProp537.xml"/><Relationship Id="rId289" Type="http://schemas.openxmlformats.org/officeDocument/2006/relationships/ctrlProp" Target="../ctrlProps/ctrlProp719.xml"/><Relationship Id="rId454" Type="http://schemas.openxmlformats.org/officeDocument/2006/relationships/ctrlProp" Target="../ctrlProps/ctrlProp884.xml"/><Relationship Id="rId496" Type="http://schemas.openxmlformats.org/officeDocument/2006/relationships/ctrlProp" Target="../ctrlProps/ctrlProp926.xml"/><Relationship Id="rId11" Type="http://schemas.openxmlformats.org/officeDocument/2006/relationships/ctrlProp" Target="../ctrlProps/ctrlProp441.xml"/><Relationship Id="rId53" Type="http://schemas.openxmlformats.org/officeDocument/2006/relationships/ctrlProp" Target="../ctrlProps/ctrlProp483.xml"/><Relationship Id="rId149" Type="http://schemas.openxmlformats.org/officeDocument/2006/relationships/ctrlProp" Target="../ctrlProps/ctrlProp579.xml"/><Relationship Id="rId314" Type="http://schemas.openxmlformats.org/officeDocument/2006/relationships/ctrlProp" Target="../ctrlProps/ctrlProp744.xml"/><Relationship Id="rId356" Type="http://schemas.openxmlformats.org/officeDocument/2006/relationships/ctrlProp" Target="../ctrlProps/ctrlProp786.xml"/><Relationship Id="rId398" Type="http://schemas.openxmlformats.org/officeDocument/2006/relationships/ctrlProp" Target="../ctrlProps/ctrlProp828.xml"/><Relationship Id="rId521" Type="http://schemas.openxmlformats.org/officeDocument/2006/relationships/ctrlProp" Target="../ctrlProps/ctrlProp951.xml"/><Relationship Id="rId563" Type="http://schemas.openxmlformats.org/officeDocument/2006/relationships/ctrlProp" Target="../ctrlProps/ctrlProp993.xml"/><Relationship Id="rId95" Type="http://schemas.openxmlformats.org/officeDocument/2006/relationships/ctrlProp" Target="../ctrlProps/ctrlProp525.xml"/><Relationship Id="rId160" Type="http://schemas.openxmlformats.org/officeDocument/2006/relationships/ctrlProp" Target="../ctrlProps/ctrlProp590.xml"/><Relationship Id="rId216" Type="http://schemas.openxmlformats.org/officeDocument/2006/relationships/ctrlProp" Target="../ctrlProps/ctrlProp646.xml"/><Relationship Id="rId423" Type="http://schemas.openxmlformats.org/officeDocument/2006/relationships/ctrlProp" Target="../ctrlProps/ctrlProp853.xml"/><Relationship Id="rId258" Type="http://schemas.openxmlformats.org/officeDocument/2006/relationships/ctrlProp" Target="../ctrlProps/ctrlProp688.xml"/><Relationship Id="rId465" Type="http://schemas.openxmlformats.org/officeDocument/2006/relationships/ctrlProp" Target="../ctrlProps/ctrlProp895.xml"/><Relationship Id="rId22" Type="http://schemas.openxmlformats.org/officeDocument/2006/relationships/ctrlProp" Target="../ctrlProps/ctrlProp452.xml"/><Relationship Id="rId64" Type="http://schemas.openxmlformats.org/officeDocument/2006/relationships/ctrlProp" Target="../ctrlProps/ctrlProp494.xml"/><Relationship Id="rId118" Type="http://schemas.openxmlformats.org/officeDocument/2006/relationships/ctrlProp" Target="../ctrlProps/ctrlProp548.xml"/><Relationship Id="rId325" Type="http://schemas.openxmlformats.org/officeDocument/2006/relationships/ctrlProp" Target="../ctrlProps/ctrlProp755.xml"/><Relationship Id="rId367" Type="http://schemas.openxmlformats.org/officeDocument/2006/relationships/ctrlProp" Target="../ctrlProps/ctrlProp797.xml"/><Relationship Id="rId532" Type="http://schemas.openxmlformats.org/officeDocument/2006/relationships/ctrlProp" Target="../ctrlProps/ctrlProp962.xml"/><Relationship Id="rId574" Type="http://schemas.openxmlformats.org/officeDocument/2006/relationships/ctrlProp" Target="../ctrlProps/ctrlProp1004.xml"/><Relationship Id="rId171" Type="http://schemas.openxmlformats.org/officeDocument/2006/relationships/ctrlProp" Target="../ctrlProps/ctrlProp601.xml"/><Relationship Id="rId227" Type="http://schemas.openxmlformats.org/officeDocument/2006/relationships/ctrlProp" Target="../ctrlProps/ctrlProp657.xml"/><Relationship Id="rId269" Type="http://schemas.openxmlformats.org/officeDocument/2006/relationships/ctrlProp" Target="../ctrlProps/ctrlProp699.xml"/><Relationship Id="rId434" Type="http://schemas.openxmlformats.org/officeDocument/2006/relationships/ctrlProp" Target="../ctrlProps/ctrlProp864.xml"/><Relationship Id="rId476" Type="http://schemas.openxmlformats.org/officeDocument/2006/relationships/ctrlProp" Target="../ctrlProps/ctrlProp906.xml"/><Relationship Id="rId33" Type="http://schemas.openxmlformats.org/officeDocument/2006/relationships/ctrlProp" Target="../ctrlProps/ctrlProp463.xml"/><Relationship Id="rId129" Type="http://schemas.openxmlformats.org/officeDocument/2006/relationships/ctrlProp" Target="../ctrlProps/ctrlProp559.xml"/><Relationship Id="rId280" Type="http://schemas.openxmlformats.org/officeDocument/2006/relationships/ctrlProp" Target="../ctrlProps/ctrlProp710.xml"/><Relationship Id="rId336" Type="http://schemas.openxmlformats.org/officeDocument/2006/relationships/ctrlProp" Target="../ctrlProps/ctrlProp766.xml"/><Relationship Id="rId501" Type="http://schemas.openxmlformats.org/officeDocument/2006/relationships/ctrlProp" Target="../ctrlProps/ctrlProp931.xml"/><Relationship Id="rId543" Type="http://schemas.openxmlformats.org/officeDocument/2006/relationships/ctrlProp" Target="../ctrlProps/ctrlProp973.xml"/><Relationship Id="rId75" Type="http://schemas.openxmlformats.org/officeDocument/2006/relationships/ctrlProp" Target="../ctrlProps/ctrlProp505.xml"/><Relationship Id="rId140" Type="http://schemas.openxmlformats.org/officeDocument/2006/relationships/ctrlProp" Target="../ctrlProps/ctrlProp570.xml"/><Relationship Id="rId182" Type="http://schemas.openxmlformats.org/officeDocument/2006/relationships/ctrlProp" Target="../ctrlProps/ctrlProp612.xml"/><Relationship Id="rId378" Type="http://schemas.openxmlformats.org/officeDocument/2006/relationships/ctrlProp" Target="../ctrlProps/ctrlProp808.xml"/><Relationship Id="rId403" Type="http://schemas.openxmlformats.org/officeDocument/2006/relationships/ctrlProp" Target="../ctrlProps/ctrlProp833.xml"/><Relationship Id="rId585" Type="http://schemas.openxmlformats.org/officeDocument/2006/relationships/ctrlProp" Target="../ctrlProps/ctrlProp1015.xml"/><Relationship Id="rId6" Type="http://schemas.openxmlformats.org/officeDocument/2006/relationships/ctrlProp" Target="../ctrlProps/ctrlProp436.xml"/><Relationship Id="rId238" Type="http://schemas.openxmlformats.org/officeDocument/2006/relationships/ctrlProp" Target="../ctrlProps/ctrlProp668.xml"/><Relationship Id="rId445" Type="http://schemas.openxmlformats.org/officeDocument/2006/relationships/ctrlProp" Target="../ctrlProps/ctrlProp875.xml"/><Relationship Id="rId487" Type="http://schemas.openxmlformats.org/officeDocument/2006/relationships/ctrlProp" Target="../ctrlProps/ctrlProp917.xml"/><Relationship Id="rId291" Type="http://schemas.openxmlformats.org/officeDocument/2006/relationships/ctrlProp" Target="../ctrlProps/ctrlProp721.xml"/><Relationship Id="rId305" Type="http://schemas.openxmlformats.org/officeDocument/2006/relationships/ctrlProp" Target="../ctrlProps/ctrlProp735.xml"/><Relationship Id="rId347" Type="http://schemas.openxmlformats.org/officeDocument/2006/relationships/ctrlProp" Target="../ctrlProps/ctrlProp777.xml"/><Relationship Id="rId512" Type="http://schemas.openxmlformats.org/officeDocument/2006/relationships/ctrlProp" Target="../ctrlProps/ctrlProp942.xml"/><Relationship Id="rId44" Type="http://schemas.openxmlformats.org/officeDocument/2006/relationships/ctrlProp" Target="../ctrlProps/ctrlProp474.xml"/><Relationship Id="rId86" Type="http://schemas.openxmlformats.org/officeDocument/2006/relationships/ctrlProp" Target="../ctrlProps/ctrlProp516.xml"/><Relationship Id="rId151" Type="http://schemas.openxmlformats.org/officeDocument/2006/relationships/ctrlProp" Target="../ctrlProps/ctrlProp581.xml"/><Relationship Id="rId389" Type="http://schemas.openxmlformats.org/officeDocument/2006/relationships/ctrlProp" Target="../ctrlProps/ctrlProp819.xml"/><Relationship Id="rId554" Type="http://schemas.openxmlformats.org/officeDocument/2006/relationships/ctrlProp" Target="../ctrlProps/ctrlProp984.xml"/><Relationship Id="rId596" Type="http://schemas.openxmlformats.org/officeDocument/2006/relationships/ctrlProp" Target="../ctrlProps/ctrlProp1026.xml"/><Relationship Id="rId193" Type="http://schemas.openxmlformats.org/officeDocument/2006/relationships/ctrlProp" Target="../ctrlProps/ctrlProp623.xml"/><Relationship Id="rId207" Type="http://schemas.openxmlformats.org/officeDocument/2006/relationships/ctrlProp" Target="../ctrlProps/ctrlProp637.xml"/><Relationship Id="rId249" Type="http://schemas.openxmlformats.org/officeDocument/2006/relationships/ctrlProp" Target="../ctrlProps/ctrlProp679.xml"/><Relationship Id="rId414" Type="http://schemas.openxmlformats.org/officeDocument/2006/relationships/ctrlProp" Target="../ctrlProps/ctrlProp844.xml"/><Relationship Id="rId456" Type="http://schemas.openxmlformats.org/officeDocument/2006/relationships/ctrlProp" Target="../ctrlProps/ctrlProp886.xml"/><Relationship Id="rId498" Type="http://schemas.openxmlformats.org/officeDocument/2006/relationships/ctrlProp" Target="../ctrlProps/ctrlProp928.xml"/><Relationship Id="rId13" Type="http://schemas.openxmlformats.org/officeDocument/2006/relationships/ctrlProp" Target="../ctrlProps/ctrlProp443.xml"/><Relationship Id="rId109" Type="http://schemas.openxmlformats.org/officeDocument/2006/relationships/ctrlProp" Target="../ctrlProps/ctrlProp539.xml"/><Relationship Id="rId260" Type="http://schemas.openxmlformats.org/officeDocument/2006/relationships/ctrlProp" Target="../ctrlProps/ctrlProp690.xml"/><Relationship Id="rId316" Type="http://schemas.openxmlformats.org/officeDocument/2006/relationships/ctrlProp" Target="../ctrlProps/ctrlProp746.xml"/><Relationship Id="rId523" Type="http://schemas.openxmlformats.org/officeDocument/2006/relationships/ctrlProp" Target="../ctrlProps/ctrlProp953.xml"/><Relationship Id="rId55" Type="http://schemas.openxmlformats.org/officeDocument/2006/relationships/ctrlProp" Target="../ctrlProps/ctrlProp485.xml"/><Relationship Id="rId97" Type="http://schemas.openxmlformats.org/officeDocument/2006/relationships/ctrlProp" Target="../ctrlProps/ctrlProp527.xml"/><Relationship Id="rId120" Type="http://schemas.openxmlformats.org/officeDocument/2006/relationships/ctrlProp" Target="../ctrlProps/ctrlProp550.xml"/><Relationship Id="rId358" Type="http://schemas.openxmlformats.org/officeDocument/2006/relationships/ctrlProp" Target="../ctrlProps/ctrlProp788.xml"/><Relationship Id="rId565" Type="http://schemas.openxmlformats.org/officeDocument/2006/relationships/ctrlProp" Target="../ctrlProps/ctrlProp995.xml"/><Relationship Id="rId162" Type="http://schemas.openxmlformats.org/officeDocument/2006/relationships/ctrlProp" Target="../ctrlProps/ctrlProp592.xml"/><Relationship Id="rId218" Type="http://schemas.openxmlformats.org/officeDocument/2006/relationships/ctrlProp" Target="../ctrlProps/ctrlProp648.xml"/><Relationship Id="rId425" Type="http://schemas.openxmlformats.org/officeDocument/2006/relationships/ctrlProp" Target="../ctrlProps/ctrlProp855.xml"/><Relationship Id="rId467" Type="http://schemas.openxmlformats.org/officeDocument/2006/relationships/ctrlProp" Target="../ctrlProps/ctrlProp897.xml"/><Relationship Id="rId271" Type="http://schemas.openxmlformats.org/officeDocument/2006/relationships/ctrlProp" Target="../ctrlProps/ctrlProp701.xml"/><Relationship Id="rId24" Type="http://schemas.openxmlformats.org/officeDocument/2006/relationships/ctrlProp" Target="../ctrlProps/ctrlProp454.xml"/><Relationship Id="rId66" Type="http://schemas.openxmlformats.org/officeDocument/2006/relationships/ctrlProp" Target="../ctrlProps/ctrlProp496.xml"/><Relationship Id="rId131" Type="http://schemas.openxmlformats.org/officeDocument/2006/relationships/ctrlProp" Target="../ctrlProps/ctrlProp561.xml"/><Relationship Id="rId327" Type="http://schemas.openxmlformats.org/officeDocument/2006/relationships/ctrlProp" Target="../ctrlProps/ctrlProp757.xml"/><Relationship Id="rId369" Type="http://schemas.openxmlformats.org/officeDocument/2006/relationships/ctrlProp" Target="../ctrlProps/ctrlProp799.xml"/><Relationship Id="rId534" Type="http://schemas.openxmlformats.org/officeDocument/2006/relationships/ctrlProp" Target="../ctrlProps/ctrlProp964.xml"/><Relationship Id="rId576" Type="http://schemas.openxmlformats.org/officeDocument/2006/relationships/ctrlProp" Target="../ctrlProps/ctrlProp1006.xml"/><Relationship Id="rId173" Type="http://schemas.openxmlformats.org/officeDocument/2006/relationships/ctrlProp" Target="../ctrlProps/ctrlProp603.xml"/><Relationship Id="rId229" Type="http://schemas.openxmlformats.org/officeDocument/2006/relationships/ctrlProp" Target="../ctrlProps/ctrlProp659.xml"/><Relationship Id="rId380" Type="http://schemas.openxmlformats.org/officeDocument/2006/relationships/ctrlProp" Target="../ctrlProps/ctrlProp810.xml"/><Relationship Id="rId436" Type="http://schemas.openxmlformats.org/officeDocument/2006/relationships/ctrlProp" Target="../ctrlProps/ctrlProp866.xml"/><Relationship Id="rId240" Type="http://schemas.openxmlformats.org/officeDocument/2006/relationships/ctrlProp" Target="../ctrlProps/ctrlProp670.xml"/><Relationship Id="rId478" Type="http://schemas.openxmlformats.org/officeDocument/2006/relationships/ctrlProp" Target="../ctrlProps/ctrlProp908.xml"/><Relationship Id="rId35" Type="http://schemas.openxmlformats.org/officeDocument/2006/relationships/ctrlProp" Target="../ctrlProps/ctrlProp465.xml"/><Relationship Id="rId77" Type="http://schemas.openxmlformats.org/officeDocument/2006/relationships/ctrlProp" Target="../ctrlProps/ctrlProp507.xml"/><Relationship Id="rId100" Type="http://schemas.openxmlformats.org/officeDocument/2006/relationships/ctrlProp" Target="../ctrlProps/ctrlProp530.xml"/><Relationship Id="rId282" Type="http://schemas.openxmlformats.org/officeDocument/2006/relationships/ctrlProp" Target="../ctrlProps/ctrlProp712.xml"/><Relationship Id="rId338" Type="http://schemas.openxmlformats.org/officeDocument/2006/relationships/ctrlProp" Target="../ctrlProps/ctrlProp768.xml"/><Relationship Id="rId503" Type="http://schemas.openxmlformats.org/officeDocument/2006/relationships/ctrlProp" Target="../ctrlProps/ctrlProp933.xml"/><Relationship Id="rId545" Type="http://schemas.openxmlformats.org/officeDocument/2006/relationships/ctrlProp" Target="../ctrlProps/ctrlProp975.xml"/><Relationship Id="rId587" Type="http://schemas.openxmlformats.org/officeDocument/2006/relationships/ctrlProp" Target="../ctrlProps/ctrlProp1017.xml"/><Relationship Id="rId8" Type="http://schemas.openxmlformats.org/officeDocument/2006/relationships/ctrlProp" Target="../ctrlProps/ctrlProp438.xml"/><Relationship Id="rId142" Type="http://schemas.openxmlformats.org/officeDocument/2006/relationships/ctrlProp" Target="../ctrlProps/ctrlProp572.xml"/><Relationship Id="rId184" Type="http://schemas.openxmlformats.org/officeDocument/2006/relationships/ctrlProp" Target="../ctrlProps/ctrlProp614.xml"/><Relationship Id="rId391" Type="http://schemas.openxmlformats.org/officeDocument/2006/relationships/ctrlProp" Target="../ctrlProps/ctrlProp821.xml"/><Relationship Id="rId405" Type="http://schemas.openxmlformats.org/officeDocument/2006/relationships/ctrlProp" Target="../ctrlProps/ctrlProp835.xml"/><Relationship Id="rId447" Type="http://schemas.openxmlformats.org/officeDocument/2006/relationships/ctrlProp" Target="../ctrlProps/ctrlProp877.xml"/><Relationship Id="rId251" Type="http://schemas.openxmlformats.org/officeDocument/2006/relationships/ctrlProp" Target="../ctrlProps/ctrlProp681.xml"/><Relationship Id="rId489" Type="http://schemas.openxmlformats.org/officeDocument/2006/relationships/ctrlProp" Target="../ctrlProps/ctrlProp919.xml"/><Relationship Id="rId46" Type="http://schemas.openxmlformats.org/officeDocument/2006/relationships/ctrlProp" Target="../ctrlProps/ctrlProp476.xml"/><Relationship Id="rId293" Type="http://schemas.openxmlformats.org/officeDocument/2006/relationships/ctrlProp" Target="../ctrlProps/ctrlProp723.xml"/><Relationship Id="rId307" Type="http://schemas.openxmlformats.org/officeDocument/2006/relationships/ctrlProp" Target="../ctrlProps/ctrlProp737.xml"/><Relationship Id="rId349" Type="http://schemas.openxmlformats.org/officeDocument/2006/relationships/ctrlProp" Target="../ctrlProps/ctrlProp779.xml"/><Relationship Id="rId514" Type="http://schemas.openxmlformats.org/officeDocument/2006/relationships/ctrlProp" Target="../ctrlProps/ctrlProp944.xml"/><Relationship Id="rId556" Type="http://schemas.openxmlformats.org/officeDocument/2006/relationships/ctrlProp" Target="../ctrlProps/ctrlProp986.xml"/><Relationship Id="rId88" Type="http://schemas.openxmlformats.org/officeDocument/2006/relationships/ctrlProp" Target="../ctrlProps/ctrlProp518.xml"/><Relationship Id="rId111" Type="http://schemas.openxmlformats.org/officeDocument/2006/relationships/ctrlProp" Target="../ctrlProps/ctrlProp541.xml"/><Relationship Id="rId153" Type="http://schemas.openxmlformats.org/officeDocument/2006/relationships/ctrlProp" Target="../ctrlProps/ctrlProp583.xml"/><Relationship Id="rId195" Type="http://schemas.openxmlformats.org/officeDocument/2006/relationships/ctrlProp" Target="../ctrlProps/ctrlProp625.xml"/><Relationship Id="rId209" Type="http://schemas.openxmlformats.org/officeDocument/2006/relationships/ctrlProp" Target="../ctrlProps/ctrlProp639.xml"/><Relationship Id="rId360" Type="http://schemas.openxmlformats.org/officeDocument/2006/relationships/ctrlProp" Target="../ctrlProps/ctrlProp790.xml"/><Relationship Id="rId416" Type="http://schemas.openxmlformats.org/officeDocument/2006/relationships/ctrlProp" Target="../ctrlProps/ctrlProp846.xml"/><Relationship Id="rId220" Type="http://schemas.openxmlformats.org/officeDocument/2006/relationships/ctrlProp" Target="../ctrlProps/ctrlProp650.xml"/><Relationship Id="rId458" Type="http://schemas.openxmlformats.org/officeDocument/2006/relationships/ctrlProp" Target="../ctrlProps/ctrlProp888.xml"/><Relationship Id="rId15" Type="http://schemas.openxmlformats.org/officeDocument/2006/relationships/ctrlProp" Target="../ctrlProps/ctrlProp445.xml"/><Relationship Id="rId57" Type="http://schemas.openxmlformats.org/officeDocument/2006/relationships/ctrlProp" Target="../ctrlProps/ctrlProp487.xml"/><Relationship Id="rId262" Type="http://schemas.openxmlformats.org/officeDocument/2006/relationships/ctrlProp" Target="../ctrlProps/ctrlProp692.xml"/><Relationship Id="rId318" Type="http://schemas.openxmlformats.org/officeDocument/2006/relationships/ctrlProp" Target="../ctrlProps/ctrlProp748.xml"/><Relationship Id="rId525" Type="http://schemas.openxmlformats.org/officeDocument/2006/relationships/ctrlProp" Target="../ctrlProps/ctrlProp955.xml"/><Relationship Id="rId567" Type="http://schemas.openxmlformats.org/officeDocument/2006/relationships/ctrlProp" Target="../ctrlProps/ctrlProp997.xml"/><Relationship Id="rId99" Type="http://schemas.openxmlformats.org/officeDocument/2006/relationships/ctrlProp" Target="../ctrlProps/ctrlProp529.xml"/><Relationship Id="rId122" Type="http://schemas.openxmlformats.org/officeDocument/2006/relationships/ctrlProp" Target="../ctrlProps/ctrlProp552.xml"/><Relationship Id="rId164" Type="http://schemas.openxmlformats.org/officeDocument/2006/relationships/ctrlProp" Target="../ctrlProps/ctrlProp594.xml"/><Relationship Id="rId371" Type="http://schemas.openxmlformats.org/officeDocument/2006/relationships/ctrlProp" Target="../ctrlProps/ctrlProp801.xml"/><Relationship Id="rId427" Type="http://schemas.openxmlformats.org/officeDocument/2006/relationships/ctrlProp" Target="../ctrlProps/ctrlProp857.xml"/><Relationship Id="rId469" Type="http://schemas.openxmlformats.org/officeDocument/2006/relationships/ctrlProp" Target="../ctrlProps/ctrlProp899.xml"/><Relationship Id="rId26" Type="http://schemas.openxmlformats.org/officeDocument/2006/relationships/ctrlProp" Target="../ctrlProps/ctrlProp456.xml"/><Relationship Id="rId231" Type="http://schemas.openxmlformats.org/officeDocument/2006/relationships/ctrlProp" Target="../ctrlProps/ctrlProp661.xml"/><Relationship Id="rId273" Type="http://schemas.openxmlformats.org/officeDocument/2006/relationships/ctrlProp" Target="../ctrlProps/ctrlProp703.xml"/><Relationship Id="rId329" Type="http://schemas.openxmlformats.org/officeDocument/2006/relationships/ctrlProp" Target="../ctrlProps/ctrlProp759.xml"/><Relationship Id="rId480" Type="http://schemas.openxmlformats.org/officeDocument/2006/relationships/ctrlProp" Target="../ctrlProps/ctrlProp910.xml"/><Relationship Id="rId536" Type="http://schemas.openxmlformats.org/officeDocument/2006/relationships/ctrlProp" Target="../ctrlProps/ctrlProp966.xml"/><Relationship Id="rId68" Type="http://schemas.openxmlformats.org/officeDocument/2006/relationships/ctrlProp" Target="../ctrlProps/ctrlProp498.xml"/><Relationship Id="rId133" Type="http://schemas.openxmlformats.org/officeDocument/2006/relationships/ctrlProp" Target="../ctrlProps/ctrlProp563.xml"/><Relationship Id="rId175" Type="http://schemas.openxmlformats.org/officeDocument/2006/relationships/ctrlProp" Target="../ctrlProps/ctrlProp605.xml"/><Relationship Id="rId340" Type="http://schemas.openxmlformats.org/officeDocument/2006/relationships/ctrlProp" Target="../ctrlProps/ctrlProp770.xml"/><Relationship Id="rId578" Type="http://schemas.openxmlformats.org/officeDocument/2006/relationships/ctrlProp" Target="../ctrlProps/ctrlProp1008.xml"/><Relationship Id="rId200" Type="http://schemas.openxmlformats.org/officeDocument/2006/relationships/ctrlProp" Target="../ctrlProps/ctrlProp630.xml"/><Relationship Id="rId382" Type="http://schemas.openxmlformats.org/officeDocument/2006/relationships/ctrlProp" Target="../ctrlProps/ctrlProp812.xml"/><Relationship Id="rId438" Type="http://schemas.openxmlformats.org/officeDocument/2006/relationships/ctrlProp" Target="../ctrlProps/ctrlProp868.xml"/><Relationship Id="rId242" Type="http://schemas.openxmlformats.org/officeDocument/2006/relationships/ctrlProp" Target="../ctrlProps/ctrlProp672.xml"/><Relationship Id="rId284" Type="http://schemas.openxmlformats.org/officeDocument/2006/relationships/ctrlProp" Target="../ctrlProps/ctrlProp714.xml"/><Relationship Id="rId491" Type="http://schemas.openxmlformats.org/officeDocument/2006/relationships/ctrlProp" Target="../ctrlProps/ctrlProp921.xml"/><Relationship Id="rId505" Type="http://schemas.openxmlformats.org/officeDocument/2006/relationships/ctrlProp" Target="../ctrlProps/ctrlProp93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3" Type="http://schemas.openxmlformats.org/officeDocument/2006/relationships/ctrlProp" Target="../ctrlProps/ctrlProp1037.xml"/><Relationship Id="rId18" Type="http://schemas.openxmlformats.org/officeDocument/2006/relationships/ctrlProp" Target="../ctrlProps/ctrlProp1042.xml"/><Relationship Id="rId26" Type="http://schemas.openxmlformats.org/officeDocument/2006/relationships/ctrlProp" Target="../ctrlProps/ctrlProp1050.xml"/><Relationship Id="rId39" Type="http://schemas.openxmlformats.org/officeDocument/2006/relationships/ctrlProp" Target="../ctrlProps/ctrlProp1063.xml"/><Relationship Id="rId21" Type="http://schemas.openxmlformats.org/officeDocument/2006/relationships/ctrlProp" Target="../ctrlProps/ctrlProp1045.xml"/><Relationship Id="rId34" Type="http://schemas.openxmlformats.org/officeDocument/2006/relationships/ctrlProp" Target="../ctrlProps/ctrlProp1058.xml"/><Relationship Id="rId42" Type="http://schemas.openxmlformats.org/officeDocument/2006/relationships/ctrlProp" Target="../ctrlProps/ctrlProp1066.xml"/><Relationship Id="rId47" Type="http://schemas.openxmlformats.org/officeDocument/2006/relationships/ctrlProp" Target="../ctrlProps/ctrlProp1071.xml"/><Relationship Id="rId50" Type="http://schemas.openxmlformats.org/officeDocument/2006/relationships/ctrlProp" Target="../ctrlProps/ctrlProp1074.xml"/><Relationship Id="rId55" Type="http://schemas.openxmlformats.org/officeDocument/2006/relationships/ctrlProp" Target="../ctrlProps/ctrlProp1079.xml"/><Relationship Id="rId63" Type="http://schemas.openxmlformats.org/officeDocument/2006/relationships/ctrlProp" Target="../ctrlProps/ctrlProp1087.xml"/><Relationship Id="rId68" Type="http://schemas.openxmlformats.org/officeDocument/2006/relationships/ctrlProp" Target="../ctrlProps/ctrlProp1092.xml"/><Relationship Id="rId76" Type="http://schemas.openxmlformats.org/officeDocument/2006/relationships/ctrlProp" Target="../ctrlProps/ctrlProp1100.xml"/><Relationship Id="rId84" Type="http://schemas.openxmlformats.org/officeDocument/2006/relationships/ctrlProp" Target="../ctrlProps/ctrlProp1108.xml"/><Relationship Id="rId7" Type="http://schemas.openxmlformats.org/officeDocument/2006/relationships/ctrlProp" Target="../ctrlProps/ctrlProp1031.xml"/><Relationship Id="rId71" Type="http://schemas.openxmlformats.org/officeDocument/2006/relationships/ctrlProp" Target="../ctrlProps/ctrlProp1095.xml"/><Relationship Id="rId2" Type="http://schemas.openxmlformats.org/officeDocument/2006/relationships/drawing" Target="../drawings/drawing8.xml"/><Relationship Id="rId16" Type="http://schemas.openxmlformats.org/officeDocument/2006/relationships/ctrlProp" Target="../ctrlProps/ctrlProp1040.xml"/><Relationship Id="rId29" Type="http://schemas.openxmlformats.org/officeDocument/2006/relationships/ctrlProp" Target="../ctrlProps/ctrlProp1053.xml"/><Relationship Id="rId11" Type="http://schemas.openxmlformats.org/officeDocument/2006/relationships/ctrlProp" Target="../ctrlProps/ctrlProp1035.xml"/><Relationship Id="rId24" Type="http://schemas.openxmlformats.org/officeDocument/2006/relationships/ctrlProp" Target="../ctrlProps/ctrlProp1048.xml"/><Relationship Id="rId32" Type="http://schemas.openxmlformats.org/officeDocument/2006/relationships/ctrlProp" Target="../ctrlProps/ctrlProp1056.xml"/><Relationship Id="rId37" Type="http://schemas.openxmlformats.org/officeDocument/2006/relationships/ctrlProp" Target="../ctrlProps/ctrlProp1061.xml"/><Relationship Id="rId40" Type="http://schemas.openxmlformats.org/officeDocument/2006/relationships/ctrlProp" Target="../ctrlProps/ctrlProp1064.xml"/><Relationship Id="rId45" Type="http://schemas.openxmlformats.org/officeDocument/2006/relationships/ctrlProp" Target="../ctrlProps/ctrlProp1069.xml"/><Relationship Id="rId53" Type="http://schemas.openxmlformats.org/officeDocument/2006/relationships/ctrlProp" Target="../ctrlProps/ctrlProp1077.xml"/><Relationship Id="rId58" Type="http://schemas.openxmlformats.org/officeDocument/2006/relationships/ctrlProp" Target="../ctrlProps/ctrlProp1082.xml"/><Relationship Id="rId66" Type="http://schemas.openxmlformats.org/officeDocument/2006/relationships/ctrlProp" Target="../ctrlProps/ctrlProp1090.xml"/><Relationship Id="rId74" Type="http://schemas.openxmlformats.org/officeDocument/2006/relationships/ctrlProp" Target="../ctrlProps/ctrlProp1098.xml"/><Relationship Id="rId79" Type="http://schemas.openxmlformats.org/officeDocument/2006/relationships/ctrlProp" Target="../ctrlProps/ctrlProp1103.xml"/><Relationship Id="rId5" Type="http://schemas.openxmlformats.org/officeDocument/2006/relationships/ctrlProp" Target="../ctrlProps/ctrlProp1029.xml"/><Relationship Id="rId61" Type="http://schemas.openxmlformats.org/officeDocument/2006/relationships/ctrlProp" Target="../ctrlProps/ctrlProp1085.xml"/><Relationship Id="rId82" Type="http://schemas.openxmlformats.org/officeDocument/2006/relationships/ctrlProp" Target="../ctrlProps/ctrlProp1106.xml"/><Relationship Id="rId10" Type="http://schemas.openxmlformats.org/officeDocument/2006/relationships/ctrlProp" Target="../ctrlProps/ctrlProp1034.xml"/><Relationship Id="rId19" Type="http://schemas.openxmlformats.org/officeDocument/2006/relationships/ctrlProp" Target="../ctrlProps/ctrlProp1043.xml"/><Relationship Id="rId31" Type="http://schemas.openxmlformats.org/officeDocument/2006/relationships/ctrlProp" Target="../ctrlProps/ctrlProp1055.xml"/><Relationship Id="rId44" Type="http://schemas.openxmlformats.org/officeDocument/2006/relationships/ctrlProp" Target="../ctrlProps/ctrlProp1068.xml"/><Relationship Id="rId52" Type="http://schemas.openxmlformats.org/officeDocument/2006/relationships/ctrlProp" Target="../ctrlProps/ctrlProp1076.xml"/><Relationship Id="rId60" Type="http://schemas.openxmlformats.org/officeDocument/2006/relationships/ctrlProp" Target="../ctrlProps/ctrlProp1084.xml"/><Relationship Id="rId65" Type="http://schemas.openxmlformats.org/officeDocument/2006/relationships/ctrlProp" Target="../ctrlProps/ctrlProp1089.xml"/><Relationship Id="rId73" Type="http://schemas.openxmlformats.org/officeDocument/2006/relationships/ctrlProp" Target="../ctrlProps/ctrlProp1097.xml"/><Relationship Id="rId78" Type="http://schemas.openxmlformats.org/officeDocument/2006/relationships/ctrlProp" Target="../ctrlProps/ctrlProp1102.xml"/><Relationship Id="rId81" Type="http://schemas.openxmlformats.org/officeDocument/2006/relationships/ctrlProp" Target="../ctrlProps/ctrlProp1105.xml"/><Relationship Id="rId4" Type="http://schemas.openxmlformats.org/officeDocument/2006/relationships/ctrlProp" Target="../ctrlProps/ctrlProp1028.xml"/><Relationship Id="rId9" Type="http://schemas.openxmlformats.org/officeDocument/2006/relationships/ctrlProp" Target="../ctrlProps/ctrlProp1033.xml"/><Relationship Id="rId14" Type="http://schemas.openxmlformats.org/officeDocument/2006/relationships/ctrlProp" Target="../ctrlProps/ctrlProp1038.xml"/><Relationship Id="rId22" Type="http://schemas.openxmlformats.org/officeDocument/2006/relationships/ctrlProp" Target="../ctrlProps/ctrlProp1046.xml"/><Relationship Id="rId27" Type="http://schemas.openxmlformats.org/officeDocument/2006/relationships/ctrlProp" Target="../ctrlProps/ctrlProp1051.xml"/><Relationship Id="rId30" Type="http://schemas.openxmlformats.org/officeDocument/2006/relationships/ctrlProp" Target="../ctrlProps/ctrlProp1054.xml"/><Relationship Id="rId35" Type="http://schemas.openxmlformats.org/officeDocument/2006/relationships/ctrlProp" Target="../ctrlProps/ctrlProp1059.xml"/><Relationship Id="rId43" Type="http://schemas.openxmlformats.org/officeDocument/2006/relationships/ctrlProp" Target="../ctrlProps/ctrlProp1067.xml"/><Relationship Id="rId48" Type="http://schemas.openxmlformats.org/officeDocument/2006/relationships/ctrlProp" Target="../ctrlProps/ctrlProp1072.xml"/><Relationship Id="rId56" Type="http://schemas.openxmlformats.org/officeDocument/2006/relationships/ctrlProp" Target="../ctrlProps/ctrlProp1080.xml"/><Relationship Id="rId64" Type="http://schemas.openxmlformats.org/officeDocument/2006/relationships/ctrlProp" Target="../ctrlProps/ctrlProp1088.xml"/><Relationship Id="rId69" Type="http://schemas.openxmlformats.org/officeDocument/2006/relationships/ctrlProp" Target="../ctrlProps/ctrlProp1093.xml"/><Relationship Id="rId77" Type="http://schemas.openxmlformats.org/officeDocument/2006/relationships/ctrlProp" Target="../ctrlProps/ctrlProp1101.xml"/><Relationship Id="rId8" Type="http://schemas.openxmlformats.org/officeDocument/2006/relationships/ctrlProp" Target="../ctrlProps/ctrlProp1032.xml"/><Relationship Id="rId51" Type="http://schemas.openxmlformats.org/officeDocument/2006/relationships/ctrlProp" Target="../ctrlProps/ctrlProp1075.xml"/><Relationship Id="rId72" Type="http://schemas.openxmlformats.org/officeDocument/2006/relationships/ctrlProp" Target="../ctrlProps/ctrlProp1096.xml"/><Relationship Id="rId80" Type="http://schemas.openxmlformats.org/officeDocument/2006/relationships/ctrlProp" Target="../ctrlProps/ctrlProp1104.xml"/><Relationship Id="rId3" Type="http://schemas.openxmlformats.org/officeDocument/2006/relationships/vmlDrawing" Target="../drawings/vmlDrawing7.vml"/><Relationship Id="rId12" Type="http://schemas.openxmlformats.org/officeDocument/2006/relationships/ctrlProp" Target="../ctrlProps/ctrlProp1036.xml"/><Relationship Id="rId17" Type="http://schemas.openxmlformats.org/officeDocument/2006/relationships/ctrlProp" Target="../ctrlProps/ctrlProp1041.xml"/><Relationship Id="rId25" Type="http://schemas.openxmlformats.org/officeDocument/2006/relationships/ctrlProp" Target="../ctrlProps/ctrlProp1049.xml"/><Relationship Id="rId33" Type="http://schemas.openxmlformats.org/officeDocument/2006/relationships/ctrlProp" Target="../ctrlProps/ctrlProp1057.xml"/><Relationship Id="rId38" Type="http://schemas.openxmlformats.org/officeDocument/2006/relationships/ctrlProp" Target="../ctrlProps/ctrlProp1062.xml"/><Relationship Id="rId46" Type="http://schemas.openxmlformats.org/officeDocument/2006/relationships/ctrlProp" Target="../ctrlProps/ctrlProp1070.xml"/><Relationship Id="rId59" Type="http://schemas.openxmlformats.org/officeDocument/2006/relationships/ctrlProp" Target="../ctrlProps/ctrlProp1083.xml"/><Relationship Id="rId67" Type="http://schemas.openxmlformats.org/officeDocument/2006/relationships/ctrlProp" Target="../ctrlProps/ctrlProp1091.xml"/><Relationship Id="rId20" Type="http://schemas.openxmlformats.org/officeDocument/2006/relationships/ctrlProp" Target="../ctrlProps/ctrlProp1044.xml"/><Relationship Id="rId41" Type="http://schemas.openxmlformats.org/officeDocument/2006/relationships/ctrlProp" Target="../ctrlProps/ctrlProp1065.xml"/><Relationship Id="rId54" Type="http://schemas.openxmlformats.org/officeDocument/2006/relationships/ctrlProp" Target="../ctrlProps/ctrlProp1078.xml"/><Relationship Id="rId62" Type="http://schemas.openxmlformats.org/officeDocument/2006/relationships/ctrlProp" Target="../ctrlProps/ctrlProp1086.xml"/><Relationship Id="rId70" Type="http://schemas.openxmlformats.org/officeDocument/2006/relationships/ctrlProp" Target="../ctrlProps/ctrlProp1094.xml"/><Relationship Id="rId75" Type="http://schemas.openxmlformats.org/officeDocument/2006/relationships/ctrlProp" Target="../ctrlProps/ctrlProp1099.xml"/><Relationship Id="rId83" Type="http://schemas.openxmlformats.org/officeDocument/2006/relationships/ctrlProp" Target="../ctrlProps/ctrlProp1107.xml"/><Relationship Id="rId1" Type="http://schemas.openxmlformats.org/officeDocument/2006/relationships/printerSettings" Target="../printerSettings/printerSettings15.bin"/><Relationship Id="rId6" Type="http://schemas.openxmlformats.org/officeDocument/2006/relationships/ctrlProp" Target="../ctrlProps/ctrlProp1030.xml"/><Relationship Id="rId15" Type="http://schemas.openxmlformats.org/officeDocument/2006/relationships/ctrlProp" Target="../ctrlProps/ctrlProp1039.xml"/><Relationship Id="rId23" Type="http://schemas.openxmlformats.org/officeDocument/2006/relationships/ctrlProp" Target="../ctrlProps/ctrlProp1047.xml"/><Relationship Id="rId28" Type="http://schemas.openxmlformats.org/officeDocument/2006/relationships/ctrlProp" Target="../ctrlProps/ctrlProp1052.xml"/><Relationship Id="rId36" Type="http://schemas.openxmlformats.org/officeDocument/2006/relationships/ctrlProp" Target="../ctrlProps/ctrlProp1060.xml"/><Relationship Id="rId49" Type="http://schemas.openxmlformats.org/officeDocument/2006/relationships/ctrlProp" Target="../ctrlProps/ctrlProp1073.xml"/><Relationship Id="rId57" Type="http://schemas.openxmlformats.org/officeDocument/2006/relationships/ctrlProp" Target="../ctrlProps/ctrlProp1081.xml"/></Relationships>
</file>

<file path=xl/worksheets/_rels/sheet19.xml.rels><?xml version="1.0" encoding="UTF-8" standalone="yes"?>
<Relationships xmlns="http://schemas.openxmlformats.org/package/2006/relationships"><Relationship Id="rId26" Type="http://schemas.openxmlformats.org/officeDocument/2006/relationships/ctrlProp" Target="../ctrlProps/ctrlProp1131.xml"/><Relationship Id="rId117" Type="http://schemas.openxmlformats.org/officeDocument/2006/relationships/ctrlProp" Target="../ctrlProps/ctrlProp1222.xml"/><Relationship Id="rId21" Type="http://schemas.openxmlformats.org/officeDocument/2006/relationships/ctrlProp" Target="../ctrlProps/ctrlProp1126.xml"/><Relationship Id="rId42" Type="http://schemas.openxmlformats.org/officeDocument/2006/relationships/ctrlProp" Target="../ctrlProps/ctrlProp1147.xml"/><Relationship Id="rId47" Type="http://schemas.openxmlformats.org/officeDocument/2006/relationships/ctrlProp" Target="../ctrlProps/ctrlProp1152.xml"/><Relationship Id="rId63" Type="http://schemas.openxmlformats.org/officeDocument/2006/relationships/ctrlProp" Target="../ctrlProps/ctrlProp1168.xml"/><Relationship Id="rId68" Type="http://schemas.openxmlformats.org/officeDocument/2006/relationships/ctrlProp" Target="../ctrlProps/ctrlProp1173.xml"/><Relationship Id="rId84" Type="http://schemas.openxmlformats.org/officeDocument/2006/relationships/ctrlProp" Target="../ctrlProps/ctrlProp1189.xml"/><Relationship Id="rId89" Type="http://schemas.openxmlformats.org/officeDocument/2006/relationships/ctrlProp" Target="../ctrlProps/ctrlProp1194.xml"/><Relationship Id="rId112" Type="http://schemas.openxmlformats.org/officeDocument/2006/relationships/ctrlProp" Target="../ctrlProps/ctrlProp1217.xml"/><Relationship Id="rId133" Type="http://schemas.openxmlformats.org/officeDocument/2006/relationships/ctrlProp" Target="../ctrlProps/ctrlProp1238.xml"/><Relationship Id="rId138" Type="http://schemas.openxmlformats.org/officeDocument/2006/relationships/ctrlProp" Target="../ctrlProps/ctrlProp1243.xml"/><Relationship Id="rId16" Type="http://schemas.openxmlformats.org/officeDocument/2006/relationships/ctrlProp" Target="../ctrlProps/ctrlProp1121.xml"/><Relationship Id="rId107" Type="http://schemas.openxmlformats.org/officeDocument/2006/relationships/ctrlProp" Target="../ctrlProps/ctrlProp1212.xml"/><Relationship Id="rId11" Type="http://schemas.openxmlformats.org/officeDocument/2006/relationships/ctrlProp" Target="../ctrlProps/ctrlProp1116.xml"/><Relationship Id="rId32" Type="http://schemas.openxmlformats.org/officeDocument/2006/relationships/ctrlProp" Target="../ctrlProps/ctrlProp1137.xml"/><Relationship Id="rId37" Type="http://schemas.openxmlformats.org/officeDocument/2006/relationships/ctrlProp" Target="../ctrlProps/ctrlProp1142.xml"/><Relationship Id="rId53" Type="http://schemas.openxmlformats.org/officeDocument/2006/relationships/ctrlProp" Target="../ctrlProps/ctrlProp1158.xml"/><Relationship Id="rId58" Type="http://schemas.openxmlformats.org/officeDocument/2006/relationships/ctrlProp" Target="../ctrlProps/ctrlProp1163.xml"/><Relationship Id="rId74" Type="http://schemas.openxmlformats.org/officeDocument/2006/relationships/ctrlProp" Target="../ctrlProps/ctrlProp1179.xml"/><Relationship Id="rId79" Type="http://schemas.openxmlformats.org/officeDocument/2006/relationships/ctrlProp" Target="../ctrlProps/ctrlProp1184.xml"/><Relationship Id="rId102" Type="http://schemas.openxmlformats.org/officeDocument/2006/relationships/ctrlProp" Target="../ctrlProps/ctrlProp1207.xml"/><Relationship Id="rId123" Type="http://schemas.openxmlformats.org/officeDocument/2006/relationships/ctrlProp" Target="../ctrlProps/ctrlProp1228.xml"/><Relationship Id="rId128" Type="http://schemas.openxmlformats.org/officeDocument/2006/relationships/ctrlProp" Target="../ctrlProps/ctrlProp1233.xml"/><Relationship Id="rId144" Type="http://schemas.openxmlformats.org/officeDocument/2006/relationships/ctrlProp" Target="../ctrlProps/ctrlProp1249.xml"/><Relationship Id="rId149" Type="http://schemas.openxmlformats.org/officeDocument/2006/relationships/ctrlProp" Target="../ctrlProps/ctrlProp1254.xml"/><Relationship Id="rId5" Type="http://schemas.openxmlformats.org/officeDocument/2006/relationships/ctrlProp" Target="../ctrlProps/ctrlProp1110.xml"/><Relationship Id="rId90" Type="http://schemas.openxmlformats.org/officeDocument/2006/relationships/ctrlProp" Target="../ctrlProps/ctrlProp1195.xml"/><Relationship Id="rId95" Type="http://schemas.openxmlformats.org/officeDocument/2006/relationships/ctrlProp" Target="../ctrlProps/ctrlProp1200.xml"/><Relationship Id="rId22" Type="http://schemas.openxmlformats.org/officeDocument/2006/relationships/ctrlProp" Target="../ctrlProps/ctrlProp1127.xml"/><Relationship Id="rId27" Type="http://schemas.openxmlformats.org/officeDocument/2006/relationships/ctrlProp" Target="../ctrlProps/ctrlProp1132.xml"/><Relationship Id="rId43" Type="http://schemas.openxmlformats.org/officeDocument/2006/relationships/ctrlProp" Target="../ctrlProps/ctrlProp1148.xml"/><Relationship Id="rId48" Type="http://schemas.openxmlformats.org/officeDocument/2006/relationships/ctrlProp" Target="../ctrlProps/ctrlProp1153.xml"/><Relationship Id="rId64" Type="http://schemas.openxmlformats.org/officeDocument/2006/relationships/ctrlProp" Target="../ctrlProps/ctrlProp1169.xml"/><Relationship Id="rId69" Type="http://schemas.openxmlformats.org/officeDocument/2006/relationships/ctrlProp" Target="../ctrlProps/ctrlProp1174.xml"/><Relationship Id="rId113" Type="http://schemas.openxmlformats.org/officeDocument/2006/relationships/ctrlProp" Target="../ctrlProps/ctrlProp1218.xml"/><Relationship Id="rId118" Type="http://schemas.openxmlformats.org/officeDocument/2006/relationships/ctrlProp" Target="../ctrlProps/ctrlProp1223.xml"/><Relationship Id="rId134" Type="http://schemas.openxmlformats.org/officeDocument/2006/relationships/ctrlProp" Target="../ctrlProps/ctrlProp1239.xml"/><Relationship Id="rId139" Type="http://schemas.openxmlformats.org/officeDocument/2006/relationships/ctrlProp" Target="../ctrlProps/ctrlProp1244.xml"/><Relationship Id="rId80" Type="http://schemas.openxmlformats.org/officeDocument/2006/relationships/ctrlProp" Target="../ctrlProps/ctrlProp1185.xml"/><Relationship Id="rId85" Type="http://schemas.openxmlformats.org/officeDocument/2006/relationships/ctrlProp" Target="../ctrlProps/ctrlProp1190.xml"/><Relationship Id="rId150" Type="http://schemas.openxmlformats.org/officeDocument/2006/relationships/ctrlProp" Target="../ctrlProps/ctrlProp1255.xml"/><Relationship Id="rId12" Type="http://schemas.openxmlformats.org/officeDocument/2006/relationships/ctrlProp" Target="../ctrlProps/ctrlProp1117.xml"/><Relationship Id="rId17" Type="http://schemas.openxmlformats.org/officeDocument/2006/relationships/ctrlProp" Target="../ctrlProps/ctrlProp1122.xml"/><Relationship Id="rId25" Type="http://schemas.openxmlformats.org/officeDocument/2006/relationships/ctrlProp" Target="../ctrlProps/ctrlProp1130.xml"/><Relationship Id="rId33" Type="http://schemas.openxmlformats.org/officeDocument/2006/relationships/ctrlProp" Target="../ctrlProps/ctrlProp1138.xml"/><Relationship Id="rId38" Type="http://schemas.openxmlformats.org/officeDocument/2006/relationships/ctrlProp" Target="../ctrlProps/ctrlProp1143.xml"/><Relationship Id="rId46" Type="http://schemas.openxmlformats.org/officeDocument/2006/relationships/ctrlProp" Target="../ctrlProps/ctrlProp1151.xml"/><Relationship Id="rId59" Type="http://schemas.openxmlformats.org/officeDocument/2006/relationships/ctrlProp" Target="../ctrlProps/ctrlProp1164.xml"/><Relationship Id="rId67" Type="http://schemas.openxmlformats.org/officeDocument/2006/relationships/ctrlProp" Target="../ctrlProps/ctrlProp1172.xml"/><Relationship Id="rId103" Type="http://schemas.openxmlformats.org/officeDocument/2006/relationships/ctrlProp" Target="../ctrlProps/ctrlProp1208.xml"/><Relationship Id="rId108" Type="http://schemas.openxmlformats.org/officeDocument/2006/relationships/ctrlProp" Target="../ctrlProps/ctrlProp1213.xml"/><Relationship Id="rId116" Type="http://schemas.openxmlformats.org/officeDocument/2006/relationships/ctrlProp" Target="../ctrlProps/ctrlProp1221.xml"/><Relationship Id="rId124" Type="http://schemas.openxmlformats.org/officeDocument/2006/relationships/ctrlProp" Target="../ctrlProps/ctrlProp1229.xml"/><Relationship Id="rId129" Type="http://schemas.openxmlformats.org/officeDocument/2006/relationships/ctrlProp" Target="../ctrlProps/ctrlProp1234.xml"/><Relationship Id="rId137" Type="http://schemas.openxmlformats.org/officeDocument/2006/relationships/ctrlProp" Target="../ctrlProps/ctrlProp1242.xml"/><Relationship Id="rId20" Type="http://schemas.openxmlformats.org/officeDocument/2006/relationships/ctrlProp" Target="../ctrlProps/ctrlProp1125.xml"/><Relationship Id="rId41" Type="http://schemas.openxmlformats.org/officeDocument/2006/relationships/ctrlProp" Target="../ctrlProps/ctrlProp1146.xml"/><Relationship Id="rId54" Type="http://schemas.openxmlformats.org/officeDocument/2006/relationships/ctrlProp" Target="../ctrlProps/ctrlProp1159.xml"/><Relationship Id="rId62" Type="http://schemas.openxmlformats.org/officeDocument/2006/relationships/ctrlProp" Target="../ctrlProps/ctrlProp1167.xml"/><Relationship Id="rId70" Type="http://schemas.openxmlformats.org/officeDocument/2006/relationships/ctrlProp" Target="../ctrlProps/ctrlProp1175.xml"/><Relationship Id="rId75" Type="http://schemas.openxmlformats.org/officeDocument/2006/relationships/ctrlProp" Target="../ctrlProps/ctrlProp1180.xml"/><Relationship Id="rId83" Type="http://schemas.openxmlformats.org/officeDocument/2006/relationships/ctrlProp" Target="../ctrlProps/ctrlProp1188.xml"/><Relationship Id="rId88" Type="http://schemas.openxmlformats.org/officeDocument/2006/relationships/ctrlProp" Target="../ctrlProps/ctrlProp1193.xml"/><Relationship Id="rId91" Type="http://schemas.openxmlformats.org/officeDocument/2006/relationships/ctrlProp" Target="../ctrlProps/ctrlProp1196.xml"/><Relationship Id="rId96" Type="http://schemas.openxmlformats.org/officeDocument/2006/relationships/ctrlProp" Target="../ctrlProps/ctrlProp1201.xml"/><Relationship Id="rId111" Type="http://schemas.openxmlformats.org/officeDocument/2006/relationships/ctrlProp" Target="../ctrlProps/ctrlProp1216.xml"/><Relationship Id="rId132" Type="http://schemas.openxmlformats.org/officeDocument/2006/relationships/ctrlProp" Target="../ctrlProps/ctrlProp1237.xml"/><Relationship Id="rId140" Type="http://schemas.openxmlformats.org/officeDocument/2006/relationships/ctrlProp" Target="../ctrlProps/ctrlProp1245.xml"/><Relationship Id="rId145" Type="http://schemas.openxmlformats.org/officeDocument/2006/relationships/ctrlProp" Target="../ctrlProps/ctrlProp1250.xml"/><Relationship Id="rId1" Type="http://schemas.openxmlformats.org/officeDocument/2006/relationships/printerSettings" Target="../printerSettings/printerSettings16.bin"/><Relationship Id="rId6" Type="http://schemas.openxmlformats.org/officeDocument/2006/relationships/ctrlProp" Target="../ctrlProps/ctrlProp1111.xml"/><Relationship Id="rId15" Type="http://schemas.openxmlformats.org/officeDocument/2006/relationships/ctrlProp" Target="../ctrlProps/ctrlProp1120.xml"/><Relationship Id="rId23" Type="http://schemas.openxmlformats.org/officeDocument/2006/relationships/ctrlProp" Target="../ctrlProps/ctrlProp1128.xml"/><Relationship Id="rId28" Type="http://schemas.openxmlformats.org/officeDocument/2006/relationships/ctrlProp" Target="../ctrlProps/ctrlProp1133.xml"/><Relationship Id="rId36" Type="http://schemas.openxmlformats.org/officeDocument/2006/relationships/ctrlProp" Target="../ctrlProps/ctrlProp1141.xml"/><Relationship Id="rId49" Type="http://schemas.openxmlformats.org/officeDocument/2006/relationships/ctrlProp" Target="../ctrlProps/ctrlProp1154.xml"/><Relationship Id="rId57" Type="http://schemas.openxmlformats.org/officeDocument/2006/relationships/ctrlProp" Target="../ctrlProps/ctrlProp1162.xml"/><Relationship Id="rId106" Type="http://schemas.openxmlformats.org/officeDocument/2006/relationships/ctrlProp" Target="../ctrlProps/ctrlProp1211.xml"/><Relationship Id="rId114" Type="http://schemas.openxmlformats.org/officeDocument/2006/relationships/ctrlProp" Target="../ctrlProps/ctrlProp1219.xml"/><Relationship Id="rId119" Type="http://schemas.openxmlformats.org/officeDocument/2006/relationships/ctrlProp" Target="../ctrlProps/ctrlProp1224.xml"/><Relationship Id="rId127" Type="http://schemas.openxmlformats.org/officeDocument/2006/relationships/ctrlProp" Target="../ctrlProps/ctrlProp1232.xml"/><Relationship Id="rId10" Type="http://schemas.openxmlformats.org/officeDocument/2006/relationships/ctrlProp" Target="../ctrlProps/ctrlProp1115.xml"/><Relationship Id="rId31" Type="http://schemas.openxmlformats.org/officeDocument/2006/relationships/ctrlProp" Target="../ctrlProps/ctrlProp1136.xml"/><Relationship Id="rId44" Type="http://schemas.openxmlformats.org/officeDocument/2006/relationships/ctrlProp" Target="../ctrlProps/ctrlProp1149.xml"/><Relationship Id="rId52" Type="http://schemas.openxmlformats.org/officeDocument/2006/relationships/ctrlProp" Target="../ctrlProps/ctrlProp1157.xml"/><Relationship Id="rId60" Type="http://schemas.openxmlformats.org/officeDocument/2006/relationships/ctrlProp" Target="../ctrlProps/ctrlProp1165.xml"/><Relationship Id="rId65" Type="http://schemas.openxmlformats.org/officeDocument/2006/relationships/ctrlProp" Target="../ctrlProps/ctrlProp1170.xml"/><Relationship Id="rId73" Type="http://schemas.openxmlformats.org/officeDocument/2006/relationships/ctrlProp" Target="../ctrlProps/ctrlProp1178.xml"/><Relationship Id="rId78" Type="http://schemas.openxmlformats.org/officeDocument/2006/relationships/ctrlProp" Target="../ctrlProps/ctrlProp1183.xml"/><Relationship Id="rId81" Type="http://schemas.openxmlformats.org/officeDocument/2006/relationships/ctrlProp" Target="../ctrlProps/ctrlProp1186.xml"/><Relationship Id="rId86" Type="http://schemas.openxmlformats.org/officeDocument/2006/relationships/ctrlProp" Target="../ctrlProps/ctrlProp1191.xml"/><Relationship Id="rId94" Type="http://schemas.openxmlformats.org/officeDocument/2006/relationships/ctrlProp" Target="../ctrlProps/ctrlProp1199.xml"/><Relationship Id="rId99" Type="http://schemas.openxmlformats.org/officeDocument/2006/relationships/ctrlProp" Target="../ctrlProps/ctrlProp1204.xml"/><Relationship Id="rId101" Type="http://schemas.openxmlformats.org/officeDocument/2006/relationships/ctrlProp" Target="../ctrlProps/ctrlProp1206.xml"/><Relationship Id="rId122" Type="http://schemas.openxmlformats.org/officeDocument/2006/relationships/ctrlProp" Target="../ctrlProps/ctrlProp1227.xml"/><Relationship Id="rId130" Type="http://schemas.openxmlformats.org/officeDocument/2006/relationships/ctrlProp" Target="../ctrlProps/ctrlProp1235.xml"/><Relationship Id="rId135" Type="http://schemas.openxmlformats.org/officeDocument/2006/relationships/ctrlProp" Target="../ctrlProps/ctrlProp1240.xml"/><Relationship Id="rId143" Type="http://schemas.openxmlformats.org/officeDocument/2006/relationships/ctrlProp" Target="../ctrlProps/ctrlProp1248.xml"/><Relationship Id="rId148" Type="http://schemas.openxmlformats.org/officeDocument/2006/relationships/ctrlProp" Target="../ctrlProps/ctrlProp1253.xml"/><Relationship Id="rId151" Type="http://schemas.openxmlformats.org/officeDocument/2006/relationships/ctrlProp" Target="../ctrlProps/ctrlProp1256.xml"/><Relationship Id="rId4" Type="http://schemas.openxmlformats.org/officeDocument/2006/relationships/ctrlProp" Target="../ctrlProps/ctrlProp1109.xml"/><Relationship Id="rId9" Type="http://schemas.openxmlformats.org/officeDocument/2006/relationships/ctrlProp" Target="../ctrlProps/ctrlProp1114.xml"/><Relationship Id="rId13" Type="http://schemas.openxmlformats.org/officeDocument/2006/relationships/ctrlProp" Target="../ctrlProps/ctrlProp1118.xml"/><Relationship Id="rId18" Type="http://schemas.openxmlformats.org/officeDocument/2006/relationships/ctrlProp" Target="../ctrlProps/ctrlProp1123.xml"/><Relationship Id="rId39" Type="http://schemas.openxmlformats.org/officeDocument/2006/relationships/ctrlProp" Target="../ctrlProps/ctrlProp1144.xml"/><Relationship Id="rId109" Type="http://schemas.openxmlformats.org/officeDocument/2006/relationships/ctrlProp" Target="../ctrlProps/ctrlProp1214.xml"/><Relationship Id="rId34" Type="http://schemas.openxmlformats.org/officeDocument/2006/relationships/ctrlProp" Target="../ctrlProps/ctrlProp1139.xml"/><Relationship Id="rId50" Type="http://schemas.openxmlformats.org/officeDocument/2006/relationships/ctrlProp" Target="../ctrlProps/ctrlProp1155.xml"/><Relationship Id="rId55" Type="http://schemas.openxmlformats.org/officeDocument/2006/relationships/ctrlProp" Target="../ctrlProps/ctrlProp1160.xml"/><Relationship Id="rId76" Type="http://schemas.openxmlformats.org/officeDocument/2006/relationships/ctrlProp" Target="../ctrlProps/ctrlProp1181.xml"/><Relationship Id="rId97" Type="http://schemas.openxmlformats.org/officeDocument/2006/relationships/ctrlProp" Target="../ctrlProps/ctrlProp1202.xml"/><Relationship Id="rId104" Type="http://schemas.openxmlformats.org/officeDocument/2006/relationships/ctrlProp" Target="../ctrlProps/ctrlProp1209.xml"/><Relationship Id="rId120" Type="http://schemas.openxmlformats.org/officeDocument/2006/relationships/ctrlProp" Target="../ctrlProps/ctrlProp1225.xml"/><Relationship Id="rId125" Type="http://schemas.openxmlformats.org/officeDocument/2006/relationships/ctrlProp" Target="../ctrlProps/ctrlProp1230.xml"/><Relationship Id="rId141" Type="http://schemas.openxmlformats.org/officeDocument/2006/relationships/ctrlProp" Target="../ctrlProps/ctrlProp1246.xml"/><Relationship Id="rId146" Type="http://schemas.openxmlformats.org/officeDocument/2006/relationships/ctrlProp" Target="../ctrlProps/ctrlProp1251.xml"/><Relationship Id="rId7" Type="http://schemas.openxmlformats.org/officeDocument/2006/relationships/ctrlProp" Target="../ctrlProps/ctrlProp1112.xml"/><Relationship Id="rId71" Type="http://schemas.openxmlformats.org/officeDocument/2006/relationships/ctrlProp" Target="../ctrlProps/ctrlProp1176.xml"/><Relationship Id="rId92" Type="http://schemas.openxmlformats.org/officeDocument/2006/relationships/ctrlProp" Target="../ctrlProps/ctrlProp1197.xml"/><Relationship Id="rId2" Type="http://schemas.openxmlformats.org/officeDocument/2006/relationships/drawing" Target="../drawings/drawing9.xml"/><Relationship Id="rId29" Type="http://schemas.openxmlformats.org/officeDocument/2006/relationships/ctrlProp" Target="../ctrlProps/ctrlProp1134.xml"/><Relationship Id="rId24" Type="http://schemas.openxmlformats.org/officeDocument/2006/relationships/ctrlProp" Target="../ctrlProps/ctrlProp1129.xml"/><Relationship Id="rId40" Type="http://schemas.openxmlformats.org/officeDocument/2006/relationships/ctrlProp" Target="../ctrlProps/ctrlProp1145.xml"/><Relationship Id="rId45" Type="http://schemas.openxmlformats.org/officeDocument/2006/relationships/ctrlProp" Target="../ctrlProps/ctrlProp1150.xml"/><Relationship Id="rId66" Type="http://schemas.openxmlformats.org/officeDocument/2006/relationships/ctrlProp" Target="../ctrlProps/ctrlProp1171.xml"/><Relationship Id="rId87" Type="http://schemas.openxmlformats.org/officeDocument/2006/relationships/ctrlProp" Target="../ctrlProps/ctrlProp1192.xml"/><Relationship Id="rId110" Type="http://schemas.openxmlformats.org/officeDocument/2006/relationships/ctrlProp" Target="../ctrlProps/ctrlProp1215.xml"/><Relationship Id="rId115" Type="http://schemas.openxmlformats.org/officeDocument/2006/relationships/ctrlProp" Target="../ctrlProps/ctrlProp1220.xml"/><Relationship Id="rId131" Type="http://schemas.openxmlformats.org/officeDocument/2006/relationships/ctrlProp" Target="../ctrlProps/ctrlProp1236.xml"/><Relationship Id="rId136" Type="http://schemas.openxmlformats.org/officeDocument/2006/relationships/ctrlProp" Target="../ctrlProps/ctrlProp1241.xml"/><Relationship Id="rId61" Type="http://schemas.openxmlformats.org/officeDocument/2006/relationships/ctrlProp" Target="../ctrlProps/ctrlProp1166.xml"/><Relationship Id="rId82" Type="http://schemas.openxmlformats.org/officeDocument/2006/relationships/ctrlProp" Target="../ctrlProps/ctrlProp1187.xml"/><Relationship Id="rId19" Type="http://schemas.openxmlformats.org/officeDocument/2006/relationships/ctrlProp" Target="../ctrlProps/ctrlProp1124.xml"/><Relationship Id="rId14" Type="http://schemas.openxmlformats.org/officeDocument/2006/relationships/ctrlProp" Target="../ctrlProps/ctrlProp1119.xml"/><Relationship Id="rId30" Type="http://schemas.openxmlformats.org/officeDocument/2006/relationships/ctrlProp" Target="../ctrlProps/ctrlProp1135.xml"/><Relationship Id="rId35" Type="http://schemas.openxmlformats.org/officeDocument/2006/relationships/ctrlProp" Target="../ctrlProps/ctrlProp1140.xml"/><Relationship Id="rId56" Type="http://schemas.openxmlformats.org/officeDocument/2006/relationships/ctrlProp" Target="../ctrlProps/ctrlProp1161.xml"/><Relationship Id="rId77" Type="http://schemas.openxmlformats.org/officeDocument/2006/relationships/ctrlProp" Target="../ctrlProps/ctrlProp1182.xml"/><Relationship Id="rId100" Type="http://schemas.openxmlformats.org/officeDocument/2006/relationships/ctrlProp" Target="../ctrlProps/ctrlProp1205.xml"/><Relationship Id="rId105" Type="http://schemas.openxmlformats.org/officeDocument/2006/relationships/ctrlProp" Target="../ctrlProps/ctrlProp1210.xml"/><Relationship Id="rId126" Type="http://schemas.openxmlformats.org/officeDocument/2006/relationships/ctrlProp" Target="../ctrlProps/ctrlProp1231.xml"/><Relationship Id="rId147" Type="http://schemas.openxmlformats.org/officeDocument/2006/relationships/ctrlProp" Target="../ctrlProps/ctrlProp1252.xml"/><Relationship Id="rId8" Type="http://schemas.openxmlformats.org/officeDocument/2006/relationships/ctrlProp" Target="../ctrlProps/ctrlProp1113.xml"/><Relationship Id="rId51" Type="http://schemas.openxmlformats.org/officeDocument/2006/relationships/ctrlProp" Target="../ctrlProps/ctrlProp1156.xml"/><Relationship Id="rId72" Type="http://schemas.openxmlformats.org/officeDocument/2006/relationships/ctrlProp" Target="../ctrlProps/ctrlProp1177.xml"/><Relationship Id="rId93" Type="http://schemas.openxmlformats.org/officeDocument/2006/relationships/ctrlProp" Target="../ctrlProps/ctrlProp1198.xml"/><Relationship Id="rId98" Type="http://schemas.openxmlformats.org/officeDocument/2006/relationships/ctrlProp" Target="../ctrlProps/ctrlProp1203.xml"/><Relationship Id="rId121" Type="http://schemas.openxmlformats.org/officeDocument/2006/relationships/ctrlProp" Target="../ctrlProps/ctrlProp1226.xml"/><Relationship Id="rId142" Type="http://schemas.openxmlformats.org/officeDocument/2006/relationships/ctrlProp" Target="../ctrlProps/ctrlProp1247.xml"/><Relationship Id="rId3"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zoomScale="78" zoomScaleNormal="78" workbookViewId="0">
      <selection activeCell="D83" sqref="D83"/>
    </sheetView>
  </sheetViews>
  <sheetFormatPr defaultRowHeight="15" x14ac:dyDescent="0.25"/>
  <cols>
    <col min="1" max="1" width="2.140625" style="2475" customWidth="1"/>
    <col min="2" max="2" width="8" style="2475" customWidth="1"/>
    <col min="3" max="3" width="7.42578125" style="2475" customWidth="1"/>
    <col min="4" max="4" width="113.85546875" style="2475" customWidth="1"/>
    <col min="5" max="5" width="23.28515625" style="2475" customWidth="1"/>
    <col min="6" max="16384" width="9.140625" style="2475"/>
  </cols>
  <sheetData>
    <row r="1" spans="1:5" x14ac:dyDescent="0.25">
      <c r="A1" s="1371"/>
      <c r="B1" s="1371"/>
      <c r="C1" s="1371"/>
      <c r="D1" s="1371"/>
      <c r="E1" s="1371"/>
    </row>
    <row r="2" spans="1:5" x14ac:dyDescent="0.25">
      <c r="A2" s="1371"/>
      <c r="B2" s="1371"/>
      <c r="C2" s="1371"/>
      <c r="D2" s="1371"/>
      <c r="E2" s="1371"/>
    </row>
    <row r="3" spans="1:5" x14ac:dyDescent="0.25">
      <c r="A3" s="1371"/>
      <c r="B3" s="1371"/>
      <c r="C3" s="1371"/>
      <c r="D3" s="1371"/>
      <c r="E3" s="1371"/>
    </row>
    <row r="4" spans="1:5" ht="26.25" x14ac:dyDescent="0.4">
      <c r="A4" s="1371"/>
      <c r="B4" s="2534" t="s">
        <v>1623</v>
      </c>
      <c r="C4" s="2535"/>
      <c r="D4" s="2535"/>
      <c r="E4" s="2535"/>
    </row>
    <row r="5" spans="1:5" ht="69" customHeight="1" x14ac:dyDescent="0.35">
      <c r="A5" s="2474"/>
      <c r="B5" s="2536" t="s">
        <v>1716</v>
      </c>
      <c r="C5" s="2536"/>
      <c r="D5" s="2483" t="str">
        <f>'CEKLIST 002 (BIO DATA)'!D15</f>
        <v>PD. BPR DOMPU</v>
      </c>
      <c r="E5" s="2484"/>
    </row>
    <row r="6" spans="1:5" ht="69" customHeight="1" x14ac:dyDescent="0.35">
      <c r="A6" s="2474"/>
      <c r="B6" s="2537" t="s">
        <v>1717</v>
      </c>
      <c r="C6" s="2537"/>
      <c r="D6" s="2485" t="str">
        <f>'CEKLIST 002 (BIO DATA)'!D25</f>
        <v>Nusa Tenggara Barat</v>
      </c>
      <c r="E6" s="2486"/>
    </row>
    <row r="7" spans="1:5" ht="21" x14ac:dyDescent="0.35">
      <c r="A7" s="2474"/>
      <c r="B7" s="2473"/>
      <c r="C7" s="2473"/>
      <c r="D7" s="2473"/>
      <c r="E7" s="2486"/>
    </row>
    <row r="8" spans="1:5" ht="69" customHeight="1" x14ac:dyDescent="0.35">
      <c r="A8" s="2474"/>
      <c r="B8" s="2537" t="s">
        <v>250</v>
      </c>
      <c r="C8" s="2537"/>
      <c r="D8" s="2485" t="str">
        <f>'CEKLIST 002 (BIO DATA)'!D26</f>
        <v>(0373) 22090</v>
      </c>
      <c r="E8" s="2486"/>
    </row>
    <row r="9" spans="1:5" ht="21" x14ac:dyDescent="0.25">
      <c r="A9" s="2474"/>
      <c r="B9" s="2538"/>
      <c r="C9" s="2538"/>
      <c r="D9" s="2538"/>
      <c r="E9" s="2538"/>
    </row>
    <row r="10" spans="1:5" ht="24" customHeight="1" x14ac:dyDescent="0.35">
      <c r="A10" s="1371"/>
      <c r="B10" s="2472" t="s">
        <v>251</v>
      </c>
      <c r="C10" s="2532" t="s">
        <v>252</v>
      </c>
      <c r="D10" s="2533"/>
      <c r="E10" s="2471" t="s">
        <v>1624</v>
      </c>
    </row>
    <row r="11" spans="1:5" ht="21" x14ac:dyDescent="0.35">
      <c r="A11" s="1371"/>
      <c r="B11" s="2540"/>
      <c r="C11" s="2533"/>
      <c r="D11" s="2533"/>
      <c r="E11" s="2533"/>
    </row>
    <row r="12" spans="1:5" ht="21" x14ac:dyDescent="0.35">
      <c r="A12" s="1371"/>
      <c r="B12" s="2472">
        <v>1</v>
      </c>
      <c r="C12" s="2541" t="s">
        <v>1641</v>
      </c>
      <c r="D12" s="2533"/>
      <c r="E12" s="1362" t="s">
        <v>1718</v>
      </c>
    </row>
    <row r="13" spans="1:5" ht="21" x14ac:dyDescent="0.35">
      <c r="A13" s="1371"/>
      <c r="B13" s="1372">
        <v>2</v>
      </c>
      <c r="C13" s="2542" t="s">
        <v>1642</v>
      </c>
      <c r="D13" s="2543"/>
      <c r="E13" s="2533"/>
    </row>
    <row r="14" spans="1:5" ht="22.5" customHeight="1" x14ac:dyDescent="0.25">
      <c r="A14" s="1371"/>
      <c r="B14" s="1373"/>
      <c r="C14" s="1374" t="s">
        <v>55</v>
      </c>
      <c r="D14" s="1375" t="s">
        <v>1643</v>
      </c>
      <c r="E14" s="1362" t="s">
        <v>1718</v>
      </c>
    </row>
    <row r="15" spans="1:5" ht="45" customHeight="1" x14ac:dyDescent="0.25">
      <c r="A15" s="1371"/>
      <c r="B15" s="1376"/>
      <c r="C15" s="1374" t="s">
        <v>56</v>
      </c>
      <c r="D15" s="1377" t="s">
        <v>1644</v>
      </c>
      <c r="E15" s="1362" t="s">
        <v>1718</v>
      </c>
    </row>
    <row r="16" spans="1:5" ht="43.5" customHeight="1" x14ac:dyDescent="0.25">
      <c r="A16" s="1371"/>
      <c r="B16" s="1376"/>
      <c r="C16" s="1374" t="s">
        <v>57</v>
      </c>
      <c r="D16" s="1378" t="s">
        <v>1645</v>
      </c>
      <c r="E16" s="1362" t="s">
        <v>1718</v>
      </c>
    </row>
    <row r="17" spans="1:5" ht="71.25" customHeight="1" x14ac:dyDescent="0.25">
      <c r="A17" s="1371"/>
      <c r="B17" s="1376"/>
      <c r="C17" s="1379" t="s">
        <v>58</v>
      </c>
      <c r="D17" s="1378" t="s">
        <v>1646</v>
      </c>
      <c r="E17" s="1362" t="s">
        <v>1718</v>
      </c>
    </row>
    <row r="18" spans="1:5" ht="21" x14ac:dyDescent="0.35">
      <c r="A18" s="1371"/>
      <c r="B18" s="2472">
        <v>3</v>
      </c>
      <c r="C18" s="2544" t="s">
        <v>1647</v>
      </c>
      <c r="D18" s="2545"/>
      <c r="E18" s="1362" t="s">
        <v>1718</v>
      </c>
    </row>
    <row r="19" spans="1:5" ht="21" x14ac:dyDescent="0.35">
      <c r="A19" s="1371"/>
      <c r="B19" s="1380">
        <v>4</v>
      </c>
      <c r="C19" s="2542" t="s">
        <v>1648</v>
      </c>
      <c r="D19" s="2543"/>
      <c r="E19" s="2533"/>
    </row>
    <row r="20" spans="1:5" ht="21.75" customHeight="1" x14ac:dyDescent="0.25">
      <c r="A20" s="1371"/>
      <c r="B20" s="1381"/>
      <c r="C20" s="1374" t="s">
        <v>55</v>
      </c>
      <c r="D20" s="1382" t="s">
        <v>1625</v>
      </c>
      <c r="E20" s="1363" t="s">
        <v>1719</v>
      </c>
    </row>
    <row r="21" spans="1:5" ht="28.5" customHeight="1" x14ac:dyDescent="0.25">
      <c r="A21" s="1371"/>
      <c r="B21" s="1383"/>
      <c r="C21" s="1374" t="s">
        <v>56</v>
      </c>
      <c r="D21" s="1382" t="s">
        <v>1649</v>
      </c>
      <c r="E21" s="1363" t="s">
        <v>1719</v>
      </c>
    </row>
    <row r="22" spans="1:5" ht="24" customHeight="1" x14ac:dyDescent="0.25">
      <c r="A22" s="1371"/>
      <c r="B22" s="1384"/>
      <c r="C22" s="1374" t="s">
        <v>57</v>
      </c>
      <c r="D22" s="1382" t="s">
        <v>1650</v>
      </c>
      <c r="E22" s="1363" t="s">
        <v>1719</v>
      </c>
    </row>
    <row r="23" spans="1:5" ht="40.5" customHeight="1" x14ac:dyDescent="0.25">
      <c r="A23" s="1371"/>
      <c r="B23" s="1385"/>
      <c r="C23" s="1374" t="s">
        <v>58</v>
      </c>
      <c r="D23" s="1382" t="s">
        <v>1651</v>
      </c>
      <c r="E23" s="1363" t="s">
        <v>1719</v>
      </c>
    </row>
    <row r="24" spans="1:5" ht="21" x14ac:dyDescent="0.35">
      <c r="A24" s="1371"/>
      <c r="B24" s="1386">
        <v>5</v>
      </c>
      <c r="C24" s="2546" t="s">
        <v>1652</v>
      </c>
      <c r="D24" s="2533"/>
      <c r="E24" s="2533"/>
    </row>
    <row r="25" spans="1:5" ht="29.25" customHeight="1" x14ac:dyDescent="0.25">
      <c r="A25" s="1371"/>
      <c r="B25" s="1381"/>
      <c r="C25" s="1387" t="s">
        <v>55</v>
      </c>
      <c r="D25" s="1388" t="s">
        <v>1653</v>
      </c>
      <c r="E25" s="1363" t="s">
        <v>1719</v>
      </c>
    </row>
    <row r="26" spans="1:5" ht="32.25" customHeight="1" x14ac:dyDescent="0.25">
      <c r="A26" s="1371"/>
      <c r="B26" s="1389"/>
      <c r="C26" s="1374" t="s">
        <v>56</v>
      </c>
      <c r="D26" s="1390" t="s">
        <v>1626</v>
      </c>
      <c r="E26" s="1363" t="s">
        <v>1719</v>
      </c>
    </row>
    <row r="27" spans="1:5" ht="21" x14ac:dyDescent="0.35">
      <c r="A27" s="1371"/>
      <c r="B27" s="1380">
        <v>6</v>
      </c>
      <c r="C27" s="2547" t="s">
        <v>1654</v>
      </c>
      <c r="D27" s="2548"/>
      <c r="E27" s="2533"/>
    </row>
    <row r="28" spans="1:5" ht="46.5" customHeight="1" x14ac:dyDescent="0.25">
      <c r="A28" s="1371"/>
      <c r="B28" s="1387"/>
      <c r="C28" s="1374" t="s">
        <v>55</v>
      </c>
      <c r="D28" s="1378" t="s">
        <v>1655</v>
      </c>
      <c r="E28" s="1363" t="s">
        <v>1719</v>
      </c>
    </row>
    <row r="29" spans="1:5" ht="45" customHeight="1" x14ac:dyDescent="0.25">
      <c r="A29" s="1371"/>
      <c r="B29" s="1391"/>
      <c r="C29" s="1374" t="s">
        <v>56</v>
      </c>
      <c r="D29" s="1392" t="s">
        <v>1656</v>
      </c>
      <c r="E29" s="1363" t="s">
        <v>1719</v>
      </c>
    </row>
    <row r="30" spans="1:5" ht="21" x14ac:dyDescent="0.35">
      <c r="A30" s="1371"/>
      <c r="B30" s="1393">
        <v>7</v>
      </c>
      <c r="C30" s="2549" t="s">
        <v>1627</v>
      </c>
      <c r="D30" s="2545"/>
      <c r="E30" s="1363" t="s">
        <v>1719</v>
      </c>
    </row>
    <row r="31" spans="1:5" ht="21" x14ac:dyDescent="0.35">
      <c r="A31" s="1371"/>
      <c r="B31" s="2472">
        <v>8</v>
      </c>
      <c r="C31" s="2539" t="s">
        <v>1628</v>
      </c>
      <c r="D31" s="2533"/>
      <c r="E31" s="1363" t="s">
        <v>1719</v>
      </c>
    </row>
    <row r="32" spans="1:5" ht="21" x14ac:dyDescent="0.35">
      <c r="A32" s="1371"/>
      <c r="B32" s="2472">
        <v>9</v>
      </c>
      <c r="C32" s="2539" t="s">
        <v>1657</v>
      </c>
      <c r="D32" s="2533"/>
      <c r="E32" s="1363" t="s">
        <v>1719</v>
      </c>
    </row>
    <row r="33" spans="1:5" ht="21" x14ac:dyDescent="0.35">
      <c r="A33" s="1371"/>
      <c r="B33" s="2472">
        <v>10</v>
      </c>
      <c r="C33" s="2539" t="s">
        <v>1658</v>
      </c>
      <c r="D33" s="2533"/>
      <c r="E33" s="1363" t="s">
        <v>1719</v>
      </c>
    </row>
    <row r="34" spans="1:5" ht="21" x14ac:dyDescent="0.35">
      <c r="A34" s="1371"/>
      <c r="B34" s="2472">
        <v>11</v>
      </c>
      <c r="C34" s="2539" t="s">
        <v>1659</v>
      </c>
      <c r="D34" s="2533"/>
      <c r="E34" s="1363" t="s">
        <v>1719</v>
      </c>
    </row>
    <row r="35" spans="1:5" ht="44.25" customHeight="1" x14ac:dyDescent="0.25">
      <c r="A35" s="1371"/>
      <c r="B35" s="2472">
        <v>12</v>
      </c>
      <c r="C35" s="2554" t="s">
        <v>1660</v>
      </c>
      <c r="D35" s="2555"/>
      <c r="E35" s="1363" t="s">
        <v>1719</v>
      </c>
    </row>
    <row r="36" spans="1:5" ht="21" x14ac:dyDescent="0.35">
      <c r="A36" s="1371"/>
      <c r="B36" s="1380">
        <v>13</v>
      </c>
      <c r="C36" s="2556" t="s">
        <v>1661</v>
      </c>
      <c r="D36" s="2533"/>
      <c r="E36" s="2533"/>
    </row>
    <row r="37" spans="1:5" ht="24.75" customHeight="1" x14ac:dyDescent="0.25">
      <c r="A37" s="1371"/>
      <c r="B37" s="1384"/>
      <c r="C37" s="1374" t="s">
        <v>55</v>
      </c>
      <c r="D37" s="1392" t="s">
        <v>1630</v>
      </c>
      <c r="E37" s="1363" t="s">
        <v>1719</v>
      </c>
    </row>
    <row r="38" spans="1:5" ht="21.75" customHeight="1" x14ac:dyDescent="0.25">
      <c r="A38" s="1371"/>
      <c r="B38" s="1394"/>
      <c r="C38" s="1374" t="s">
        <v>56</v>
      </c>
      <c r="D38" s="1392" t="s">
        <v>1631</v>
      </c>
      <c r="E38" s="1363" t="s">
        <v>1719</v>
      </c>
    </row>
    <row r="39" spans="1:5" ht="22.5" customHeight="1" x14ac:dyDescent="0.25">
      <c r="A39" s="1371"/>
      <c r="B39" s="1394"/>
      <c r="C39" s="1374" t="s">
        <v>57</v>
      </c>
      <c r="D39" s="1392" t="s">
        <v>1662</v>
      </c>
      <c r="E39" s="1363" t="s">
        <v>1719</v>
      </c>
    </row>
    <row r="40" spans="1:5" ht="22.5" customHeight="1" x14ac:dyDescent="0.25">
      <c r="A40" s="1371"/>
      <c r="B40" s="1384"/>
      <c r="C40" s="1374" t="s">
        <v>58</v>
      </c>
      <c r="D40" s="1392" t="s">
        <v>1632</v>
      </c>
      <c r="E40" s="1363" t="s">
        <v>1719</v>
      </c>
    </row>
    <row r="41" spans="1:5" ht="20.25" customHeight="1" x14ac:dyDescent="0.25">
      <c r="A41" s="1371"/>
      <c r="B41" s="1394"/>
      <c r="C41" s="1374" t="s">
        <v>67</v>
      </c>
      <c r="D41" s="1392" t="s">
        <v>1633</v>
      </c>
      <c r="E41" s="1363" t="s">
        <v>1719</v>
      </c>
    </row>
    <row r="42" spans="1:5" ht="20.25" customHeight="1" x14ac:dyDescent="0.25">
      <c r="A42" s="1371"/>
      <c r="B42" s="1385"/>
      <c r="C42" s="1374" t="s">
        <v>95</v>
      </c>
      <c r="D42" s="1392" t="s">
        <v>1634</v>
      </c>
      <c r="E42" s="1363" t="s">
        <v>1719</v>
      </c>
    </row>
    <row r="43" spans="1:5" ht="21" x14ac:dyDescent="0.35">
      <c r="A43" s="1371"/>
      <c r="B43" s="1380">
        <v>14</v>
      </c>
      <c r="C43" s="2557" t="s">
        <v>1663</v>
      </c>
      <c r="D43" s="2533"/>
      <c r="E43" s="2533"/>
    </row>
    <row r="44" spans="1:5" ht="23.25" customHeight="1" x14ac:dyDescent="0.25">
      <c r="A44" s="1371"/>
      <c r="B44" s="1384"/>
      <c r="C44" s="1374" t="s">
        <v>55</v>
      </c>
      <c r="D44" s="1392" t="s">
        <v>1635</v>
      </c>
      <c r="E44" s="1363" t="s">
        <v>1719</v>
      </c>
    </row>
    <row r="45" spans="1:5" ht="19.5" customHeight="1" x14ac:dyDescent="0.25">
      <c r="A45" s="1371"/>
      <c r="B45" s="1394"/>
      <c r="C45" s="1374" t="s">
        <v>56</v>
      </c>
      <c r="D45" s="1392" t="s">
        <v>1636</v>
      </c>
      <c r="E45" s="1363" t="s">
        <v>1719</v>
      </c>
    </row>
    <row r="46" spans="1:5" ht="21.75" customHeight="1" x14ac:dyDescent="0.25">
      <c r="A46" s="1371"/>
      <c r="B46" s="1394"/>
      <c r="C46" s="1374" t="s">
        <v>57</v>
      </c>
      <c r="D46" s="1392" t="s">
        <v>1664</v>
      </c>
      <c r="E46" s="1363" t="s">
        <v>1719</v>
      </c>
    </row>
    <row r="47" spans="1:5" ht="22.5" customHeight="1" x14ac:dyDescent="0.25">
      <c r="A47" s="1371"/>
      <c r="B47" s="1384"/>
      <c r="C47" s="1374" t="s">
        <v>58</v>
      </c>
      <c r="D47" s="1392" t="s">
        <v>1637</v>
      </c>
      <c r="E47" s="1363" t="s">
        <v>1719</v>
      </c>
    </row>
    <row r="48" spans="1:5" ht="21" customHeight="1" x14ac:dyDescent="0.25">
      <c r="A48" s="1371"/>
      <c r="B48" s="1394"/>
      <c r="C48" s="1374" t="s">
        <v>67</v>
      </c>
      <c r="D48" s="1392" t="s">
        <v>1638</v>
      </c>
      <c r="E48" s="1363" t="s">
        <v>1719</v>
      </c>
    </row>
    <row r="49" spans="1:6" ht="20.25" customHeight="1" x14ac:dyDescent="0.25">
      <c r="A49" s="1371"/>
      <c r="B49" s="1384"/>
      <c r="C49" s="1395" t="s">
        <v>95</v>
      </c>
      <c r="D49" s="1396" t="s">
        <v>1639</v>
      </c>
      <c r="E49" s="1363" t="s">
        <v>1719</v>
      </c>
    </row>
    <row r="50" spans="1:6" ht="21" x14ac:dyDescent="0.35">
      <c r="A50" s="1371"/>
      <c r="B50" s="2472">
        <v>15</v>
      </c>
      <c r="C50" s="2541" t="s">
        <v>253</v>
      </c>
      <c r="D50" s="2533"/>
      <c r="E50" s="1363" t="s">
        <v>1719</v>
      </c>
    </row>
    <row r="51" spans="1:6" ht="21" x14ac:dyDescent="0.25">
      <c r="A51" s="1371"/>
      <c r="B51" s="1380">
        <v>16</v>
      </c>
      <c r="C51" s="2558" t="s">
        <v>1665</v>
      </c>
      <c r="D51" s="2559"/>
      <c r="E51" s="1365"/>
    </row>
    <row r="52" spans="1:6" ht="31.5" customHeight="1" x14ac:dyDescent="0.25">
      <c r="A52" s="1371"/>
      <c r="B52" s="1381"/>
      <c r="C52" s="1374" t="s">
        <v>55</v>
      </c>
      <c r="D52" s="1392" t="s">
        <v>1666</v>
      </c>
      <c r="E52" s="1363" t="s">
        <v>1719</v>
      </c>
    </row>
    <row r="53" spans="1:6" ht="43.5" customHeight="1" x14ac:dyDescent="0.25">
      <c r="A53" s="1371"/>
      <c r="B53" s="1384"/>
      <c r="C53" s="1374" t="s">
        <v>56</v>
      </c>
      <c r="D53" s="1392" t="s">
        <v>1667</v>
      </c>
      <c r="E53" s="1363" t="s">
        <v>1719</v>
      </c>
    </row>
    <row r="54" spans="1:6" ht="42.75" customHeight="1" x14ac:dyDescent="0.25">
      <c r="A54" s="1371"/>
      <c r="B54" s="1384"/>
      <c r="C54" s="1374" t="s">
        <v>57</v>
      </c>
      <c r="D54" s="1392" t="s">
        <v>1668</v>
      </c>
      <c r="E54" s="1363" t="s">
        <v>1719</v>
      </c>
    </row>
    <row r="55" spans="1:6" ht="27.75" customHeight="1" x14ac:dyDescent="0.25">
      <c r="A55" s="1371"/>
      <c r="B55" s="1384"/>
      <c r="C55" s="1374" t="s">
        <v>58</v>
      </c>
      <c r="D55" s="1392" t="s">
        <v>1669</v>
      </c>
      <c r="E55" s="1363" t="s">
        <v>1719</v>
      </c>
    </row>
    <row r="56" spans="1:6" ht="27" customHeight="1" x14ac:dyDescent="0.25">
      <c r="A56" s="1371"/>
      <c r="B56" s="1384"/>
      <c r="C56" s="1374" t="s">
        <v>67</v>
      </c>
      <c r="D56" s="1392" t="s">
        <v>1670</v>
      </c>
      <c r="E56" s="1363" t="s">
        <v>1719</v>
      </c>
    </row>
    <row r="57" spans="1:6" ht="40.5" customHeight="1" x14ac:dyDescent="0.25">
      <c r="A57" s="1371"/>
      <c r="B57" s="1384"/>
      <c r="C57" s="1374" t="s">
        <v>95</v>
      </c>
      <c r="D57" s="1392" t="s">
        <v>1671</v>
      </c>
      <c r="E57" s="1363" t="s">
        <v>1719</v>
      </c>
    </row>
    <row r="58" spans="1:6" ht="62.25" customHeight="1" x14ac:dyDescent="0.25">
      <c r="A58" s="1371"/>
      <c r="B58" s="1394"/>
      <c r="C58" s="1374" t="s">
        <v>373</v>
      </c>
      <c r="D58" s="1392" t="s">
        <v>1672</v>
      </c>
      <c r="E58" s="1363" t="s">
        <v>1719</v>
      </c>
    </row>
    <row r="59" spans="1:6" ht="23.25" customHeight="1" x14ac:dyDescent="0.25">
      <c r="A59" s="1371"/>
      <c r="B59" s="1397"/>
      <c r="C59" s="1374"/>
      <c r="D59" s="1392"/>
      <c r="E59" s="1366" t="s">
        <v>1718</v>
      </c>
    </row>
    <row r="60" spans="1:6" ht="21" x14ac:dyDescent="0.25">
      <c r="A60" s="1371"/>
      <c r="B60" s="1398">
        <v>17</v>
      </c>
      <c r="C60" s="2560" t="s">
        <v>1699</v>
      </c>
      <c r="D60" s="2561"/>
      <c r="E60" s="1363" t="s">
        <v>1719</v>
      </c>
    </row>
    <row r="61" spans="1:6" ht="21" x14ac:dyDescent="0.25">
      <c r="A61" s="2474"/>
      <c r="B61" s="1367"/>
      <c r="C61" s="1368"/>
      <c r="D61" s="1368"/>
      <c r="E61" s="1369"/>
      <c r="F61" s="1"/>
    </row>
    <row r="62" spans="1:6" ht="21" customHeight="1" x14ac:dyDescent="0.25">
      <c r="A62" s="1371"/>
      <c r="B62" s="1399" t="s">
        <v>1673</v>
      </c>
      <c r="C62" s="1399" t="s">
        <v>1674</v>
      </c>
      <c r="D62" s="2550" t="s">
        <v>1675</v>
      </c>
      <c r="E62" s="2550"/>
      <c r="F62" s="1"/>
    </row>
    <row r="63" spans="1:6" ht="49.5" customHeight="1" x14ac:dyDescent="0.25">
      <c r="A63" s="1371"/>
      <c r="B63" s="1395"/>
      <c r="C63" s="1400" t="s">
        <v>1676</v>
      </c>
      <c r="D63" s="2551" t="s">
        <v>1677</v>
      </c>
      <c r="E63" s="2551"/>
      <c r="F63" s="1"/>
    </row>
    <row r="64" spans="1:6" ht="42.75" customHeight="1" x14ac:dyDescent="0.35">
      <c r="A64" s="1371"/>
      <c r="B64" s="1395"/>
      <c r="C64" s="1400" t="s">
        <v>1678</v>
      </c>
      <c r="D64" s="2552" t="s">
        <v>1679</v>
      </c>
      <c r="E64" s="2552"/>
      <c r="F64" s="1"/>
    </row>
    <row r="65" spans="1:6" ht="21" x14ac:dyDescent="0.25">
      <c r="A65" s="2474"/>
      <c r="B65" s="1364"/>
      <c r="C65" s="1370"/>
      <c r="D65" s="2553"/>
      <c r="E65" s="2553"/>
      <c r="F65" s="1"/>
    </row>
  </sheetData>
  <mergeCells count="28">
    <mergeCell ref="D62:E62"/>
    <mergeCell ref="D63:E63"/>
    <mergeCell ref="D64:E64"/>
    <mergeCell ref="D65:E65"/>
    <mergeCell ref="C35:D35"/>
    <mergeCell ref="C36:E36"/>
    <mergeCell ref="C43:E43"/>
    <mergeCell ref="C50:D50"/>
    <mergeCell ref="C51:D51"/>
    <mergeCell ref="C60:D60"/>
    <mergeCell ref="C34:D34"/>
    <mergeCell ref="B11:E11"/>
    <mergeCell ref="C12:D12"/>
    <mergeCell ref="C13:E13"/>
    <mergeCell ref="C18:D18"/>
    <mergeCell ref="C19:E19"/>
    <mergeCell ref="C24:E24"/>
    <mergeCell ref="C27:E27"/>
    <mergeCell ref="C30:D30"/>
    <mergeCell ref="C31:D31"/>
    <mergeCell ref="C32:D32"/>
    <mergeCell ref="C33:D33"/>
    <mergeCell ref="C10:D10"/>
    <mergeCell ref="B4:E4"/>
    <mergeCell ref="B5:C5"/>
    <mergeCell ref="B6:C6"/>
    <mergeCell ref="B8:C8"/>
    <mergeCell ref="B9:E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showGridLines="0" topLeftCell="A43" workbookViewId="0">
      <selection activeCell="G53" sqref="G53"/>
    </sheetView>
  </sheetViews>
  <sheetFormatPr defaultRowHeight="15" x14ac:dyDescent="0.2"/>
  <cols>
    <col min="1" max="1" width="3.42578125" style="69" bestFit="1" customWidth="1"/>
    <col min="2" max="2" width="2.5703125" style="69" bestFit="1" customWidth="1"/>
    <col min="3" max="3" width="9.28515625" style="69" customWidth="1"/>
    <col min="4" max="4" width="10" style="69" customWidth="1"/>
    <col min="5" max="5" width="1.85546875" style="69" bestFit="1" customWidth="1"/>
    <col min="6" max="9" width="9.140625" style="69" customWidth="1"/>
    <col min="10" max="10" width="5.7109375" style="69" customWidth="1"/>
    <col min="11" max="11" width="9.140625" style="69" customWidth="1"/>
    <col min="12" max="12" width="3.5703125" style="69" bestFit="1" customWidth="1"/>
    <col min="13" max="13" width="9.28515625" style="69" bestFit="1" customWidth="1"/>
    <col min="14" max="14" width="17.42578125" style="69" bestFit="1" customWidth="1"/>
    <col min="15" max="18" width="9.140625" style="69"/>
    <col min="19" max="19" width="7.140625" style="69" customWidth="1"/>
    <col min="20" max="20" width="3.140625" style="69" customWidth="1"/>
    <col min="21" max="16384" width="9.140625" style="69"/>
  </cols>
  <sheetData>
    <row r="1" spans="1:19" ht="21" x14ac:dyDescent="0.2">
      <c r="A1" s="2057"/>
      <c r="B1" s="2057"/>
      <c r="C1" s="2057"/>
      <c r="D1" s="2057"/>
      <c r="E1" s="2057"/>
      <c r="F1" s="2057"/>
      <c r="G1" s="2057"/>
      <c r="H1" s="2057"/>
      <c r="I1" s="2057"/>
      <c r="J1" s="2057"/>
      <c r="K1" s="2057"/>
      <c r="L1" s="2057"/>
      <c r="M1" s="2057"/>
      <c r="N1" s="2057"/>
      <c r="O1" s="2057"/>
      <c r="P1" s="2057"/>
      <c r="Q1" s="2892" t="s">
        <v>1503</v>
      </c>
      <c r="R1" s="2892"/>
      <c r="S1" s="2892"/>
    </row>
    <row r="2" spans="1:19" ht="18" x14ac:dyDescent="0.25">
      <c r="A2" s="2893" t="s">
        <v>658</v>
      </c>
      <c r="B2" s="2893"/>
      <c r="C2" s="2893"/>
      <c r="D2" s="2893"/>
      <c r="E2" s="2893"/>
      <c r="F2" s="2893"/>
      <c r="G2" s="2893"/>
      <c r="H2" s="2893"/>
      <c r="I2" s="2893"/>
      <c r="J2" s="2893"/>
      <c r="K2" s="2893"/>
      <c r="L2" s="2893"/>
      <c r="M2" s="2893"/>
      <c r="N2" s="2893"/>
      <c r="O2" s="2893"/>
      <c r="P2" s="2893"/>
      <c r="Q2" s="2893"/>
      <c r="R2" s="2893"/>
      <c r="S2" s="2893"/>
    </row>
    <row r="3" spans="1:19" ht="18" x14ac:dyDescent="0.25">
      <c r="A3" s="2893" t="s">
        <v>1527</v>
      </c>
      <c r="B3" s="2893"/>
      <c r="C3" s="2893"/>
      <c r="D3" s="2893"/>
      <c r="E3" s="2893"/>
      <c r="F3" s="2893"/>
      <c r="G3" s="2893"/>
      <c r="H3" s="2893"/>
      <c r="I3" s="2893"/>
      <c r="J3" s="2893"/>
      <c r="K3" s="2893"/>
      <c r="L3" s="2893"/>
      <c r="M3" s="2893"/>
      <c r="N3" s="2893"/>
      <c r="O3" s="2893"/>
      <c r="P3" s="2893"/>
      <c r="Q3" s="2893"/>
      <c r="R3" s="2893"/>
      <c r="S3" s="2893"/>
    </row>
    <row r="4" spans="1:19" x14ac:dyDescent="0.2">
      <c r="A4" s="2057"/>
      <c r="B4" s="2057"/>
      <c r="C4" s="2057"/>
      <c r="D4" s="2057"/>
      <c r="E4" s="2057"/>
      <c r="F4" s="2057"/>
      <c r="G4" s="2057"/>
      <c r="H4" s="2057"/>
      <c r="I4" s="2057"/>
      <c r="J4" s="2057"/>
      <c r="K4" s="2057"/>
      <c r="L4" s="2057"/>
      <c r="M4" s="2057"/>
      <c r="N4" s="2057"/>
      <c r="O4" s="2057"/>
      <c r="P4" s="2057"/>
      <c r="Q4" s="2057"/>
      <c r="R4" s="2057"/>
      <c r="S4" s="2057"/>
    </row>
    <row r="5" spans="1:19" ht="15.75" x14ac:dyDescent="0.25">
      <c r="A5" s="2058" t="s">
        <v>659</v>
      </c>
      <c r="B5" s="2894" t="s">
        <v>660</v>
      </c>
      <c r="C5" s="2894"/>
      <c r="D5" s="2894"/>
      <c r="E5" s="2059" t="s">
        <v>0</v>
      </c>
      <c r="F5" s="2895"/>
      <c r="G5" s="2895"/>
      <c r="H5" s="2895"/>
      <c r="I5" s="2895"/>
      <c r="J5" s="2895"/>
      <c r="K5" s="2895"/>
      <c r="L5" s="2895"/>
      <c r="M5" s="2895"/>
      <c r="N5" s="2895"/>
      <c r="O5" s="2895"/>
      <c r="P5" s="2895"/>
      <c r="Q5" s="2895"/>
      <c r="R5" s="2895"/>
      <c r="S5" s="2896"/>
    </row>
    <row r="6" spans="1:19" ht="20.25" customHeight="1" x14ac:dyDescent="0.25">
      <c r="A6" s="2060"/>
      <c r="B6" s="2061" t="s">
        <v>247</v>
      </c>
      <c r="C6" s="2897" t="s">
        <v>661</v>
      </c>
      <c r="D6" s="2897"/>
      <c r="E6" s="2062" t="s">
        <v>0</v>
      </c>
      <c r="F6" s="2898" t="str">
        <f>'CEKLIST 002 (BIO DATA)'!D15</f>
        <v>PD. BPR DOMPU</v>
      </c>
      <c r="G6" s="2898"/>
      <c r="H6" s="2898"/>
      <c r="I6" s="2898"/>
      <c r="J6" s="2898"/>
      <c r="K6" s="2898"/>
      <c r="L6" s="2898"/>
      <c r="M6" s="2898"/>
      <c r="N6" s="2898"/>
      <c r="O6" s="2898"/>
      <c r="P6" s="2898"/>
      <c r="Q6" s="2898"/>
      <c r="R6" s="2898"/>
      <c r="S6" s="2899"/>
    </row>
    <row r="7" spans="1:19" ht="20.25" customHeight="1" x14ac:dyDescent="0.25">
      <c r="A7" s="2060"/>
      <c r="B7" s="2061" t="s">
        <v>248</v>
      </c>
      <c r="C7" s="2900" t="s">
        <v>19</v>
      </c>
      <c r="D7" s="2900"/>
      <c r="E7" s="2062" t="s">
        <v>0</v>
      </c>
      <c r="F7" s="2890" t="str">
        <f>'CEKLIST 002 (BIO DATA)'!D21</f>
        <v xml:space="preserve">Jl. Nusantara No. 04 </v>
      </c>
      <c r="G7" s="2890"/>
      <c r="H7" s="2890"/>
      <c r="I7" s="2890"/>
      <c r="J7" s="2890" t="str">
        <f>'CEKLIST 002 (BIO DATA)'!D22</f>
        <v>Bada</v>
      </c>
      <c r="K7" s="2890"/>
      <c r="L7" s="2890" t="str">
        <f>'CEKLIST 002 (BIO DATA)'!D23</f>
        <v>Dompu</v>
      </c>
      <c r="M7" s="2890"/>
      <c r="N7" s="2890" t="str">
        <f>'CEKLIST 002 (BIO DATA)'!D24</f>
        <v>Dompu</v>
      </c>
      <c r="O7" s="2890"/>
      <c r="P7" s="2890" t="str">
        <f>'CEKLIST 002 (BIO DATA)'!D25</f>
        <v>Nusa Tenggara Barat</v>
      </c>
      <c r="Q7" s="2890"/>
      <c r="R7" s="2890"/>
      <c r="S7" s="2891"/>
    </row>
    <row r="8" spans="1:19" ht="20.25" customHeight="1" x14ac:dyDescent="0.25">
      <c r="A8" s="2060"/>
      <c r="B8" s="2061" t="s">
        <v>338</v>
      </c>
      <c r="C8" s="2900" t="s">
        <v>662</v>
      </c>
      <c r="D8" s="2900"/>
      <c r="E8" s="2062" t="s">
        <v>0</v>
      </c>
      <c r="F8" s="2890" t="str">
        <f>'CEKLIST 002 (BIO DATA)'!D27</f>
        <v>Jufrin H. Abdullah, S.Sos</v>
      </c>
      <c r="G8" s="2890"/>
      <c r="H8" s="2890"/>
      <c r="I8" s="2890"/>
      <c r="J8" s="2890"/>
      <c r="K8" s="2890"/>
      <c r="L8" s="2890"/>
      <c r="M8" s="2890"/>
      <c r="N8" s="2890"/>
      <c r="O8" s="2890"/>
      <c r="P8" s="2890"/>
      <c r="Q8" s="2890"/>
      <c r="R8" s="2890"/>
      <c r="S8" s="2891"/>
    </row>
    <row r="9" spans="1:19" ht="20.25" customHeight="1" x14ac:dyDescent="0.25">
      <c r="A9" s="2060"/>
      <c r="B9" s="2061" t="s">
        <v>340</v>
      </c>
      <c r="C9" s="2900" t="s">
        <v>663</v>
      </c>
      <c r="D9" s="2900"/>
      <c r="E9" s="2062" t="s">
        <v>0</v>
      </c>
      <c r="F9" s="2890" t="str">
        <f>'CEKLIST 002 (BIO DATA)'!D3</f>
        <v>Adi irawan saputra</v>
      </c>
      <c r="G9" s="2890"/>
      <c r="H9" s="2890"/>
      <c r="I9" s="2890"/>
      <c r="J9" s="2890"/>
      <c r="K9" s="2890"/>
      <c r="L9" s="2890"/>
      <c r="M9" s="2890"/>
      <c r="N9" s="2890"/>
      <c r="O9" s="2890"/>
      <c r="P9" s="2890"/>
      <c r="Q9" s="2890"/>
      <c r="R9" s="2890"/>
      <c r="S9" s="2891"/>
    </row>
    <row r="10" spans="1:19" ht="20.25" customHeight="1" x14ac:dyDescent="0.25">
      <c r="A10" s="2060"/>
      <c r="B10" s="2063" t="s">
        <v>341</v>
      </c>
      <c r="C10" s="2900" t="s">
        <v>664</v>
      </c>
      <c r="D10" s="2900"/>
      <c r="E10" s="2062"/>
      <c r="F10" s="2890" t="str">
        <f>'CEKLIST 002 (BIO DATA)'!D4</f>
        <v>Deni Ardian</v>
      </c>
      <c r="G10" s="2890"/>
      <c r="H10" s="2890"/>
      <c r="I10" s="2890"/>
      <c r="J10" s="2890"/>
      <c r="K10" s="2890"/>
      <c r="L10" s="2890"/>
      <c r="M10" s="2890"/>
      <c r="N10" s="2890"/>
      <c r="O10" s="2890"/>
      <c r="P10" s="2890"/>
      <c r="Q10" s="2890"/>
      <c r="R10" s="2890"/>
      <c r="S10" s="2891"/>
    </row>
    <row r="11" spans="1:19" ht="20.25" customHeight="1" x14ac:dyDescent="0.25">
      <c r="A11" s="2060"/>
      <c r="B11" s="2063" t="s">
        <v>342</v>
      </c>
      <c r="C11" s="2900" t="s">
        <v>665</v>
      </c>
      <c r="D11" s="2900"/>
      <c r="E11" s="2062" t="s">
        <v>0</v>
      </c>
      <c r="F11" s="2904">
        <f>'CEKLIST 002 (BIO DATA)'!D5</f>
        <v>43374</v>
      </c>
      <c r="G11" s="2890"/>
      <c r="H11" s="2890"/>
      <c r="I11" s="2890"/>
      <c r="J11" s="2890"/>
      <c r="K11" s="2890"/>
      <c r="L11" s="2890"/>
      <c r="M11" s="2890"/>
      <c r="N11" s="2890"/>
      <c r="O11" s="2890"/>
      <c r="P11" s="2890"/>
      <c r="Q11" s="2890"/>
      <c r="R11" s="2890"/>
      <c r="S11" s="2891"/>
    </row>
    <row r="12" spans="1:19" ht="20.25" customHeight="1" x14ac:dyDescent="0.2">
      <c r="A12" s="2060"/>
      <c r="B12" s="2061"/>
      <c r="C12" s="2064"/>
      <c r="D12" s="2064"/>
      <c r="E12" s="2062"/>
      <c r="F12" s="2065"/>
      <c r="G12" s="2065"/>
      <c r="H12" s="2065"/>
      <c r="I12" s="2065"/>
      <c r="J12" s="2065"/>
      <c r="K12" s="2065"/>
      <c r="L12" s="2065"/>
      <c r="M12" s="2065"/>
      <c r="N12" s="2065"/>
      <c r="O12" s="2065"/>
      <c r="P12" s="2065"/>
      <c r="Q12" s="2065"/>
      <c r="R12" s="2065"/>
      <c r="S12" s="2066"/>
    </row>
    <row r="13" spans="1:19" ht="15.75" x14ac:dyDescent="0.2">
      <c r="A13" s="1998" t="s">
        <v>666</v>
      </c>
      <c r="B13" s="2905" t="s">
        <v>1511</v>
      </c>
      <c r="C13" s="2905"/>
      <c r="D13" s="2905"/>
      <c r="E13" s="2905"/>
      <c r="F13" s="2905"/>
      <c r="G13" s="2905"/>
      <c r="H13" s="2905"/>
      <c r="I13" s="2905"/>
      <c r="J13" s="2905"/>
      <c r="K13" s="2905"/>
      <c r="L13" s="2905"/>
      <c r="M13" s="2905"/>
      <c r="N13" s="2905"/>
      <c r="O13" s="2905"/>
      <c r="P13" s="2905"/>
      <c r="Q13" s="2905"/>
      <c r="R13" s="2905"/>
      <c r="S13" s="2906"/>
    </row>
    <row r="14" spans="1:19" ht="15.75" customHeight="1" x14ac:dyDescent="0.2">
      <c r="A14" s="2004"/>
      <c r="B14" s="2005"/>
      <c r="C14" s="2907" t="s">
        <v>667</v>
      </c>
      <c r="D14" s="2908"/>
      <c r="E14" s="2908"/>
      <c r="F14" s="2908"/>
      <c r="G14" s="2908"/>
      <c r="H14" s="2908"/>
      <c r="I14" s="2909"/>
      <c r="J14" s="2006"/>
      <c r="K14" s="2007"/>
      <c r="L14" s="2008"/>
      <c r="M14" s="2901"/>
      <c r="N14" s="2902"/>
      <c r="O14" s="2902"/>
      <c r="P14" s="2902"/>
      <c r="Q14" s="2902"/>
      <c r="R14" s="2903"/>
      <c r="S14" s="2009"/>
    </row>
    <row r="15" spans="1:19" ht="15.75" customHeight="1" x14ac:dyDescent="0.2">
      <c r="A15" s="2004"/>
      <c r="B15" s="2005"/>
      <c r="C15" s="2901" t="s">
        <v>668</v>
      </c>
      <c r="D15" s="2902"/>
      <c r="E15" s="2902"/>
      <c r="F15" s="2902"/>
      <c r="G15" s="2902"/>
      <c r="H15" s="2902"/>
      <c r="I15" s="2903"/>
      <c r="J15" s="2010"/>
      <c r="K15" s="2007"/>
      <c r="L15" s="2011"/>
      <c r="M15" s="2901" t="s">
        <v>1516</v>
      </c>
      <c r="N15" s="2902"/>
      <c r="O15" s="2902"/>
      <c r="P15" s="2902"/>
      <c r="Q15" s="2902"/>
      <c r="R15" s="2903"/>
      <c r="S15" s="2009"/>
    </row>
    <row r="16" spans="1:19" ht="15.75" customHeight="1" x14ac:dyDescent="0.2">
      <c r="A16" s="2004"/>
      <c r="B16" s="2005"/>
      <c r="C16" s="2901" t="s">
        <v>1517</v>
      </c>
      <c r="D16" s="2902"/>
      <c r="E16" s="2902"/>
      <c r="F16" s="2902"/>
      <c r="G16" s="2902"/>
      <c r="H16" s="2902"/>
      <c r="I16" s="2903"/>
      <c r="J16" s="2010"/>
      <c r="K16" s="2007"/>
      <c r="L16" s="2011"/>
      <c r="M16" s="2901" t="s">
        <v>1518</v>
      </c>
      <c r="N16" s="2902"/>
      <c r="O16" s="2902"/>
      <c r="P16" s="2902"/>
      <c r="Q16" s="2902"/>
      <c r="R16" s="2903"/>
      <c r="S16" s="2009"/>
    </row>
    <row r="17" spans="1:19" ht="15.75" customHeight="1" x14ac:dyDescent="0.2">
      <c r="A17" s="2004"/>
      <c r="B17" s="2005"/>
      <c r="C17" s="2901" t="s">
        <v>1510</v>
      </c>
      <c r="D17" s="2902"/>
      <c r="E17" s="2902"/>
      <c r="F17" s="2902"/>
      <c r="G17" s="2902"/>
      <c r="H17" s="2902"/>
      <c r="I17" s="2903"/>
      <c r="J17" s="2010"/>
      <c r="K17" s="2007"/>
      <c r="L17" s="2011"/>
      <c r="M17" s="2901" t="s">
        <v>1519</v>
      </c>
      <c r="N17" s="2902"/>
      <c r="O17" s="2902"/>
      <c r="P17" s="2902"/>
      <c r="Q17" s="2902"/>
      <c r="R17" s="2903"/>
      <c r="S17" s="2009"/>
    </row>
    <row r="18" spans="1:19" ht="15.75" customHeight="1" x14ac:dyDescent="0.2">
      <c r="A18" s="2004"/>
      <c r="B18" s="2006"/>
      <c r="C18" s="2901" t="s">
        <v>1515</v>
      </c>
      <c r="D18" s="2902"/>
      <c r="E18" s="2902"/>
      <c r="F18" s="2902"/>
      <c r="G18" s="2902"/>
      <c r="H18" s="2902"/>
      <c r="I18" s="2903"/>
      <c r="J18" s="2010"/>
      <c r="K18" s="2007"/>
      <c r="L18" s="2012"/>
      <c r="M18" s="2901" t="s">
        <v>669</v>
      </c>
      <c r="N18" s="2902"/>
      <c r="O18" s="2902"/>
      <c r="P18" s="2902"/>
      <c r="Q18" s="2902"/>
      <c r="R18" s="2903"/>
      <c r="S18" s="2009"/>
    </row>
    <row r="19" spans="1:19" x14ac:dyDescent="0.2">
      <c r="A19" s="2000"/>
      <c r="B19" s="2013"/>
      <c r="C19" s="2014"/>
      <c r="D19" s="2015"/>
      <c r="E19" s="2015"/>
      <c r="F19" s="2015"/>
      <c r="G19" s="2015"/>
      <c r="H19" s="2015"/>
      <c r="I19" s="2015"/>
      <c r="J19" s="2013"/>
      <c r="K19" s="2007"/>
      <c r="L19" s="2002"/>
      <c r="M19" s="2002"/>
      <c r="N19" s="2002"/>
      <c r="O19" s="2002"/>
      <c r="P19" s="2002"/>
      <c r="Q19" s="2002"/>
      <c r="R19" s="2002"/>
      <c r="S19" s="2016"/>
    </row>
    <row r="20" spans="1:19" ht="15.75" x14ac:dyDescent="0.2">
      <c r="A20" s="1998" t="s">
        <v>670</v>
      </c>
      <c r="B20" s="2905" t="s">
        <v>1512</v>
      </c>
      <c r="C20" s="2905"/>
      <c r="D20" s="2905"/>
      <c r="E20" s="2905"/>
      <c r="F20" s="2905"/>
      <c r="G20" s="2905"/>
      <c r="H20" s="2905"/>
      <c r="I20" s="2905"/>
      <c r="J20" s="2905"/>
      <c r="K20" s="2905"/>
      <c r="L20" s="2905"/>
      <c r="M20" s="2905"/>
      <c r="N20" s="2905"/>
      <c r="O20" s="2905"/>
      <c r="P20" s="2905"/>
      <c r="Q20" s="2905"/>
      <c r="R20" s="2905"/>
      <c r="S20" s="2906"/>
    </row>
    <row r="21" spans="1:19" ht="15.75" customHeight="1" x14ac:dyDescent="0.2">
      <c r="A21" s="2000"/>
      <c r="B21" s="2017" t="s">
        <v>671</v>
      </c>
      <c r="C21" s="2018"/>
      <c r="D21" s="2019"/>
      <c r="E21" s="2019"/>
      <c r="F21" s="2019"/>
      <c r="G21" s="2019"/>
      <c r="H21" s="2019"/>
      <c r="I21" s="2020"/>
      <c r="J21" s="2021"/>
      <c r="K21" s="2022"/>
      <c r="L21" s="2910" t="s">
        <v>672</v>
      </c>
      <c r="M21" s="2911"/>
      <c r="N21" s="2911"/>
      <c r="O21" s="2911"/>
      <c r="P21" s="2911"/>
      <c r="Q21" s="2911"/>
      <c r="R21" s="2912"/>
      <c r="S21" s="2023"/>
    </row>
    <row r="22" spans="1:19" ht="15.75" customHeight="1" x14ac:dyDescent="0.2">
      <c r="A22" s="2000"/>
      <c r="B22" s="2901" t="s">
        <v>673</v>
      </c>
      <c r="C22" s="2902"/>
      <c r="D22" s="2902"/>
      <c r="E22" s="2902"/>
      <c r="F22" s="2902"/>
      <c r="G22" s="2902"/>
      <c r="H22" s="2902"/>
      <c r="I22" s="2903"/>
      <c r="J22" s="2024"/>
      <c r="K22" s="2022"/>
      <c r="L22" s="2901" t="s">
        <v>674</v>
      </c>
      <c r="M22" s="2902"/>
      <c r="N22" s="2902"/>
      <c r="O22" s="2902"/>
      <c r="P22" s="2902"/>
      <c r="Q22" s="2902"/>
      <c r="R22" s="2903"/>
      <c r="S22" s="2025"/>
    </row>
    <row r="23" spans="1:19" ht="15.75" customHeight="1" x14ac:dyDescent="0.2">
      <c r="A23" s="2000"/>
      <c r="B23" s="2901" t="s">
        <v>675</v>
      </c>
      <c r="C23" s="2902"/>
      <c r="D23" s="2902"/>
      <c r="E23" s="2902"/>
      <c r="F23" s="2902"/>
      <c r="G23" s="2902"/>
      <c r="H23" s="2902"/>
      <c r="I23" s="2903"/>
      <c r="J23" s="2024"/>
      <c r="K23" s="2022"/>
      <c r="L23" s="2913" t="s">
        <v>298</v>
      </c>
      <c r="M23" s="2913"/>
      <c r="N23" s="2913"/>
      <c r="O23" s="2913"/>
      <c r="P23" s="2913"/>
      <c r="Q23" s="2913"/>
      <c r="R23" s="2913"/>
      <c r="S23" s="2026"/>
    </row>
    <row r="24" spans="1:19" x14ac:dyDescent="0.2">
      <c r="A24" s="2000"/>
      <c r="B24" s="2013"/>
      <c r="C24" s="2015"/>
      <c r="D24" s="2015"/>
      <c r="E24" s="2015"/>
      <c r="F24" s="2015"/>
      <c r="G24" s="2015"/>
      <c r="H24" s="2015"/>
      <c r="I24" s="2015"/>
      <c r="J24" s="2027"/>
      <c r="K24" s="2022"/>
      <c r="L24" s="2001"/>
      <c r="M24" s="2002"/>
      <c r="N24" s="2002"/>
      <c r="O24" s="2002"/>
      <c r="P24" s="2002"/>
      <c r="Q24" s="2002"/>
      <c r="R24" s="2002"/>
      <c r="S24" s="2016"/>
    </row>
    <row r="25" spans="1:19" ht="15.75" x14ac:dyDescent="0.25">
      <c r="A25" s="2028" t="s">
        <v>676</v>
      </c>
      <c r="B25" s="2914" t="s">
        <v>1513</v>
      </c>
      <c r="C25" s="2914"/>
      <c r="D25" s="2914"/>
      <c r="E25" s="2914"/>
      <c r="F25" s="2914"/>
      <c r="G25" s="2914"/>
      <c r="H25" s="2914"/>
      <c r="I25" s="2914"/>
      <c r="J25" s="2914"/>
      <c r="K25" s="2914"/>
      <c r="L25" s="2914"/>
      <c r="M25" s="2914"/>
      <c r="N25" s="2914"/>
      <c r="O25" s="2914"/>
      <c r="P25" s="2914"/>
      <c r="Q25" s="2914"/>
      <c r="R25" s="2914"/>
      <c r="S25" s="2915"/>
    </row>
    <row r="26" spans="1:19" ht="40.5" customHeight="1" x14ac:dyDescent="0.2">
      <c r="A26" s="2000"/>
      <c r="B26" s="2916"/>
      <c r="C26" s="2917"/>
      <c r="D26" s="2918" t="s">
        <v>1708</v>
      </c>
      <c r="E26" s="2919"/>
      <c r="F26" s="2919"/>
      <c r="G26" s="2919"/>
      <c r="H26" s="2919"/>
      <c r="I26" s="2920"/>
      <c r="J26" s="2921" t="s">
        <v>1720</v>
      </c>
      <c r="K26" s="2922"/>
      <c r="L26" s="2922"/>
      <c r="M26" s="2922"/>
      <c r="N26" s="2922"/>
      <c r="O26" s="2922"/>
      <c r="P26" s="2922"/>
      <c r="Q26" s="2922"/>
      <c r="R26" s="2923"/>
      <c r="S26" s="2029"/>
    </row>
    <row r="27" spans="1:19" ht="40.5" customHeight="1" x14ac:dyDescent="0.2">
      <c r="A27" s="2000"/>
      <c r="B27" s="2916"/>
      <c r="C27" s="2917"/>
      <c r="D27" s="2918" t="s">
        <v>1520</v>
      </c>
      <c r="E27" s="2919"/>
      <c r="F27" s="2919"/>
      <c r="G27" s="2919"/>
      <c r="H27" s="2919"/>
      <c r="I27" s="2920"/>
      <c r="J27" s="2921" t="s">
        <v>1720</v>
      </c>
      <c r="K27" s="2922"/>
      <c r="L27" s="2922"/>
      <c r="M27" s="2922"/>
      <c r="N27" s="2922"/>
      <c r="O27" s="2922"/>
      <c r="P27" s="2922"/>
      <c r="Q27" s="2922"/>
      <c r="R27" s="2923"/>
      <c r="S27" s="2029"/>
    </row>
    <row r="28" spans="1:19" ht="72" customHeight="1" x14ac:dyDescent="0.2">
      <c r="A28" s="2000"/>
      <c r="B28" s="2916"/>
      <c r="C28" s="2917"/>
      <c r="D28" s="2918" t="s">
        <v>1521</v>
      </c>
      <c r="E28" s="2919"/>
      <c r="F28" s="2919"/>
      <c r="G28" s="2919"/>
      <c r="H28" s="2919"/>
      <c r="I28" s="2920"/>
      <c r="J28" s="2921" t="s">
        <v>1720</v>
      </c>
      <c r="K28" s="2922"/>
      <c r="L28" s="2922"/>
      <c r="M28" s="2922"/>
      <c r="N28" s="2922"/>
      <c r="O28" s="2922"/>
      <c r="P28" s="2922"/>
      <c r="Q28" s="2922"/>
      <c r="R28" s="2923"/>
      <c r="S28" s="2029"/>
    </row>
    <row r="29" spans="1:19" ht="47.25" customHeight="1" x14ac:dyDescent="0.2">
      <c r="A29" s="2000"/>
      <c r="B29" s="2916"/>
      <c r="C29" s="2917"/>
      <c r="D29" s="2918" t="s">
        <v>1524</v>
      </c>
      <c r="E29" s="2919"/>
      <c r="F29" s="2919"/>
      <c r="G29" s="2919"/>
      <c r="H29" s="2919"/>
      <c r="I29" s="2920"/>
      <c r="J29" s="2921" t="s">
        <v>1720</v>
      </c>
      <c r="K29" s="2922"/>
      <c r="L29" s="2922"/>
      <c r="M29" s="2922"/>
      <c r="N29" s="2922"/>
      <c r="O29" s="2922"/>
      <c r="P29" s="2922"/>
      <c r="Q29" s="2922"/>
      <c r="R29" s="2923"/>
      <c r="S29" s="2029"/>
    </row>
    <row r="30" spans="1:19" ht="48.75" customHeight="1" x14ac:dyDescent="0.2">
      <c r="A30" s="2000"/>
      <c r="B30" s="2916"/>
      <c r="C30" s="2917"/>
      <c r="D30" s="2924" t="s">
        <v>678</v>
      </c>
      <c r="E30" s="2924"/>
      <c r="F30" s="2924"/>
      <c r="G30" s="2924"/>
      <c r="H30" s="2924"/>
      <c r="I30" s="2924"/>
      <c r="J30" s="2921" t="s">
        <v>1720</v>
      </c>
      <c r="K30" s="2922"/>
      <c r="L30" s="2922"/>
      <c r="M30" s="2922"/>
      <c r="N30" s="2922"/>
      <c r="O30" s="2922"/>
      <c r="P30" s="2922"/>
      <c r="Q30" s="2922"/>
      <c r="R30" s="2923"/>
      <c r="S30" s="2029"/>
    </row>
    <row r="31" spans="1:19" ht="47.25" customHeight="1" x14ac:dyDescent="0.2">
      <c r="A31" s="2000"/>
      <c r="B31" s="2916"/>
      <c r="C31" s="2917"/>
      <c r="D31" s="2918" t="s">
        <v>1522</v>
      </c>
      <c r="E31" s="2919"/>
      <c r="F31" s="2919"/>
      <c r="G31" s="2919"/>
      <c r="H31" s="2919"/>
      <c r="I31" s="2920"/>
      <c r="J31" s="2921" t="s">
        <v>1720</v>
      </c>
      <c r="K31" s="2922"/>
      <c r="L31" s="2922"/>
      <c r="M31" s="2922"/>
      <c r="N31" s="2922"/>
      <c r="O31" s="2922"/>
      <c r="P31" s="2922"/>
      <c r="Q31" s="2922"/>
      <c r="R31" s="2923"/>
      <c r="S31" s="2029"/>
    </row>
    <row r="32" spans="1:19" ht="47.25" customHeight="1" x14ac:dyDescent="0.2">
      <c r="A32" s="2000"/>
      <c r="B32" s="2916"/>
      <c r="C32" s="2917"/>
      <c r="D32" s="2918" t="s">
        <v>679</v>
      </c>
      <c r="E32" s="2919"/>
      <c r="F32" s="2919"/>
      <c r="G32" s="2919"/>
      <c r="H32" s="2919"/>
      <c r="I32" s="2920"/>
      <c r="J32" s="2921" t="s">
        <v>1720</v>
      </c>
      <c r="K32" s="2922"/>
      <c r="L32" s="2922"/>
      <c r="M32" s="2922"/>
      <c r="N32" s="2922"/>
      <c r="O32" s="2922"/>
      <c r="P32" s="2922"/>
      <c r="Q32" s="2922"/>
      <c r="R32" s="2923"/>
      <c r="S32" s="2029"/>
    </row>
    <row r="33" spans="1:19" ht="76.5" customHeight="1" x14ac:dyDescent="0.2">
      <c r="A33" s="2000"/>
      <c r="B33" s="2916"/>
      <c r="C33" s="2917"/>
      <c r="D33" s="2918" t="s">
        <v>680</v>
      </c>
      <c r="E33" s="2919"/>
      <c r="F33" s="2919"/>
      <c r="G33" s="2919"/>
      <c r="H33" s="2919"/>
      <c r="I33" s="2920"/>
      <c r="J33" s="2921" t="s">
        <v>1720</v>
      </c>
      <c r="K33" s="2922"/>
      <c r="L33" s="2922"/>
      <c r="M33" s="2922"/>
      <c r="N33" s="2922"/>
      <c r="O33" s="2922"/>
      <c r="P33" s="2922"/>
      <c r="Q33" s="2922"/>
      <c r="R33" s="2923"/>
      <c r="S33" s="2029"/>
    </row>
    <row r="34" spans="1:19" ht="67.5" customHeight="1" x14ac:dyDescent="0.2">
      <c r="A34" s="2000"/>
      <c r="B34" s="2916"/>
      <c r="C34" s="2917"/>
      <c r="D34" s="2918" t="s">
        <v>1523</v>
      </c>
      <c r="E34" s="2919"/>
      <c r="F34" s="2919"/>
      <c r="G34" s="2919"/>
      <c r="H34" s="2919"/>
      <c r="I34" s="2920"/>
      <c r="J34" s="2921" t="s">
        <v>1720</v>
      </c>
      <c r="K34" s="2922"/>
      <c r="L34" s="2922"/>
      <c r="M34" s="2922"/>
      <c r="N34" s="2922"/>
      <c r="O34" s="2922"/>
      <c r="P34" s="2922"/>
      <c r="Q34" s="2922"/>
      <c r="R34" s="2923"/>
      <c r="S34" s="2030"/>
    </row>
    <row r="35" spans="1:19" ht="52.5" customHeight="1" x14ac:dyDescent="0.2">
      <c r="A35" s="2000"/>
      <c r="B35" s="2916"/>
      <c r="C35" s="2917"/>
      <c r="D35" s="2918" t="s">
        <v>1525</v>
      </c>
      <c r="E35" s="2919"/>
      <c r="F35" s="2919"/>
      <c r="G35" s="2919"/>
      <c r="H35" s="2919"/>
      <c r="I35" s="2920"/>
      <c r="J35" s="2921" t="s">
        <v>1720</v>
      </c>
      <c r="K35" s="2922"/>
      <c r="L35" s="2922"/>
      <c r="M35" s="2922"/>
      <c r="N35" s="2922"/>
      <c r="O35" s="2922"/>
      <c r="P35" s="2922"/>
      <c r="Q35" s="2922"/>
      <c r="R35" s="2923"/>
      <c r="S35" s="2031"/>
    </row>
    <row r="36" spans="1:19" ht="48.75" customHeight="1" x14ac:dyDescent="0.2">
      <c r="A36" s="2000"/>
      <c r="B36" s="2916"/>
      <c r="C36" s="2917"/>
      <c r="D36" s="2918" t="s">
        <v>1526</v>
      </c>
      <c r="E36" s="2919"/>
      <c r="F36" s="2919"/>
      <c r="G36" s="2919"/>
      <c r="H36" s="2919"/>
      <c r="I36" s="2920"/>
      <c r="J36" s="2921" t="s">
        <v>1720</v>
      </c>
      <c r="K36" s="2922"/>
      <c r="L36" s="2922"/>
      <c r="M36" s="2922"/>
      <c r="N36" s="2922"/>
      <c r="O36" s="2922"/>
      <c r="P36" s="2922"/>
      <c r="Q36" s="2922"/>
      <c r="R36" s="2923"/>
      <c r="S36" s="2029"/>
    </row>
    <row r="37" spans="1:19" x14ac:dyDescent="0.2">
      <c r="A37" s="2000"/>
      <c r="B37" s="2002"/>
      <c r="C37" s="2032"/>
      <c r="D37" s="2033"/>
      <c r="E37" s="2033"/>
      <c r="F37" s="2033"/>
      <c r="G37" s="2033"/>
      <c r="H37" s="2033"/>
      <c r="I37" s="2033"/>
      <c r="J37" s="2003"/>
      <c r="K37" s="2003"/>
      <c r="L37" s="2003"/>
      <c r="M37" s="2003"/>
      <c r="N37" s="2034"/>
      <c r="O37" s="2034"/>
      <c r="P37" s="2034"/>
      <c r="Q37" s="2034"/>
      <c r="R37" s="2034"/>
      <c r="S37" s="2035"/>
    </row>
    <row r="38" spans="1:19" x14ac:dyDescent="0.2">
      <c r="A38" s="2000"/>
      <c r="B38" s="2002"/>
      <c r="C38" s="2032"/>
      <c r="D38" s="2033"/>
      <c r="E38" s="2033"/>
      <c r="F38" s="2033"/>
      <c r="G38" s="2033"/>
      <c r="H38" s="2033"/>
      <c r="I38" s="2033"/>
      <c r="J38" s="2003"/>
      <c r="K38" s="2003"/>
      <c r="L38" s="2003"/>
      <c r="M38" s="2003"/>
      <c r="N38" s="2034"/>
      <c r="O38" s="2034"/>
      <c r="P38" s="2034"/>
      <c r="Q38" s="2034"/>
      <c r="R38" s="2034"/>
      <c r="S38" s="2035"/>
    </row>
    <row r="39" spans="1:19" x14ac:dyDescent="0.2">
      <c r="A39" s="2000"/>
      <c r="B39" s="2002"/>
      <c r="C39" s="2032"/>
      <c r="D39" s="2033"/>
      <c r="E39" s="2033"/>
      <c r="F39" s="2033"/>
      <c r="G39" s="2033"/>
      <c r="H39" s="2033"/>
      <c r="I39" s="2033"/>
      <c r="J39" s="2003"/>
      <c r="K39" s="2003"/>
      <c r="L39" s="2003"/>
      <c r="M39" s="2003"/>
      <c r="N39" s="2034"/>
      <c r="O39" s="2034"/>
      <c r="P39" s="2034"/>
      <c r="Q39" s="2034"/>
      <c r="R39" s="2034"/>
      <c r="S39" s="2035"/>
    </row>
    <row r="40" spans="1:19" x14ac:dyDescent="0.2">
      <c r="A40" s="2036"/>
      <c r="B40" s="2013"/>
      <c r="C40" s="2037"/>
      <c r="D40" s="2038"/>
      <c r="E40" s="2038"/>
      <c r="F40" s="2038"/>
      <c r="G40" s="2038"/>
      <c r="H40" s="2038"/>
      <c r="I40" s="2038"/>
      <c r="J40" s="2014"/>
      <c r="K40" s="2014"/>
      <c r="L40" s="2014"/>
      <c r="M40" s="2014"/>
      <c r="N40" s="2039"/>
      <c r="O40" s="2039"/>
      <c r="P40" s="2039"/>
      <c r="Q40" s="2039"/>
      <c r="R40" s="2039"/>
      <c r="S40" s="2040"/>
    </row>
    <row r="41" spans="1:19" ht="15.75" x14ac:dyDescent="0.25">
      <c r="A41" s="2041" t="s">
        <v>681</v>
      </c>
      <c r="B41" s="2042" t="s">
        <v>1514</v>
      </c>
      <c r="C41" s="2043"/>
      <c r="D41" s="2044"/>
      <c r="E41" s="2044"/>
      <c r="F41" s="2044"/>
      <c r="G41" s="2044"/>
      <c r="H41" s="2044"/>
      <c r="I41" s="2044"/>
      <c r="J41" s="2045"/>
      <c r="K41" s="2045"/>
      <c r="L41" s="2045"/>
      <c r="M41" s="2045"/>
      <c r="N41" s="2046"/>
      <c r="O41" s="2046"/>
      <c r="P41" s="2046"/>
      <c r="Q41" s="2046"/>
      <c r="R41" s="2046"/>
      <c r="S41" s="2047"/>
    </row>
    <row r="42" spans="1:19" x14ac:dyDescent="0.2">
      <c r="A42" s="2000"/>
      <c r="B42" s="2048"/>
      <c r="C42" s="2048"/>
      <c r="D42" s="2048"/>
      <c r="E42" s="2048"/>
      <c r="F42" s="2048"/>
      <c r="G42" s="2048"/>
      <c r="H42" s="2048"/>
      <c r="I42" s="2048"/>
      <c r="J42" s="2048"/>
      <c r="K42" s="2048"/>
      <c r="L42" s="2048"/>
      <c r="M42" s="2048"/>
      <c r="N42" s="2048"/>
      <c r="O42" s="2048"/>
      <c r="P42" s="2048"/>
      <c r="Q42" s="2048"/>
      <c r="R42" s="2048"/>
      <c r="S42" s="2049"/>
    </row>
    <row r="43" spans="1:19" x14ac:dyDescent="0.2">
      <c r="A43" s="2000"/>
      <c r="B43" s="2001"/>
      <c r="C43" s="2001"/>
      <c r="D43" s="2001"/>
      <c r="E43" s="2001"/>
      <c r="F43" s="2001"/>
      <c r="G43" s="2001"/>
      <c r="H43" s="2001"/>
      <c r="I43" s="2001"/>
      <c r="J43" s="2001"/>
      <c r="K43" s="2001"/>
      <c r="L43" s="2001"/>
      <c r="M43" s="2001"/>
      <c r="N43" s="2001"/>
      <c r="O43" s="2001"/>
      <c r="P43" s="2001"/>
      <c r="Q43" s="2001"/>
      <c r="R43" s="2001"/>
      <c r="S43" s="2049"/>
    </row>
    <row r="44" spans="1:19" ht="48" customHeight="1" x14ac:dyDescent="0.2">
      <c r="A44" s="2000"/>
      <c r="B44" s="2928" t="s">
        <v>1787</v>
      </c>
      <c r="C44" s="2929"/>
      <c r="D44" s="2929"/>
      <c r="E44" s="2929"/>
      <c r="F44" s="2929"/>
      <c r="G44" s="2929"/>
      <c r="H44" s="2929"/>
      <c r="I44" s="2929"/>
      <c r="J44" s="2929"/>
      <c r="K44" s="2929"/>
      <c r="L44" s="2929"/>
      <c r="M44" s="2929"/>
      <c r="N44" s="2929"/>
      <c r="O44" s="2929"/>
      <c r="P44" s="2929"/>
      <c r="Q44" s="2929"/>
      <c r="R44" s="2930"/>
      <c r="S44" s="2049"/>
    </row>
    <row r="45" spans="1:19" ht="48" customHeight="1" x14ac:dyDescent="0.2">
      <c r="A45" s="2000"/>
      <c r="B45" s="2931"/>
      <c r="C45" s="2932"/>
      <c r="D45" s="2932"/>
      <c r="E45" s="2932"/>
      <c r="F45" s="2932"/>
      <c r="G45" s="2932"/>
      <c r="H45" s="2932"/>
      <c r="I45" s="2932"/>
      <c r="J45" s="2932"/>
      <c r="K45" s="2932"/>
      <c r="L45" s="2932"/>
      <c r="M45" s="2932"/>
      <c r="N45" s="2932"/>
      <c r="O45" s="2932"/>
      <c r="P45" s="2932"/>
      <c r="Q45" s="2932"/>
      <c r="R45" s="2933"/>
      <c r="S45" s="2049"/>
    </row>
    <row r="46" spans="1:19" ht="48" customHeight="1" x14ac:dyDescent="0.2">
      <c r="A46" s="2000"/>
      <c r="B46" s="2934"/>
      <c r="C46" s="2935"/>
      <c r="D46" s="2935"/>
      <c r="E46" s="2935"/>
      <c r="F46" s="2935"/>
      <c r="G46" s="2935"/>
      <c r="H46" s="2935"/>
      <c r="I46" s="2935"/>
      <c r="J46" s="2935"/>
      <c r="K46" s="2935"/>
      <c r="L46" s="2935"/>
      <c r="M46" s="2935"/>
      <c r="N46" s="2935"/>
      <c r="O46" s="2935"/>
      <c r="P46" s="2935"/>
      <c r="Q46" s="2935"/>
      <c r="R46" s="2936"/>
      <c r="S46" s="2049"/>
    </row>
    <row r="47" spans="1:19" x14ac:dyDescent="0.2">
      <c r="A47" s="2067"/>
      <c r="B47" s="2062"/>
      <c r="C47" s="2062"/>
      <c r="D47" s="2062"/>
      <c r="E47" s="2062"/>
      <c r="F47" s="2062"/>
      <c r="G47" s="2062"/>
      <c r="H47" s="2062"/>
      <c r="I47" s="2062"/>
      <c r="J47" s="2062"/>
      <c r="K47" s="2062"/>
      <c r="L47" s="2062"/>
      <c r="M47" s="2062"/>
      <c r="N47" s="2062"/>
      <c r="O47" s="2062"/>
      <c r="P47" s="2062"/>
      <c r="Q47" s="2062"/>
      <c r="R47" s="2062"/>
      <c r="S47" s="2068"/>
    </row>
    <row r="48" spans="1:19" x14ac:dyDescent="0.2">
      <c r="A48" s="2937"/>
      <c r="B48" s="2938"/>
      <c r="C48" s="2938"/>
      <c r="D48" s="2938"/>
      <c r="E48" s="2938"/>
      <c r="F48" s="2938"/>
      <c r="G48" s="2938"/>
      <c r="H48" s="2062"/>
      <c r="I48" s="2062"/>
      <c r="J48" s="2062"/>
      <c r="K48" s="2062"/>
      <c r="L48" s="2062"/>
      <c r="M48" s="2062"/>
      <c r="N48" s="2939"/>
      <c r="O48" s="2939"/>
      <c r="P48" s="2939"/>
      <c r="Q48" s="2939"/>
      <c r="R48" s="2939"/>
      <c r="S48" s="2940"/>
    </row>
    <row r="49" spans="1:19" ht="15" customHeight="1" x14ac:dyDescent="0.25">
      <c r="A49" s="2937"/>
      <c r="B49" s="2938"/>
      <c r="C49" s="2938"/>
      <c r="D49" s="2938"/>
      <c r="E49" s="2938"/>
      <c r="F49" s="2938"/>
      <c r="G49" s="2938"/>
      <c r="H49" s="2941" t="str">
        <f>'CEKLIST 002 (BIO DATA)'!A6</f>
        <v>Supervisor Analis Penjaminan</v>
      </c>
      <c r="I49" s="2941"/>
      <c r="J49" s="2941"/>
      <c r="K49" s="2941"/>
      <c r="L49" s="2941"/>
      <c r="M49" s="2941"/>
      <c r="N49" s="2941" t="s">
        <v>682</v>
      </c>
      <c r="O49" s="2941"/>
      <c r="P49" s="2941"/>
      <c r="Q49" s="2941"/>
      <c r="R49" s="2941"/>
      <c r="S49" s="2942"/>
    </row>
    <row r="50" spans="1:19" ht="15" customHeight="1" x14ac:dyDescent="0.25">
      <c r="A50" s="2051"/>
      <c r="B50" s="2052"/>
      <c r="C50" s="2052"/>
      <c r="D50" s="2052"/>
      <c r="E50" s="2052"/>
      <c r="F50" s="2052"/>
      <c r="G50" s="2002"/>
      <c r="H50" s="2053"/>
      <c r="I50" s="2053"/>
      <c r="J50" s="2053"/>
      <c r="K50" s="2053"/>
      <c r="L50" s="2053"/>
      <c r="M50" s="2053"/>
      <c r="N50" s="1478"/>
      <c r="O50" s="1478"/>
      <c r="P50" s="1478"/>
      <c r="Q50" s="1478"/>
      <c r="R50" s="1478"/>
      <c r="S50" s="1478"/>
    </row>
    <row r="51" spans="1:19" ht="15" customHeight="1" x14ac:dyDescent="0.25">
      <c r="A51" s="2051"/>
      <c r="B51" s="2052"/>
      <c r="C51" s="2052"/>
      <c r="D51" s="2052"/>
      <c r="E51" s="2052"/>
      <c r="F51" s="2052"/>
      <c r="G51" s="2002"/>
      <c r="H51" s="2053"/>
      <c r="I51" s="2053"/>
      <c r="J51" s="2053"/>
      <c r="K51" s="2053"/>
      <c r="L51" s="2053"/>
      <c r="M51" s="2053"/>
      <c r="N51" s="1478"/>
      <c r="O51" s="1478"/>
      <c r="P51" s="1478"/>
      <c r="Q51" s="1478"/>
      <c r="R51" s="1478"/>
      <c r="S51" s="1478"/>
    </row>
    <row r="52" spans="1:19" ht="15" customHeight="1" x14ac:dyDescent="0.25">
      <c r="A52" s="2051"/>
      <c r="B52" s="2052"/>
      <c r="C52" s="2052"/>
      <c r="D52" s="2052"/>
      <c r="E52" s="2052"/>
      <c r="F52" s="2052"/>
      <c r="G52" s="2002"/>
      <c r="H52" s="2053"/>
      <c r="I52" s="2053"/>
      <c r="J52" s="2053"/>
      <c r="K52" s="2053"/>
      <c r="L52" s="2053"/>
      <c r="M52" s="2053"/>
      <c r="N52" s="1478"/>
      <c r="O52" s="1478"/>
      <c r="P52" s="1478"/>
      <c r="Q52" s="1478"/>
      <c r="R52" s="1478"/>
      <c r="S52" s="1478"/>
    </row>
    <row r="53" spans="1:19" ht="15" customHeight="1" x14ac:dyDescent="0.25">
      <c r="A53" s="2051"/>
      <c r="B53" s="2052"/>
      <c r="C53" s="2052"/>
      <c r="D53" s="2052"/>
      <c r="E53" s="2052"/>
      <c r="F53" s="2052"/>
      <c r="G53" s="2002"/>
      <c r="H53" s="2053"/>
      <c r="I53" s="2053"/>
      <c r="J53" s="2053"/>
      <c r="K53" s="2053"/>
      <c r="L53" s="2053"/>
      <c r="M53" s="2053"/>
      <c r="N53" s="1478"/>
      <c r="O53" s="1478"/>
      <c r="P53" s="1478"/>
      <c r="Q53" s="1478"/>
      <c r="R53" s="1478"/>
      <c r="S53" s="1478"/>
    </row>
    <row r="54" spans="1:19" ht="15" customHeight="1" x14ac:dyDescent="0.25">
      <c r="A54" s="2051"/>
      <c r="B54" s="2052"/>
      <c r="C54" s="2052"/>
      <c r="D54" s="2052"/>
      <c r="E54" s="2052"/>
      <c r="F54" s="2052"/>
      <c r="G54" s="2002"/>
      <c r="H54" s="2053"/>
      <c r="I54" s="2053"/>
      <c r="J54" s="2053"/>
      <c r="K54" s="2053"/>
      <c r="L54" s="2053"/>
      <c r="M54" s="2053"/>
      <c r="N54" s="1478"/>
      <c r="O54" s="1478"/>
      <c r="P54" s="1478"/>
      <c r="Q54" s="1478"/>
      <c r="R54" s="1478"/>
      <c r="S54" s="1478"/>
    </row>
    <row r="55" spans="1:19" ht="15.75" x14ac:dyDescent="0.25">
      <c r="A55" s="2925"/>
      <c r="B55" s="2926"/>
      <c r="C55" s="2926"/>
      <c r="D55" s="2926"/>
      <c r="E55" s="2926"/>
      <c r="F55" s="2926"/>
      <c r="G55" s="2926"/>
      <c r="H55" s="2927" t="str">
        <f>'CEKLIST 002 (BIO DATA)'!D6</f>
        <v>I Wayan Ruspa</v>
      </c>
      <c r="I55" s="2927"/>
      <c r="J55" s="2927"/>
      <c r="K55" s="2927"/>
      <c r="L55" s="2927"/>
      <c r="M55" s="2927"/>
      <c r="N55" s="2927" t="str">
        <f>'CEKLIST 002 (BIO DATA)'!D3</f>
        <v>Adi irawan saputra</v>
      </c>
      <c r="O55" s="2927"/>
      <c r="P55" s="2927" t="str">
        <f>'CEKLIST 002 (BIO DATA)'!D4</f>
        <v>Deni Ardian</v>
      </c>
      <c r="Q55" s="2927"/>
      <c r="R55" s="2927"/>
      <c r="S55" s="1478"/>
    </row>
    <row r="56" spans="1:19" x14ac:dyDescent="0.2">
      <c r="A56" s="2050"/>
      <c r="B56" s="2002"/>
      <c r="C56" s="2002"/>
      <c r="D56" s="2002"/>
      <c r="E56" s="2002"/>
      <c r="F56" s="2002"/>
      <c r="G56" s="2002"/>
      <c r="H56" s="2002"/>
      <c r="I56" s="2002"/>
      <c r="J56" s="2002"/>
      <c r="K56" s="2002"/>
      <c r="L56" s="2002"/>
      <c r="M56" s="2002"/>
      <c r="N56" s="2002"/>
      <c r="O56" s="2002"/>
      <c r="P56" s="2002"/>
      <c r="Q56" s="2002"/>
      <c r="R56" s="2002"/>
      <c r="S56" s="2016"/>
    </row>
    <row r="57" spans="1:19" x14ac:dyDescent="0.2">
      <c r="A57" s="2054"/>
      <c r="B57" s="2002"/>
      <c r="C57" s="2002"/>
      <c r="D57" s="2002"/>
      <c r="E57" s="2002"/>
      <c r="F57" s="2002"/>
      <c r="G57" s="2002"/>
      <c r="H57" s="2002"/>
      <c r="I57" s="2002"/>
      <c r="J57" s="2002"/>
      <c r="K57" s="2002"/>
      <c r="L57" s="2002"/>
      <c r="M57" s="2002"/>
      <c r="N57" s="2002"/>
      <c r="O57" s="2002"/>
      <c r="P57" s="2002"/>
      <c r="Q57" s="2002"/>
      <c r="R57" s="2002"/>
      <c r="S57" s="2016"/>
    </row>
    <row r="58" spans="1:19" x14ac:dyDescent="0.2">
      <c r="A58" s="2055"/>
      <c r="B58" s="2013"/>
      <c r="C58" s="2013"/>
      <c r="D58" s="2013"/>
      <c r="E58" s="2013"/>
      <c r="F58" s="2013"/>
      <c r="G58" s="2013"/>
      <c r="H58" s="2013"/>
      <c r="I58" s="2013"/>
      <c r="J58" s="2013"/>
      <c r="K58" s="2013"/>
      <c r="L58" s="2013"/>
      <c r="M58" s="2013"/>
      <c r="N58" s="2013"/>
      <c r="O58" s="2013"/>
      <c r="P58" s="2013"/>
      <c r="Q58" s="2013"/>
      <c r="R58" s="2013"/>
      <c r="S58" s="2056"/>
    </row>
    <row r="59" spans="1:19" x14ac:dyDescent="0.2">
      <c r="A59" s="70"/>
      <c r="B59" s="70"/>
      <c r="C59" s="70"/>
      <c r="D59" s="70"/>
      <c r="E59" s="70"/>
      <c r="F59" s="70"/>
      <c r="G59" s="70"/>
      <c r="H59" s="70"/>
      <c r="I59" s="70"/>
      <c r="J59" s="70"/>
      <c r="K59" s="70"/>
      <c r="L59" s="70"/>
      <c r="M59" s="70"/>
      <c r="N59" s="70"/>
      <c r="O59" s="70"/>
      <c r="P59" s="70"/>
      <c r="Q59" s="70"/>
      <c r="R59" s="70"/>
      <c r="S59" s="70"/>
    </row>
    <row r="60" spans="1:19" x14ac:dyDescent="0.2">
      <c r="A60" s="70"/>
      <c r="B60" s="70"/>
      <c r="C60" s="70"/>
      <c r="D60" s="70"/>
      <c r="E60" s="70"/>
      <c r="F60" s="70"/>
      <c r="G60" s="70"/>
      <c r="H60" s="70"/>
      <c r="I60" s="70"/>
      <c r="J60" s="70"/>
      <c r="K60" s="70"/>
      <c r="L60" s="70"/>
      <c r="M60" s="70"/>
      <c r="N60" s="70"/>
      <c r="O60" s="70"/>
      <c r="P60" s="70"/>
      <c r="Q60" s="70"/>
      <c r="R60" s="70"/>
      <c r="S60" s="70"/>
    </row>
    <row r="61" spans="1:19" x14ac:dyDescent="0.2">
      <c r="A61" s="70"/>
      <c r="B61" s="70"/>
      <c r="C61" s="70"/>
      <c r="D61" s="70"/>
      <c r="E61" s="70"/>
      <c r="F61" s="70"/>
      <c r="G61" s="70"/>
      <c r="H61" s="70"/>
      <c r="I61" s="70"/>
      <c r="J61" s="70"/>
      <c r="K61" s="70"/>
      <c r="L61" s="70"/>
      <c r="M61" s="70"/>
      <c r="N61" s="70"/>
      <c r="O61" s="70"/>
      <c r="P61" s="70"/>
      <c r="Q61" s="70"/>
      <c r="R61" s="70"/>
      <c r="S61" s="70"/>
    </row>
    <row r="62" spans="1:19" x14ac:dyDescent="0.2">
      <c r="A62" s="70"/>
      <c r="B62" s="70"/>
      <c r="C62" s="70"/>
      <c r="D62" s="70"/>
      <c r="E62" s="70"/>
      <c r="F62" s="70"/>
      <c r="G62" s="70"/>
      <c r="H62" s="70"/>
      <c r="I62" s="70"/>
      <c r="J62" s="70"/>
      <c r="K62" s="70"/>
      <c r="L62" s="70"/>
      <c r="M62" s="70"/>
      <c r="N62" s="70"/>
      <c r="O62" s="70"/>
      <c r="P62" s="70"/>
      <c r="Q62" s="70"/>
      <c r="R62" s="70"/>
      <c r="S62" s="70"/>
    </row>
    <row r="63" spans="1:19" x14ac:dyDescent="0.2">
      <c r="A63" s="70"/>
      <c r="B63" s="70"/>
      <c r="C63" s="70"/>
      <c r="D63" s="70"/>
      <c r="E63" s="70"/>
      <c r="F63" s="70"/>
      <c r="G63" s="70"/>
      <c r="H63" s="70"/>
      <c r="I63" s="70"/>
      <c r="J63" s="70"/>
      <c r="K63" s="70"/>
      <c r="L63" s="70"/>
      <c r="M63" s="70"/>
      <c r="N63" s="70"/>
      <c r="O63" s="70"/>
      <c r="P63" s="70"/>
      <c r="Q63" s="70"/>
      <c r="R63" s="70"/>
      <c r="S63" s="70"/>
    </row>
  </sheetData>
  <mergeCells count="82">
    <mergeCell ref="A55:G55"/>
    <mergeCell ref="H55:M55"/>
    <mergeCell ref="N55:O55"/>
    <mergeCell ref="P55:R55"/>
    <mergeCell ref="B44:R46"/>
    <mergeCell ref="A48:G48"/>
    <mergeCell ref="N48:S48"/>
    <mergeCell ref="A49:G49"/>
    <mergeCell ref="H49:M49"/>
    <mergeCell ref="N49:S49"/>
    <mergeCell ref="B36:C36"/>
    <mergeCell ref="D36:I36"/>
    <mergeCell ref="J36:R36"/>
    <mergeCell ref="B35:C35"/>
    <mergeCell ref="D35:I35"/>
    <mergeCell ref="J35:R35"/>
    <mergeCell ref="B33:C33"/>
    <mergeCell ref="D33:I33"/>
    <mergeCell ref="J33:R33"/>
    <mergeCell ref="B34:C34"/>
    <mergeCell ref="D34:I34"/>
    <mergeCell ref="J34:R34"/>
    <mergeCell ref="B32:C32"/>
    <mergeCell ref="D32:I32"/>
    <mergeCell ref="J32:R32"/>
    <mergeCell ref="B30:C30"/>
    <mergeCell ref="D30:I30"/>
    <mergeCell ref="J30:R30"/>
    <mergeCell ref="B31:C31"/>
    <mergeCell ref="D31:I31"/>
    <mergeCell ref="J31:R31"/>
    <mergeCell ref="B28:C28"/>
    <mergeCell ref="D28:I28"/>
    <mergeCell ref="J28:R28"/>
    <mergeCell ref="B29:C29"/>
    <mergeCell ref="D29:I29"/>
    <mergeCell ref="J29:R29"/>
    <mergeCell ref="B25:S25"/>
    <mergeCell ref="B26:C26"/>
    <mergeCell ref="D26:I26"/>
    <mergeCell ref="J26:R26"/>
    <mergeCell ref="B27:C27"/>
    <mergeCell ref="D27:I27"/>
    <mergeCell ref="J27:R27"/>
    <mergeCell ref="B20:S20"/>
    <mergeCell ref="L21:R21"/>
    <mergeCell ref="B22:I22"/>
    <mergeCell ref="L22:R22"/>
    <mergeCell ref="B23:I23"/>
    <mergeCell ref="L23:R23"/>
    <mergeCell ref="C16:I16"/>
    <mergeCell ref="M16:R16"/>
    <mergeCell ref="C17:I17"/>
    <mergeCell ref="M17:R17"/>
    <mergeCell ref="C18:I18"/>
    <mergeCell ref="M18:R18"/>
    <mergeCell ref="C15:I15"/>
    <mergeCell ref="M15:R15"/>
    <mergeCell ref="C8:D8"/>
    <mergeCell ref="F8:S8"/>
    <mergeCell ref="C9:D9"/>
    <mergeCell ref="F9:S9"/>
    <mergeCell ref="C10:D10"/>
    <mergeCell ref="F10:S10"/>
    <mergeCell ref="C11:D11"/>
    <mergeCell ref="F11:S11"/>
    <mergeCell ref="B13:S13"/>
    <mergeCell ref="C14:I14"/>
    <mergeCell ref="M14:R14"/>
    <mergeCell ref="P7:S7"/>
    <mergeCell ref="Q1:S1"/>
    <mergeCell ref="A2:S2"/>
    <mergeCell ref="A3:S3"/>
    <mergeCell ref="B5:D5"/>
    <mergeCell ref="F5:S5"/>
    <mergeCell ref="C6:D6"/>
    <mergeCell ref="F6:S6"/>
    <mergeCell ref="C7:D7"/>
    <mergeCell ref="F7:I7"/>
    <mergeCell ref="J7:K7"/>
    <mergeCell ref="L7:M7"/>
    <mergeCell ref="N7:O7"/>
  </mergeCells>
  <pageMargins left="0.45" right="0.23" top="0.61" bottom="0.47" header="0.35" footer="0.4"/>
  <pageSetup paperSize="9"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7953" r:id="rId4" name="Check Box 1">
              <controlPr locked="0" defaultSize="0" autoFill="0" autoLine="0" autoPict="0">
                <anchor moveWithCells="1">
                  <from>
                    <xdr:col>9</xdr:col>
                    <xdr:colOff>9525</xdr:colOff>
                    <xdr:row>13</xdr:row>
                    <xdr:rowOff>0</xdr:rowOff>
                  </from>
                  <to>
                    <xdr:col>9</xdr:col>
                    <xdr:colOff>333375</xdr:colOff>
                    <xdr:row>14</xdr:row>
                    <xdr:rowOff>28575</xdr:rowOff>
                  </to>
                </anchor>
              </controlPr>
            </control>
          </mc:Choice>
        </mc:AlternateContent>
        <mc:AlternateContent xmlns:mc="http://schemas.openxmlformats.org/markup-compatibility/2006">
          <mc:Choice Requires="x14">
            <control shapeId="637954" r:id="rId5" name="Check Box 2">
              <controlPr locked="0" defaultSize="0" autoFill="0" autoLine="0" autoPict="0">
                <anchor moveWithCells="1">
                  <from>
                    <xdr:col>9</xdr:col>
                    <xdr:colOff>9525</xdr:colOff>
                    <xdr:row>14</xdr:row>
                    <xdr:rowOff>0</xdr:rowOff>
                  </from>
                  <to>
                    <xdr:col>9</xdr:col>
                    <xdr:colOff>333375</xdr:colOff>
                    <xdr:row>15</xdr:row>
                    <xdr:rowOff>28575</xdr:rowOff>
                  </to>
                </anchor>
              </controlPr>
            </control>
          </mc:Choice>
        </mc:AlternateContent>
        <mc:AlternateContent xmlns:mc="http://schemas.openxmlformats.org/markup-compatibility/2006">
          <mc:Choice Requires="x14">
            <control shapeId="637955" r:id="rId6" name="Check Box 3">
              <controlPr locked="0" defaultSize="0" autoFill="0" autoLine="0" autoPict="0">
                <anchor moveWithCells="1">
                  <from>
                    <xdr:col>9</xdr:col>
                    <xdr:colOff>9525</xdr:colOff>
                    <xdr:row>15</xdr:row>
                    <xdr:rowOff>0</xdr:rowOff>
                  </from>
                  <to>
                    <xdr:col>9</xdr:col>
                    <xdr:colOff>333375</xdr:colOff>
                    <xdr:row>16</xdr:row>
                    <xdr:rowOff>28575</xdr:rowOff>
                  </to>
                </anchor>
              </controlPr>
            </control>
          </mc:Choice>
        </mc:AlternateContent>
        <mc:AlternateContent xmlns:mc="http://schemas.openxmlformats.org/markup-compatibility/2006">
          <mc:Choice Requires="x14">
            <control shapeId="637956" r:id="rId7" name="Check Box 4">
              <controlPr locked="0" defaultSize="0" autoFill="0" autoLine="0" autoPict="0">
                <anchor moveWithCells="1">
                  <from>
                    <xdr:col>9</xdr:col>
                    <xdr:colOff>9525</xdr:colOff>
                    <xdr:row>16</xdr:row>
                    <xdr:rowOff>0</xdr:rowOff>
                  </from>
                  <to>
                    <xdr:col>9</xdr:col>
                    <xdr:colOff>333375</xdr:colOff>
                    <xdr:row>17</xdr:row>
                    <xdr:rowOff>28575</xdr:rowOff>
                  </to>
                </anchor>
              </controlPr>
            </control>
          </mc:Choice>
        </mc:AlternateContent>
        <mc:AlternateContent xmlns:mc="http://schemas.openxmlformats.org/markup-compatibility/2006">
          <mc:Choice Requires="x14">
            <control shapeId="637957" r:id="rId8" name="Check Box 5">
              <controlPr locked="0" defaultSize="0" autoFill="0" autoLine="0" autoPict="0">
                <anchor moveWithCells="1">
                  <from>
                    <xdr:col>9</xdr:col>
                    <xdr:colOff>9525</xdr:colOff>
                    <xdr:row>17</xdr:row>
                    <xdr:rowOff>0</xdr:rowOff>
                  </from>
                  <to>
                    <xdr:col>9</xdr:col>
                    <xdr:colOff>333375</xdr:colOff>
                    <xdr:row>18</xdr:row>
                    <xdr:rowOff>28575</xdr:rowOff>
                  </to>
                </anchor>
              </controlPr>
            </control>
          </mc:Choice>
        </mc:AlternateContent>
        <mc:AlternateContent xmlns:mc="http://schemas.openxmlformats.org/markup-compatibility/2006">
          <mc:Choice Requires="x14">
            <control shapeId="637958" r:id="rId9" name="Check Box 6">
              <controlPr locked="0" defaultSize="0" autoFill="0" autoLine="0" autoPict="0">
                <anchor moveWithCells="1">
                  <from>
                    <xdr:col>18</xdr:col>
                    <xdr:colOff>9525</xdr:colOff>
                    <xdr:row>14</xdr:row>
                    <xdr:rowOff>180975</xdr:rowOff>
                  </from>
                  <to>
                    <xdr:col>18</xdr:col>
                    <xdr:colOff>333375</xdr:colOff>
                    <xdr:row>16</xdr:row>
                    <xdr:rowOff>0</xdr:rowOff>
                  </to>
                </anchor>
              </controlPr>
            </control>
          </mc:Choice>
        </mc:AlternateContent>
        <mc:AlternateContent xmlns:mc="http://schemas.openxmlformats.org/markup-compatibility/2006">
          <mc:Choice Requires="x14">
            <control shapeId="637959" r:id="rId10" name="Check Box 7">
              <controlPr locked="0" defaultSize="0" autoFill="0" autoLine="0" autoPict="0">
                <anchor moveWithCells="1">
                  <from>
                    <xdr:col>18</xdr:col>
                    <xdr:colOff>9525</xdr:colOff>
                    <xdr:row>17</xdr:row>
                    <xdr:rowOff>0</xdr:rowOff>
                  </from>
                  <to>
                    <xdr:col>18</xdr:col>
                    <xdr:colOff>333375</xdr:colOff>
                    <xdr:row>18</xdr:row>
                    <xdr:rowOff>28575</xdr:rowOff>
                  </to>
                </anchor>
              </controlPr>
            </control>
          </mc:Choice>
        </mc:AlternateContent>
        <mc:AlternateContent xmlns:mc="http://schemas.openxmlformats.org/markup-compatibility/2006">
          <mc:Choice Requires="x14">
            <control shapeId="637960" r:id="rId11" name="Check Box 8">
              <controlPr locked="0" defaultSize="0" autoFill="0" autoLine="0" autoPict="0">
                <anchor moveWithCells="1">
                  <from>
                    <xdr:col>18</xdr:col>
                    <xdr:colOff>9525</xdr:colOff>
                    <xdr:row>13</xdr:row>
                    <xdr:rowOff>180975</xdr:rowOff>
                  </from>
                  <to>
                    <xdr:col>18</xdr:col>
                    <xdr:colOff>333375</xdr:colOff>
                    <xdr:row>15</xdr:row>
                    <xdr:rowOff>0</xdr:rowOff>
                  </to>
                </anchor>
              </controlPr>
            </control>
          </mc:Choice>
        </mc:AlternateContent>
        <mc:AlternateContent xmlns:mc="http://schemas.openxmlformats.org/markup-compatibility/2006">
          <mc:Choice Requires="x14">
            <control shapeId="637961" r:id="rId12" name="Check Box 9">
              <controlPr locked="0" defaultSize="0" autoFill="0" autoLine="0" autoPict="0">
                <anchor moveWithCells="1">
                  <from>
                    <xdr:col>18</xdr:col>
                    <xdr:colOff>9525</xdr:colOff>
                    <xdr:row>15</xdr:row>
                    <xdr:rowOff>180975</xdr:rowOff>
                  </from>
                  <to>
                    <xdr:col>18</xdr:col>
                    <xdr:colOff>333375</xdr:colOff>
                    <xdr:row>17</xdr:row>
                    <xdr:rowOff>0</xdr:rowOff>
                  </to>
                </anchor>
              </controlPr>
            </control>
          </mc:Choice>
        </mc:AlternateContent>
        <mc:AlternateContent xmlns:mc="http://schemas.openxmlformats.org/markup-compatibility/2006">
          <mc:Choice Requires="x14">
            <control shapeId="637962" r:id="rId13" name="Check Box 10">
              <controlPr locked="0" defaultSize="0" autoFill="0" autoLine="0" autoPict="0">
                <anchor moveWithCells="1">
                  <from>
                    <xdr:col>9</xdr:col>
                    <xdr:colOff>9525</xdr:colOff>
                    <xdr:row>19</xdr:row>
                    <xdr:rowOff>180975</xdr:rowOff>
                  </from>
                  <to>
                    <xdr:col>9</xdr:col>
                    <xdr:colOff>333375</xdr:colOff>
                    <xdr:row>21</xdr:row>
                    <xdr:rowOff>0</xdr:rowOff>
                  </to>
                </anchor>
              </controlPr>
            </control>
          </mc:Choice>
        </mc:AlternateContent>
        <mc:AlternateContent xmlns:mc="http://schemas.openxmlformats.org/markup-compatibility/2006">
          <mc:Choice Requires="x14">
            <control shapeId="637963" r:id="rId14" name="Check Box 11">
              <controlPr locked="0" defaultSize="0" autoFill="0" autoLine="0" autoPict="0">
                <anchor moveWithCells="1">
                  <from>
                    <xdr:col>9</xdr:col>
                    <xdr:colOff>9525</xdr:colOff>
                    <xdr:row>20</xdr:row>
                    <xdr:rowOff>180975</xdr:rowOff>
                  </from>
                  <to>
                    <xdr:col>9</xdr:col>
                    <xdr:colOff>333375</xdr:colOff>
                    <xdr:row>22</xdr:row>
                    <xdr:rowOff>0</xdr:rowOff>
                  </to>
                </anchor>
              </controlPr>
            </control>
          </mc:Choice>
        </mc:AlternateContent>
        <mc:AlternateContent xmlns:mc="http://schemas.openxmlformats.org/markup-compatibility/2006">
          <mc:Choice Requires="x14">
            <control shapeId="637964" r:id="rId15" name="Check Box 12">
              <controlPr locked="0" defaultSize="0" autoFill="0" autoLine="0" autoPict="0">
                <anchor moveWithCells="1">
                  <from>
                    <xdr:col>9</xdr:col>
                    <xdr:colOff>9525</xdr:colOff>
                    <xdr:row>21</xdr:row>
                    <xdr:rowOff>171450</xdr:rowOff>
                  </from>
                  <to>
                    <xdr:col>9</xdr:col>
                    <xdr:colOff>333375</xdr:colOff>
                    <xdr:row>23</xdr:row>
                    <xdr:rowOff>0</xdr:rowOff>
                  </to>
                </anchor>
              </controlPr>
            </control>
          </mc:Choice>
        </mc:AlternateContent>
        <mc:AlternateContent xmlns:mc="http://schemas.openxmlformats.org/markup-compatibility/2006">
          <mc:Choice Requires="x14">
            <control shapeId="637965" r:id="rId16" name="Check Box 13">
              <controlPr locked="0" defaultSize="0" autoFill="0" autoLine="0" autoPict="0">
                <anchor moveWithCells="1">
                  <from>
                    <xdr:col>18</xdr:col>
                    <xdr:colOff>9525</xdr:colOff>
                    <xdr:row>20</xdr:row>
                    <xdr:rowOff>0</xdr:rowOff>
                  </from>
                  <to>
                    <xdr:col>18</xdr:col>
                    <xdr:colOff>333375</xdr:colOff>
                    <xdr:row>21</xdr:row>
                    <xdr:rowOff>28575</xdr:rowOff>
                  </to>
                </anchor>
              </controlPr>
            </control>
          </mc:Choice>
        </mc:AlternateContent>
        <mc:AlternateContent xmlns:mc="http://schemas.openxmlformats.org/markup-compatibility/2006">
          <mc:Choice Requires="x14">
            <control shapeId="637966" r:id="rId17" name="Check Box 14">
              <controlPr locked="0" defaultSize="0" autoFill="0" autoLine="0" autoPict="0">
                <anchor moveWithCells="1">
                  <from>
                    <xdr:col>18</xdr:col>
                    <xdr:colOff>9525</xdr:colOff>
                    <xdr:row>21</xdr:row>
                    <xdr:rowOff>0</xdr:rowOff>
                  </from>
                  <to>
                    <xdr:col>18</xdr:col>
                    <xdr:colOff>333375</xdr:colOff>
                    <xdr:row>22</xdr:row>
                    <xdr:rowOff>28575</xdr:rowOff>
                  </to>
                </anchor>
              </controlPr>
            </control>
          </mc:Choice>
        </mc:AlternateContent>
        <mc:AlternateContent xmlns:mc="http://schemas.openxmlformats.org/markup-compatibility/2006">
          <mc:Choice Requires="x14">
            <control shapeId="637967" r:id="rId18" name="Check Box 15">
              <controlPr locked="0" defaultSize="0" autoFill="0" autoLine="0" autoPict="0">
                <anchor moveWithCells="1">
                  <from>
                    <xdr:col>2</xdr:col>
                    <xdr:colOff>95250</xdr:colOff>
                    <xdr:row>25</xdr:row>
                    <xdr:rowOff>152400</xdr:rowOff>
                  </from>
                  <to>
                    <xdr:col>2</xdr:col>
                    <xdr:colOff>409575</xdr:colOff>
                    <xdr:row>26</xdr:row>
                    <xdr:rowOff>0</xdr:rowOff>
                  </to>
                </anchor>
              </controlPr>
            </control>
          </mc:Choice>
        </mc:AlternateContent>
        <mc:AlternateContent xmlns:mc="http://schemas.openxmlformats.org/markup-compatibility/2006">
          <mc:Choice Requires="x14">
            <control shapeId="637968" r:id="rId19" name="Check Box 16">
              <controlPr locked="0" defaultSize="0" autoFill="0" autoLine="0" autoPict="0">
                <anchor moveWithCells="1">
                  <from>
                    <xdr:col>2</xdr:col>
                    <xdr:colOff>95250</xdr:colOff>
                    <xdr:row>26</xdr:row>
                    <xdr:rowOff>142875</xdr:rowOff>
                  </from>
                  <to>
                    <xdr:col>2</xdr:col>
                    <xdr:colOff>409575</xdr:colOff>
                    <xdr:row>26</xdr:row>
                    <xdr:rowOff>361950</xdr:rowOff>
                  </to>
                </anchor>
              </controlPr>
            </control>
          </mc:Choice>
        </mc:AlternateContent>
        <mc:AlternateContent xmlns:mc="http://schemas.openxmlformats.org/markup-compatibility/2006">
          <mc:Choice Requires="x14">
            <control shapeId="637969" r:id="rId20" name="Check Box 17">
              <controlPr locked="0" defaultSize="0" autoFill="0" autoLine="0" autoPict="0">
                <anchor moveWithCells="1">
                  <from>
                    <xdr:col>2</xdr:col>
                    <xdr:colOff>95250</xdr:colOff>
                    <xdr:row>27</xdr:row>
                    <xdr:rowOff>200025</xdr:rowOff>
                  </from>
                  <to>
                    <xdr:col>2</xdr:col>
                    <xdr:colOff>409575</xdr:colOff>
                    <xdr:row>27</xdr:row>
                    <xdr:rowOff>428625</xdr:rowOff>
                  </to>
                </anchor>
              </controlPr>
            </control>
          </mc:Choice>
        </mc:AlternateContent>
        <mc:AlternateContent xmlns:mc="http://schemas.openxmlformats.org/markup-compatibility/2006">
          <mc:Choice Requires="x14">
            <control shapeId="637970" r:id="rId21" name="Check Box 18">
              <controlPr locked="0" defaultSize="0" autoFill="0" autoLine="0" autoPict="0">
                <anchor moveWithCells="1">
                  <from>
                    <xdr:col>2</xdr:col>
                    <xdr:colOff>95250</xdr:colOff>
                    <xdr:row>28</xdr:row>
                    <xdr:rowOff>190500</xdr:rowOff>
                  </from>
                  <to>
                    <xdr:col>2</xdr:col>
                    <xdr:colOff>409575</xdr:colOff>
                    <xdr:row>28</xdr:row>
                    <xdr:rowOff>409575</xdr:rowOff>
                  </to>
                </anchor>
              </controlPr>
            </control>
          </mc:Choice>
        </mc:AlternateContent>
        <mc:AlternateContent xmlns:mc="http://schemas.openxmlformats.org/markup-compatibility/2006">
          <mc:Choice Requires="x14">
            <control shapeId="637971" r:id="rId22" name="Check Box 19">
              <controlPr locked="0" defaultSize="0" autoFill="0" autoLine="0" autoPict="0">
                <anchor moveWithCells="1">
                  <from>
                    <xdr:col>2</xdr:col>
                    <xdr:colOff>95250</xdr:colOff>
                    <xdr:row>29</xdr:row>
                    <xdr:rowOff>0</xdr:rowOff>
                  </from>
                  <to>
                    <xdr:col>2</xdr:col>
                    <xdr:colOff>409575</xdr:colOff>
                    <xdr:row>29</xdr:row>
                    <xdr:rowOff>219075</xdr:rowOff>
                  </to>
                </anchor>
              </controlPr>
            </control>
          </mc:Choice>
        </mc:AlternateContent>
        <mc:AlternateContent xmlns:mc="http://schemas.openxmlformats.org/markup-compatibility/2006">
          <mc:Choice Requires="x14">
            <control shapeId="637972" r:id="rId23" name="Check Box 20">
              <controlPr locked="0" defaultSize="0" autoFill="0" autoLine="0" autoPict="0">
                <anchor moveWithCells="1">
                  <from>
                    <xdr:col>2</xdr:col>
                    <xdr:colOff>95250</xdr:colOff>
                    <xdr:row>29</xdr:row>
                    <xdr:rowOff>190500</xdr:rowOff>
                  </from>
                  <to>
                    <xdr:col>2</xdr:col>
                    <xdr:colOff>409575</xdr:colOff>
                    <xdr:row>29</xdr:row>
                    <xdr:rowOff>409575</xdr:rowOff>
                  </to>
                </anchor>
              </controlPr>
            </control>
          </mc:Choice>
        </mc:AlternateContent>
        <mc:AlternateContent xmlns:mc="http://schemas.openxmlformats.org/markup-compatibility/2006">
          <mc:Choice Requires="x14">
            <control shapeId="637973" r:id="rId24" name="Check Box 21">
              <controlPr locked="0" defaultSize="0" autoFill="0" autoLine="0" autoPict="0">
                <anchor moveWithCells="1">
                  <from>
                    <xdr:col>2</xdr:col>
                    <xdr:colOff>95250</xdr:colOff>
                    <xdr:row>30</xdr:row>
                    <xdr:rowOff>190500</xdr:rowOff>
                  </from>
                  <to>
                    <xdr:col>2</xdr:col>
                    <xdr:colOff>409575</xdr:colOff>
                    <xdr:row>30</xdr:row>
                    <xdr:rowOff>409575</xdr:rowOff>
                  </to>
                </anchor>
              </controlPr>
            </control>
          </mc:Choice>
        </mc:AlternateContent>
        <mc:AlternateContent xmlns:mc="http://schemas.openxmlformats.org/markup-compatibility/2006">
          <mc:Choice Requires="x14">
            <control shapeId="637974" r:id="rId25" name="Check Box 22">
              <controlPr locked="0" defaultSize="0" autoFill="0" autoLine="0" autoPict="0">
                <anchor moveWithCells="1">
                  <from>
                    <xdr:col>2</xdr:col>
                    <xdr:colOff>95250</xdr:colOff>
                    <xdr:row>31</xdr:row>
                    <xdr:rowOff>190500</xdr:rowOff>
                  </from>
                  <to>
                    <xdr:col>2</xdr:col>
                    <xdr:colOff>409575</xdr:colOff>
                    <xdr:row>31</xdr:row>
                    <xdr:rowOff>409575</xdr:rowOff>
                  </to>
                </anchor>
              </controlPr>
            </control>
          </mc:Choice>
        </mc:AlternateContent>
        <mc:AlternateContent xmlns:mc="http://schemas.openxmlformats.org/markup-compatibility/2006">
          <mc:Choice Requires="x14">
            <control shapeId="637975" r:id="rId26" name="Check Box 23">
              <controlPr locked="0" defaultSize="0" autoFill="0" autoLine="0" autoPict="0">
                <anchor moveWithCells="1">
                  <from>
                    <xdr:col>2</xdr:col>
                    <xdr:colOff>95250</xdr:colOff>
                    <xdr:row>32</xdr:row>
                    <xdr:rowOff>0</xdr:rowOff>
                  </from>
                  <to>
                    <xdr:col>2</xdr:col>
                    <xdr:colOff>409575</xdr:colOff>
                    <xdr:row>32</xdr:row>
                    <xdr:rowOff>219075</xdr:rowOff>
                  </to>
                </anchor>
              </controlPr>
            </control>
          </mc:Choice>
        </mc:AlternateContent>
        <mc:AlternateContent xmlns:mc="http://schemas.openxmlformats.org/markup-compatibility/2006">
          <mc:Choice Requires="x14">
            <control shapeId="637976" r:id="rId27" name="Check Box 24">
              <controlPr locked="0" defaultSize="0" autoFill="0" autoLine="0" autoPict="0">
                <anchor moveWithCells="1">
                  <from>
                    <xdr:col>2</xdr:col>
                    <xdr:colOff>95250</xdr:colOff>
                    <xdr:row>32</xdr:row>
                    <xdr:rowOff>361950</xdr:rowOff>
                  </from>
                  <to>
                    <xdr:col>2</xdr:col>
                    <xdr:colOff>409575</xdr:colOff>
                    <xdr:row>32</xdr:row>
                    <xdr:rowOff>571500</xdr:rowOff>
                  </to>
                </anchor>
              </controlPr>
            </control>
          </mc:Choice>
        </mc:AlternateContent>
        <mc:AlternateContent xmlns:mc="http://schemas.openxmlformats.org/markup-compatibility/2006">
          <mc:Choice Requires="x14">
            <control shapeId="637977" r:id="rId28" name="Check Box 25">
              <controlPr locked="0" defaultSize="0" autoFill="0" autoLine="0" autoPict="0">
                <anchor moveWithCells="1">
                  <from>
                    <xdr:col>2</xdr:col>
                    <xdr:colOff>95250</xdr:colOff>
                    <xdr:row>33</xdr:row>
                    <xdr:rowOff>285750</xdr:rowOff>
                  </from>
                  <to>
                    <xdr:col>2</xdr:col>
                    <xdr:colOff>409575</xdr:colOff>
                    <xdr:row>33</xdr:row>
                    <xdr:rowOff>504825</xdr:rowOff>
                  </to>
                </anchor>
              </controlPr>
            </control>
          </mc:Choice>
        </mc:AlternateContent>
        <mc:AlternateContent xmlns:mc="http://schemas.openxmlformats.org/markup-compatibility/2006">
          <mc:Choice Requires="x14">
            <control shapeId="637978" r:id="rId29" name="Check Box 26">
              <controlPr locked="0" defaultSize="0" autoFill="0" autoLine="0" autoPict="0">
                <anchor moveWithCells="1">
                  <from>
                    <xdr:col>2</xdr:col>
                    <xdr:colOff>95250</xdr:colOff>
                    <xdr:row>34</xdr:row>
                    <xdr:rowOff>228600</xdr:rowOff>
                  </from>
                  <to>
                    <xdr:col>2</xdr:col>
                    <xdr:colOff>409575</xdr:colOff>
                    <xdr:row>34</xdr:row>
                    <xdr:rowOff>457200</xdr:rowOff>
                  </to>
                </anchor>
              </controlPr>
            </control>
          </mc:Choice>
        </mc:AlternateContent>
        <mc:AlternateContent xmlns:mc="http://schemas.openxmlformats.org/markup-compatibility/2006">
          <mc:Choice Requires="x14">
            <control shapeId="637979" r:id="rId30" name="Check Box 27">
              <controlPr locked="0" defaultSize="0" autoFill="0" autoLine="0" autoPict="0">
                <anchor moveWithCells="1">
                  <from>
                    <xdr:col>2</xdr:col>
                    <xdr:colOff>95250</xdr:colOff>
                    <xdr:row>35</xdr:row>
                    <xdr:rowOff>0</xdr:rowOff>
                  </from>
                  <to>
                    <xdr:col>2</xdr:col>
                    <xdr:colOff>409575</xdr:colOff>
                    <xdr:row>35</xdr:row>
                    <xdr:rowOff>228600</xdr:rowOff>
                  </to>
                </anchor>
              </controlPr>
            </control>
          </mc:Choice>
        </mc:AlternateContent>
        <mc:AlternateContent xmlns:mc="http://schemas.openxmlformats.org/markup-compatibility/2006">
          <mc:Choice Requires="x14">
            <control shapeId="637980" r:id="rId31" name="Check Box 28">
              <controlPr locked="0" defaultSize="0" autoFill="0" autoLine="0" autoPict="0">
                <anchor moveWithCells="1">
                  <from>
                    <xdr:col>18</xdr:col>
                    <xdr:colOff>9525</xdr:colOff>
                    <xdr:row>13</xdr:row>
                    <xdr:rowOff>0</xdr:rowOff>
                  </from>
                  <to>
                    <xdr:col>18</xdr:col>
                    <xdr:colOff>314325</xdr:colOff>
                    <xdr:row>14</xdr:row>
                    <xdr:rowOff>28575</xdr:rowOff>
                  </to>
                </anchor>
              </controlPr>
            </control>
          </mc:Choice>
        </mc:AlternateContent>
        <mc:AlternateContent xmlns:mc="http://schemas.openxmlformats.org/markup-compatibility/2006">
          <mc:Choice Requires="x14">
            <control shapeId="637981" r:id="rId32" name="Check Box 29">
              <controlPr locked="0" defaultSize="0" autoFill="0" autoLine="0" autoPict="0">
                <anchor moveWithCells="1">
                  <from>
                    <xdr:col>18</xdr:col>
                    <xdr:colOff>9525</xdr:colOff>
                    <xdr:row>18</xdr:row>
                    <xdr:rowOff>0</xdr:rowOff>
                  </from>
                  <to>
                    <xdr:col>18</xdr:col>
                    <xdr:colOff>333375</xdr:colOff>
                    <xdr:row>19</xdr:row>
                    <xdr:rowOff>28575</xdr:rowOff>
                  </to>
                </anchor>
              </controlPr>
            </control>
          </mc:Choice>
        </mc:AlternateContent>
        <mc:AlternateContent xmlns:mc="http://schemas.openxmlformats.org/markup-compatibility/2006">
          <mc:Choice Requires="x14">
            <control shapeId="637982" r:id="rId33" name="Check Box 30">
              <controlPr locked="0" defaultSize="0" autoFill="0" autoLine="0" autoPict="0">
                <anchor moveWithCells="1">
                  <from>
                    <xdr:col>4</xdr:col>
                    <xdr:colOff>95250</xdr:colOff>
                    <xdr:row>3</xdr:row>
                    <xdr:rowOff>180975</xdr:rowOff>
                  </from>
                  <to>
                    <xdr:col>6</xdr:col>
                    <xdr:colOff>123825</xdr:colOff>
                    <xdr:row>5</xdr:row>
                    <xdr:rowOff>0</xdr:rowOff>
                  </to>
                </anchor>
              </controlPr>
            </control>
          </mc:Choice>
        </mc:AlternateContent>
        <mc:AlternateContent xmlns:mc="http://schemas.openxmlformats.org/markup-compatibility/2006">
          <mc:Choice Requires="x14">
            <control shapeId="637983" r:id="rId34" name="Check Box 31">
              <controlPr locked="0" defaultSize="0" autoFill="0" autoLine="0" autoPict="0">
                <anchor moveWithCells="1">
                  <from>
                    <xdr:col>6</xdr:col>
                    <xdr:colOff>142875</xdr:colOff>
                    <xdr:row>3</xdr:row>
                    <xdr:rowOff>180975</xdr:rowOff>
                  </from>
                  <to>
                    <xdr:col>6</xdr:col>
                    <xdr:colOff>600075</xdr:colOff>
                    <xdr:row>5</xdr:row>
                    <xdr:rowOff>0</xdr:rowOff>
                  </to>
                </anchor>
              </controlPr>
            </control>
          </mc:Choice>
        </mc:AlternateContent>
        <mc:AlternateContent xmlns:mc="http://schemas.openxmlformats.org/markup-compatibility/2006">
          <mc:Choice Requires="x14">
            <control shapeId="637984" r:id="rId35" name="Check Box 32">
              <controlPr locked="0" defaultSize="0" autoFill="0" autoLine="0" autoPict="0">
                <anchor moveWithCells="1">
                  <from>
                    <xdr:col>7</xdr:col>
                    <xdr:colOff>19050</xdr:colOff>
                    <xdr:row>3</xdr:row>
                    <xdr:rowOff>180975</xdr:rowOff>
                  </from>
                  <to>
                    <xdr:col>7</xdr:col>
                    <xdr:colOff>552450</xdr:colOff>
                    <xdr:row>5</xdr:row>
                    <xdr:rowOff>0</xdr:rowOff>
                  </to>
                </anchor>
              </controlPr>
            </control>
          </mc:Choice>
        </mc:AlternateContent>
        <mc:AlternateContent xmlns:mc="http://schemas.openxmlformats.org/markup-compatibility/2006">
          <mc:Choice Requires="x14">
            <control shapeId="637985" r:id="rId36" name="Check Box 33">
              <controlPr locked="0" defaultSize="0" autoFill="0" autoLine="0" autoPict="0">
                <anchor moveWithCells="1">
                  <from>
                    <xdr:col>7</xdr:col>
                    <xdr:colOff>581025</xdr:colOff>
                    <xdr:row>3</xdr:row>
                    <xdr:rowOff>180975</xdr:rowOff>
                  </from>
                  <to>
                    <xdr:col>8</xdr:col>
                    <xdr:colOff>457200</xdr:colOff>
                    <xdr:row>5</xdr:row>
                    <xdr:rowOff>0</xdr:rowOff>
                  </to>
                </anchor>
              </controlPr>
            </control>
          </mc:Choice>
        </mc:AlternateContent>
        <mc:AlternateContent xmlns:mc="http://schemas.openxmlformats.org/markup-compatibility/2006">
          <mc:Choice Requires="x14">
            <control shapeId="637986" r:id="rId37" name="Check Box 34">
              <controlPr locked="0" defaultSize="0" autoFill="0" autoLine="0" autoPict="0">
                <anchor moveWithCells="1">
                  <from>
                    <xdr:col>2</xdr:col>
                    <xdr:colOff>95250</xdr:colOff>
                    <xdr:row>29</xdr:row>
                    <xdr:rowOff>0</xdr:rowOff>
                  </from>
                  <to>
                    <xdr:col>2</xdr:col>
                    <xdr:colOff>409575</xdr:colOff>
                    <xdr:row>29</xdr:row>
                    <xdr:rowOff>219075</xdr:rowOff>
                  </to>
                </anchor>
              </controlPr>
            </control>
          </mc:Choice>
        </mc:AlternateContent>
        <mc:AlternateContent xmlns:mc="http://schemas.openxmlformats.org/markup-compatibility/2006">
          <mc:Choice Requires="x14">
            <control shapeId="637987" r:id="rId38" name="Check Box 35">
              <controlPr locked="0" defaultSize="0" autoFill="0" autoLine="0" autoPict="0">
                <anchor moveWithCells="1">
                  <from>
                    <xdr:col>18</xdr:col>
                    <xdr:colOff>9525</xdr:colOff>
                    <xdr:row>18</xdr:row>
                    <xdr:rowOff>0</xdr:rowOff>
                  </from>
                  <to>
                    <xdr:col>18</xdr:col>
                    <xdr:colOff>333375</xdr:colOff>
                    <xdr:row>19</xdr:row>
                    <xdr:rowOff>28575</xdr:rowOff>
                  </to>
                </anchor>
              </controlPr>
            </control>
          </mc:Choice>
        </mc:AlternateContent>
        <mc:AlternateContent xmlns:mc="http://schemas.openxmlformats.org/markup-compatibility/2006">
          <mc:Choice Requires="x14">
            <control shapeId="637988" r:id="rId39" name="Check Box 36">
              <controlPr locked="0" defaultSize="0" autoFill="0" autoLine="0" autoPict="0">
                <anchor moveWithCells="1">
                  <from>
                    <xdr:col>2</xdr:col>
                    <xdr:colOff>95250</xdr:colOff>
                    <xdr:row>35</xdr:row>
                    <xdr:rowOff>200025</xdr:rowOff>
                  </from>
                  <to>
                    <xdr:col>2</xdr:col>
                    <xdr:colOff>409575</xdr:colOff>
                    <xdr:row>35</xdr:row>
                    <xdr:rowOff>428625</xdr:rowOff>
                  </to>
                </anchor>
              </controlPr>
            </control>
          </mc:Choice>
        </mc:AlternateContent>
        <mc:AlternateContent xmlns:mc="http://schemas.openxmlformats.org/markup-compatibility/2006">
          <mc:Choice Requires="x14">
            <control shapeId="637989" r:id="rId40" name="Check Box 37">
              <controlPr locked="0" defaultSize="0" autoFill="0" autoLine="0" autoPict="0">
                <anchor moveWithCells="1">
                  <from>
                    <xdr:col>2</xdr:col>
                    <xdr:colOff>95250</xdr:colOff>
                    <xdr:row>36</xdr:row>
                    <xdr:rowOff>0</xdr:rowOff>
                  </from>
                  <to>
                    <xdr:col>2</xdr:col>
                    <xdr:colOff>409575</xdr:colOff>
                    <xdr:row>37</xdr:row>
                    <xdr:rowOff>38100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7"/>
  <sheetViews>
    <sheetView showGridLines="0" workbookViewId="0">
      <selection activeCell="F11" sqref="F11:S11"/>
    </sheetView>
  </sheetViews>
  <sheetFormatPr defaultRowHeight="15" x14ac:dyDescent="0.2"/>
  <cols>
    <col min="1" max="1" width="3.42578125" style="69" bestFit="1" customWidth="1"/>
    <col min="2" max="2" width="2.5703125" style="69" bestFit="1" customWidth="1"/>
    <col min="3" max="3" width="9.28515625" style="69" customWidth="1"/>
    <col min="4" max="4" width="10" style="69" customWidth="1"/>
    <col min="5" max="5" width="1.85546875" style="69" bestFit="1" customWidth="1"/>
    <col min="6" max="9" width="9.140625" style="69" customWidth="1"/>
    <col min="10" max="10" width="4.28515625" style="69" customWidth="1"/>
    <col min="11" max="11" width="9.140625" style="69" customWidth="1"/>
    <col min="12" max="12" width="3.5703125" style="69" bestFit="1" customWidth="1"/>
    <col min="13" max="13" width="9.28515625" style="69" bestFit="1" customWidth="1"/>
    <col min="14" max="14" width="17.42578125" style="69" bestFit="1" customWidth="1"/>
    <col min="15" max="18" width="9.140625" style="69"/>
    <col min="19" max="19" width="5.42578125" style="69" customWidth="1"/>
    <col min="20" max="20" width="3.140625" style="69" customWidth="1"/>
    <col min="21" max="16384" width="9.140625" style="69"/>
  </cols>
  <sheetData>
    <row r="1" spans="1:19" ht="21" x14ac:dyDescent="0.2">
      <c r="A1" s="2057"/>
      <c r="B1" s="2057"/>
      <c r="C1" s="2057"/>
      <c r="D1" s="2057"/>
      <c r="E1" s="2057"/>
      <c r="F1" s="2057"/>
      <c r="G1" s="2057"/>
      <c r="H1" s="2057"/>
      <c r="I1" s="2057"/>
      <c r="J1" s="2057"/>
      <c r="K1" s="2057"/>
      <c r="L1" s="2057"/>
      <c r="M1" s="2057"/>
      <c r="N1" s="2057"/>
      <c r="O1" s="2057"/>
      <c r="P1" s="2057"/>
      <c r="Q1" s="2892" t="s">
        <v>1504</v>
      </c>
      <c r="R1" s="2892"/>
      <c r="S1" s="2892"/>
    </row>
    <row r="2" spans="1:19" ht="18" x14ac:dyDescent="0.25">
      <c r="A2" s="2893" t="s">
        <v>658</v>
      </c>
      <c r="B2" s="2893"/>
      <c r="C2" s="2893"/>
      <c r="D2" s="2893"/>
      <c r="E2" s="2893"/>
      <c r="F2" s="2893"/>
      <c r="G2" s="2893"/>
      <c r="H2" s="2893"/>
      <c r="I2" s="2893"/>
      <c r="J2" s="2893"/>
      <c r="K2" s="2893"/>
      <c r="L2" s="2893"/>
      <c r="M2" s="2893"/>
      <c r="N2" s="2893"/>
      <c r="O2" s="2893"/>
      <c r="P2" s="2893"/>
      <c r="Q2" s="2893"/>
      <c r="R2" s="2893"/>
      <c r="S2" s="2893"/>
    </row>
    <row r="3" spans="1:19" ht="18" x14ac:dyDescent="0.25">
      <c r="A3" s="2893" t="s">
        <v>1528</v>
      </c>
      <c r="B3" s="2893"/>
      <c r="C3" s="2893"/>
      <c r="D3" s="2893"/>
      <c r="E3" s="2893"/>
      <c r="F3" s="2893"/>
      <c r="G3" s="2893"/>
      <c r="H3" s="2893"/>
      <c r="I3" s="2893"/>
      <c r="J3" s="2893"/>
      <c r="K3" s="2893"/>
      <c r="L3" s="2893"/>
      <c r="M3" s="2893"/>
      <c r="N3" s="2893"/>
      <c r="O3" s="2893"/>
      <c r="P3" s="2893"/>
      <c r="Q3" s="2893"/>
      <c r="R3" s="2893"/>
      <c r="S3" s="2893"/>
    </row>
    <row r="4" spans="1:19" x14ac:dyDescent="0.2">
      <c r="A4" s="2057"/>
      <c r="B4" s="2057"/>
      <c r="C4" s="2057"/>
      <c r="D4" s="2057"/>
      <c r="E4" s="2057"/>
      <c r="F4" s="2057"/>
      <c r="G4" s="2057"/>
      <c r="H4" s="2057"/>
      <c r="I4" s="2057"/>
      <c r="J4" s="2057"/>
      <c r="K4" s="2057"/>
      <c r="L4" s="2057"/>
      <c r="M4" s="2057"/>
      <c r="N4" s="2057"/>
      <c r="O4" s="2057"/>
      <c r="P4" s="2057"/>
      <c r="Q4" s="2057"/>
      <c r="R4" s="2057"/>
      <c r="S4" s="2057"/>
    </row>
    <row r="5" spans="1:19" ht="15.75" x14ac:dyDescent="0.25">
      <c r="A5" s="2058" t="s">
        <v>659</v>
      </c>
      <c r="B5" s="2894" t="s">
        <v>683</v>
      </c>
      <c r="C5" s="2894"/>
      <c r="D5" s="2894"/>
      <c r="E5" s="2059" t="s">
        <v>0</v>
      </c>
      <c r="F5" s="2895"/>
      <c r="G5" s="2895"/>
      <c r="H5" s="2895"/>
      <c r="I5" s="2895"/>
      <c r="J5" s="2895"/>
      <c r="K5" s="2895"/>
      <c r="L5" s="2895"/>
      <c r="M5" s="2895"/>
      <c r="N5" s="2895"/>
      <c r="O5" s="2895"/>
      <c r="P5" s="2895"/>
      <c r="Q5" s="2895"/>
      <c r="R5" s="2895"/>
      <c r="S5" s="2896"/>
    </row>
    <row r="6" spans="1:19" ht="20.25" customHeight="1" x14ac:dyDescent="0.25">
      <c r="A6" s="2060"/>
      <c r="B6" s="2061" t="s">
        <v>247</v>
      </c>
      <c r="C6" s="2897" t="s">
        <v>661</v>
      </c>
      <c r="D6" s="2897"/>
      <c r="E6" s="2062" t="s">
        <v>0</v>
      </c>
      <c r="F6" s="2898" t="str">
        <f>'CEKLIST 002 (BIO DATA)'!D15</f>
        <v>PD. BPR DOMPU</v>
      </c>
      <c r="G6" s="2898"/>
      <c r="H6" s="2898"/>
      <c r="I6" s="2898"/>
      <c r="J6" s="2898"/>
      <c r="K6" s="2898"/>
      <c r="L6" s="2898"/>
      <c r="M6" s="2898"/>
      <c r="N6" s="2898"/>
      <c r="O6" s="2898"/>
      <c r="P6" s="2898"/>
      <c r="Q6" s="2898"/>
      <c r="R6" s="2898"/>
      <c r="S6" s="2899"/>
    </row>
    <row r="7" spans="1:19" ht="20.25" customHeight="1" x14ac:dyDescent="0.25">
      <c r="A7" s="2060"/>
      <c r="B7" s="2061" t="s">
        <v>248</v>
      </c>
      <c r="C7" s="2900" t="s">
        <v>19</v>
      </c>
      <c r="D7" s="2900"/>
      <c r="E7" s="2062" t="s">
        <v>0</v>
      </c>
      <c r="F7" s="2890" t="str">
        <f>'CEKLIST 002 (BIO DATA)'!D21</f>
        <v xml:space="preserve">Jl. Nusantara No. 04 </v>
      </c>
      <c r="G7" s="2890"/>
      <c r="H7" s="2890"/>
      <c r="I7" s="2890"/>
      <c r="J7" s="2890" t="str">
        <f>'CEKLIST 002 (BIO DATA)'!D22</f>
        <v>Bada</v>
      </c>
      <c r="K7" s="2890"/>
      <c r="L7" s="2890" t="str">
        <f>'CEKLIST 002 (BIO DATA)'!D23</f>
        <v>Dompu</v>
      </c>
      <c r="M7" s="2890"/>
      <c r="N7" s="2890" t="str">
        <f>'CEKLIST 002 (BIO DATA)'!D24</f>
        <v>Dompu</v>
      </c>
      <c r="O7" s="2890"/>
      <c r="P7" s="2890" t="str">
        <f>'CEKLIST 002 (BIO DATA)'!D25</f>
        <v>Nusa Tenggara Barat</v>
      </c>
      <c r="Q7" s="2890"/>
      <c r="R7" s="2890"/>
      <c r="S7" s="2891"/>
    </row>
    <row r="8" spans="1:19" ht="20.25" customHeight="1" x14ac:dyDescent="0.25">
      <c r="A8" s="2060"/>
      <c r="B8" s="2063" t="s">
        <v>338</v>
      </c>
      <c r="C8" s="2064" t="s">
        <v>684</v>
      </c>
      <c r="D8" s="2064"/>
      <c r="E8" s="2062" t="s">
        <v>0</v>
      </c>
      <c r="F8" s="2890" t="str">
        <f>'CEKLIST 002 (BIO DATA)'!D27</f>
        <v>Jufrin H. Abdullah, S.Sos</v>
      </c>
      <c r="G8" s="2890"/>
      <c r="H8" s="2890"/>
      <c r="I8" s="2890"/>
      <c r="J8" s="2890"/>
      <c r="K8" s="2890"/>
      <c r="L8" s="2890"/>
      <c r="M8" s="2890"/>
      <c r="N8" s="2890"/>
      <c r="O8" s="2890"/>
      <c r="P8" s="2890"/>
      <c r="Q8" s="2890"/>
      <c r="R8" s="2890"/>
      <c r="S8" s="2891"/>
    </row>
    <row r="9" spans="1:19" ht="20.25" customHeight="1" x14ac:dyDescent="0.25">
      <c r="A9" s="2060"/>
      <c r="B9" s="2061" t="s">
        <v>340</v>
      </c>
      <c r="C9" s="2900" t="s">
        <v>663</v>
      </c>
      <c r="D9" s="2900"/>
      <c r="E9" s="2062" t="s">
        <v>0</v>
      </c>
      <c r="F9" s="2890" t="str">
        <f>'CEKLIST 002 (BIO DATA)'!D3</f>
        <v>Adi irawan saputra</v>
      </c>
      <c r="G9" s="2890"/>
      <c r="H9" s="2890"/>
      <c r="I9" s="2890"/>
      <c r="J9" s="2890"/>
      <c r="K9" s="2890"/>
      <c r="L9" s="2890"/>
      <c r="M9" s="2890"/>
      <c r="N9" s="2890"/>
      <c r="O9" s="2890"/>
      <c r="P9" s="2890"/>
      <c r="Q9" s="2890"/>
      <c r="R9" s="2890"/>
      <c r="S9" s="2891"/>
    </row>
    <row r="10" spans="1:19" ht="20.25" customHeight="1" x14ac:dyDescent="0.25">
      <c r="A10" s="2060"/>
      <c r="B10" s="2063" t="s">
        <v>341</v>
      </c>
      <c r="C10" s="2900" t="s">
        <v>664</v>
      </c>
      <c r="D10" s="2900"/>
      <c r="E10" s="2062" t="s">
        <v>0</v>
      </c>
      <c r="F10" s="2890" t="str">
        <f>'CEKLIST 002 (BIO DATA)'!D4</f>
        <v>Deni Ardian</v>
      </c>
      <c r="G10" s="2890"/>
      <c r="H10" s="2890"/>
      <c r="I10" s="2890"/>
      <c r="J10" s="2890"/>
      <c r="K10" s="2890"/>
      <c r="L10" s="2890"/>
      <c r="M10" s="2890"/>
      <c r="N10" s="2890"/>
      <c r="O10" s="2890"/>
      <c r="P10" s="2890"/>
      <c r="Q10" s="2890"/>
      <c r="R10" s="2890"/>
      <c r="S10" s="2891"/>
    </row>
    <row r="11" spans="1:19" ht="20.25" customHeight="1" x14ac:dyDescent="0.25">
      <c r="A11" s="2060"/>
      <c r="B11" s="2063" t="s">
        <v>342</v>
      </c>
      <c r="C11" s="2900" t="s">
        <v>665</v>
      </c>
      <c r="D11" s="2900"/>
      <c r="E11" s="2062" t="s">
        <v>0</v>
      </c>
      <c r="F11" s="2943">
        <f>'CEKLIST 002 (BIO DATA)'!D5</f>
        <v>43374</v>
      </c>
      <c r="G11" s="2943"/>
      <c r="H11" s="2943"/>
      <c r="I11" s="2943"/>
      <c r="J11" s="2943"/>
      <c r="K11" s="2943"/>
      <c r="L11" s="2943"/>
      <c r="M11" s="2943"/>
      <c r="N11" s="2943"/>
      <c r="O11" s="2943"/>
      <c r="P11" s="2943"/>
      <c r="Q11" s="2943"/>
      <c r="R11" s="2943"/>
      <c r="S11" s="2944"/>
    </row>
    <row r="12" spans="1:19" ht="20.25" customHeight="1" x14ac:dyDescent="0.2">
      <c r="A12" s="2060"/>
      <c r="B12" s="2061"/>
      <c r="C12" s="2064"/>
      <c r="D12" s="2064"/>
      <c r="E12" s="2062"/>
      <c r="F12" s="2065"/>
      <c r="G12" s="2065"/>
      <c r="H12" s="2065"/>
      <c r="I12" s="2065"/>
      <c r="J12" s="2065"/>
      <c r="K12" s="2065"/>
      <c r="L12" s="2065"/>
      <c r="M12" s="2065"/>
      <c r="N12" s="2065"/>
      <c r="O12" s="2065"/>
      <c r="P12" s="2065"/>
      <c r="Q12" s="2065"/>
      <c r="R12" s="2065"/>
      <c r="S12" s="2066"/>
    </row>
    <row r="13" spans="1:19" ht="15.75" x14ac:dyDescent="0.2">
      <c r="A13" s="1998" t="s">
        <v>666</v>
      </c>
      <c r="B13" s="2905" t="s">
        <v>1529</v>
      </c>
      <c r="C13" s="2905"/>
      <c r="D13" s="2905"/>
      <c r="E13" s="2905"/>
      <c r="F13" s="2905"/>
      <c r="G13" s="2905"/>
      <c r="H13" s="2905"/>
      <c r="I13" s="2905"/>
      <c r="J13" s="2905"/>
      <c r="K13" s="2905"/>
      <c r="L13" s="2905"/>
      <c r="M13" s="2905"/>
      <c r="N13" s="2905"/>
      <c r="O13" s="2905"/>
      <c r="P13" s="2905"/>
      <c r="Q13" s="2905"/>
      <c r="R13" s="2905"/>
      <c r="S13" s="2906"/>
    </row>
    <row r="14" spans="1:19" ht="20.25" customHeight="1" x14ac:dyDescent="0.25">
      <c r="A14" s="2000"/>
      <c r="B14" s="2945" t="s">
        <v>685</v>
      </c>
      <c r="C14" s="2946"/>
      <c r="D14" s="2946"/>
      <c r="E14" s="2946"/>
      <c r="F14" s="2946"/>
      <c r="G14" s="2946"/>
      <c r="H14" s="2946"/>
      <c r="I14" s="2946"/>
      <c r="J14" s="2947"/>
      <c r="K14" s="2069"/>
      <c r="L14" s="2945" t="s">
        <v>686</v>
      </c>
      <c r="M14" s="2946"/>
      <c r="N14" s="2946"/>
      <c r="O14" s="2946"/>
      <c r="P14" s="2946"/>
      <c r="Q14" s="2946"/>
      <c r="R14" s="2946"/>
      <c r="S14" s="2948"/>
    </row>
    <row r="15" spans="1:19" ht="15.75" customHeight="1" x14ac:dyDescent="0.2">
      <c r="A15" s="2004"/>
      <c r="B15" s="2005"/>
      <c r="C15" s="2907" t="s">
        <v>687</v>
      </c>
      <c r="D15" s="2908"/>
      <c r="E15" s="2908"/>
      <c r="F15" s="2908"/>
      <c r="G15" s="2908"/>
      <c r="H15" s="2908"/>
      <c r="I15" s="2909"/>
      <c r="J15" s="2006"/>
      <c r="K15" s="2007"/>
      <c r="L15" s="2008"/>
      <c r="M15" s="2901" t="s">
        <v>1531</v>
      </c>
      <c r="N15" s="2902"/>
      <c r="O15" s="2902"/>
      <c r="P15" s="2902"/>
      <c r="Q15" s="2902"/>
      <c r="R15" s="2903"/>
      <c r="S15" s="2009"/>
    </row>
    <row r="16" spans="1:19" ht="15.75" customHeight="1" x14ac:dyDescent="0.2">
      <c r="A16" s="2004"/>
      <c r="B16" s="2005"/>
      <c r="C16" s="2901" t="s">
        <v>688</v>
      </c>
      <c r="D16" s="2902"/>
      <c r="E16" s="2902"/>
      <c r="F16" s="2902"/>
      <c r="G16" s="2902"/>
      <c r="H16" s="2902"/>
      <c r="I16" s="2903"/>
      <c r="J16" s="2010"/>
      <c r="K16" s="2007"/>
      <c r="L16" s="2011"/>
      <c r="M16" s="2901" t="s">
        <v>689</v>
      </c>
      <c r="N16" s="2902"/>
      <c r="O16" s="2902"/>
      <c r="P16" s="2902"/>
      <c r="Q16" s="2902"/>
      <c r="R16" s="2903"/>
      <c r="S16" s="2009"/>
    </row>
    <row r="17" spans="1:19" ht="15.75" customHeight="1" x14ac:dyDescent="0.2">
      <c r="A17" s="2004"/>
      <c r="B17" s="2005"/>
      <c r="C17" s="2901" t="s">
        <v>690</v>
      </c>
      <c r="D17" s="2902"/>
      <c r="E17" s="2902"/>
      <c r="F17" s="2902"/>
      <c r="G17" s="2902"/>
      <c r="H17" s="2902"/>
      <c r="I17" s="2903"/>
      <c r="J17" s="2010"/>
      <c r="K17" s="2007"/>
      <c r="L17" s="2011"/>
      <c r="M17" s="2901" t="s">
        <v>1533</v>
      </c>
      <c r="N17" s="2902"/>
      <c r="O17" s="2902"/>
      <c r="P17" s="2902"/>
      <c r="Q17" s="2902"/>
      <c r="R17" s="2903"/>
      <c r="S17" s="2009"/>
    </row>
    <row r="18" spans="1:19" ht="15.75" customHeight="1" x14ac:dyDescent="0.2">
      <c r="A18" s="2004"/>
      <c r="B18" s="2005"/>
      <c r="C18" s="2901" t="s">
        <v>691</v>
      </c>
      <c r="D18" s="2902"/>
      <c r="E18" s="2902"/>
      <c r="F18" s="2902"/>
      <c r="G18" s="2902"/>
      <c r="H18" s="2902"/>
      <c r="I18" s="2903"/>
      <c r="J18" s="2010"/>
      <c r="K18" s="2007"/>
      <c r="L18" s="2011"/>
      <c r="M18" s="2901" t="s">
        <v>1534</v>
      </c>
      <c r="N18" s="2902"/>
      <c r="O18" s="2902"/>
      <c r="P18" s="2902"/>
      <c r="Q18" s="2902"/>
      <c r="R18" s="2903"/>
      <c r="S18" s="2009"/>
    </row>
    <row r="19" spans="1:19" ht="15.75" customHeight="1" x14ac:dyDescent="0.2">
      <c r="A19" s="2004"/>
      <c r="B19" s="2006"/>
      <c r="C19" s="2901" t="s">
        <v>674</v>
      </c>
      <c r="D19" s="2902"/>
      <c r="E19" s="2902"/>
      <c r="F19" s="2902"/>
      <c r="G19" s="2902"/>
      <c r="H19" s="2902"/>
      <c r="I19" s="2903"/>
      <c r="J19" s="2010"/>
      <c r="K19" s="2007"/>
      <c r="L19" s="2012"/>
      <c r="M19" s="2901" t="s">
        <v>692</v>
      </c>
      <c r="N19" s="2902"/>
      <c r="O19" s="2902"/>
      <c r="P19" s="2902"/>
      <c r="Q19" s="2902"/>
      <c r="R19" s="2903"/>
      <c r="S19" s="2009"/>
    </row>
    <row r="20" spans="1:19" ht="15.75" customHeight="1" x14ac:dyDescent="0.2">
      <c r="A20" s="2000"/>
      <c r="B20" s="2070"/>
      <c r="C20" s="2071"/>
      <c r="D20" s="2072"/>
      <c r="E20" s="2072"/>
      <c r="F20" s="2072"/>
      <c r="G20" s="2072"/>
      <c r="H20" s="2072"/>
      <c r="I20" s="2072"/>
      <c r="J20" s="2070"/>
      <c r="K20" s="2007"/>
      <c r="L20" s="2071"/>
      <c r="M20" s="2071"/>
      <c r="N20" s="2072"/>
      <c r="O20" s="2072"/>
      <c r="P20" s="2072"/>
      <c r="Q20" s="2072"/>
      <c r="R20" s="2072"/>
      <c r="S20" s="2073"/>
    </row>
    <row r="21" spans="1:19" ht="15.75" x14ac:dyDescent="0.25">
      <c r="A21" s="2004"/>
      <c r="B21" s="2949" t="s">
        <v>693</v>
      </c>
      <c r="C21" s="2950"/>
      <c r="D21" s="2950"/>
      <c r="E21" s="2950"/>
      <c r="F21" s="2950"/>
      <c r="G21" s="2950"/>
      <c r="H21" s="2950"/>
      <c r="I21" s="2950"/>
      <c r="J21" s="2951"/>
      <c r="K21" s="2069"/>
      <c r="L21" s="2949" t="s">
        <v>694</v>
      </c>
      <c r="M21" s="2950"/>
      <c r="N21" s="2950"/>
      <c r="O21" s="2950"/>
      <c r="P21" s="2950"/>
      <c r="Q21" s="2950"/>
      <c r="R21" s="2950"/>
      <c r="S21" s="2952"/>
    </row>
    <row r="22" spans="1:19" ht="15.75" customHeight="1" x14ac:dyDescent="0.2">
      <c r="A22" s="2000"/>
      <c r="B22" s="2074"/>
      <c r="C22" s="2901" t="s">
        <v>1535</v>
      </c>
      <c r="D22" s="2902"/>
      <c r="E22" s="2902"/>
      <c r="F22" s="2902"/>
      <c r="G22" s="2902"/>
      <c r="H22" s="2902"/>
      <c r="I22" s="2903"/>
      <c r="J22" s="2010"/>
      <c r="K22" s="2007"/>
      <c r="L22" s="2075"/>
      <c r="M22" s="2901" t="s">
        <v>589</v>
      </c>
      <c r="N22" s="2902"/>
      <c r="O22" s="2902"/>
      <c r="P22" s="2902"/>
      <c r="Q22" s="2902"/>
      <c r="R22" s="2903"/>
      <c r="S22" s="2073"/>
    </row>
    <row r="23" spans="1:19" ht="15.75" customHeight="1" x14ac:dyDescent="0.2">
      <c r="A23" s="2000"/>
      <c r="B23" s="2005"/>
      <c r="C23" s="2901" t="s">
        <v>695</v>
      </c>
      <c r="D23" s="2902"/>
      <c r="E23" s="2902"/>
      <c r="F23" s="2902"/>
      <c r="G23" s="2902"/>
      <c r="H23" s="2902"/>
      <c r="I23" s="2903"/>
      <c r="J23" s="2010"/>
      <c r="K23" s="2007"/>
      <c r="L23" s="2010"/>
      <c r="M23" s="2901" t="s">
        <v>696</v>
      </c>
      <c r="N23" s="2902"/>
      <c r="O23" s="2902"/>
      <c r="P23" s="2902"/>
      <c r="Q23" s="2902"/>
      <c r="R23" s="2903"/>
      <c r="S23" s="2073"/>
    </row>
    <row r="24" spans="1:19" x14ac:dyDescent="0.2">
      <c r="A24" s="2000"/>
      <c r="B24" s="2005"/>
      <c r="C24" s="2076" t="s">
        <v>697</v>
      </c>
      <c r="D24" s="2077"/>
      <c r="E24" s="2072"/>
      <c r="F24" s="2072"/>
      <c r="G24" s="2072"/>
      <c r="H24" s="2072"/>
      <c r="I24" s="2078"/>
      <c r="J24" s="2010"/>
      <c r="K24" s="2007"/>
      <c r="L24" s="2002"/>
      <c r="M24" s="2002"/>
      <c r="N24" s="2002"/>
      <c r="O24" s="2002"/>
      <c r="P24" s="2002"/>
      <c r="Q24" s="2002"/>
      <c r="R24" s="2002"/>
      <c r="S24" s="2016"/>
    </row>
    <row r="25" spans="1:19" x14ac:dyDescent="0.2">
      <c r="A25" s="2000"/>
      <c r="B25" s="2006"/>
      <c r="C25" s="2079" t="s">
        <v>698</v>
      </c>
      <c r="D25" s="2077"/>
      <c r="E25" s="2072"/>
      <c r="F25" s="2072"/>
      <c r="G25" s="2072"/>
      <c r="H25" s="2072"/>
      <c r="I25" s="2078"/>
      <c r="J25" s="2006"/>
      <c r="K25" s="2007"/>
      <c r="L25" s="2002"/>
      <c r="M25" s="2002"/>
      <c r="N25" s="2002"/>
      <c r="O25" s="2002"/>
      <c r="P25" s="2002"/>
      <c r="Q25" s="2002"/>
      <c r="R25" s="2002"/>
      <c r="S25" s="2016"/>
    </row>
    <row r="26" spans="1:19" x14ac:dyDescent="0.2">
      <c r="A26" s="2000"/>
      <c r="B26" s="2013"/>
      <c r="C26" s="2014"/>
      <c r="D26" s="2015"/>
      <c r="E26" s="2015"/>
      <c r="F26" s="2015"/>
      <c r="G26" s="2015"/>
      <c r="H26" s="2015"/>
      <c r="I26" s="2015"/>
      <c r="J26" s="2013"/>
      <c r="K26" s="2007"/>
      <c r="L26" s="2002"/>
      <c r="M26" s="2002"/>
      <c r="N26" s="2002"/>
      <c r="O26" s="2002"/>
      <c r="P26" s="2002"/>
      <c r="Q26" s="2002"/>
      <c r="R26" s="2002"/>
      <c r="S26" s="2016"/>
    </row>
    <row r="27" spans="1:19" ht="15.75" x14ac:dyDescent="0.2">
      <c r="A27" s="1998" t="s">
        <v>670</v>
      </c>
      <c r="B27" s="2905" t="s">
        <v>1530</v>
      </c>
      <c r="C27" s="2905"/>
      <c r="D27" s="2905"/>
      <c r="E27" s="2905"/>
      <c r="F27" s="2905"/>
      <c r="G27" s="2905"/>
      <c r="H27" s="2905"/>
      <c r="I27" s="2905"/>
      <c r="J27" s="2905"/>
      <c r="K27" s="2905"/>
      <c r="L27" s="2905"/>
      <c r="M27" s="2905"/>
      <c r="N27" s="2905"/>
      <c r="O27" s="2905"/>
      <c r="P27" s="2905"/>
      <c r="Q27" s="2905"/>
      <c r="R27" s="2905"/>
      <c r="S27" s="2906"/>
    </row>
    <row r="28" spans="1:19" ht="15.75" customHeight="1" x14ac:dyDescent="0.2">
      <c r="A28" s="2000"/>
      <c r="B28" s="2017" t="s">
        <v>699</v>
      </c>
      <c r="C28" s="2018"/>
      <c r="D28" s="2019"/>
      <c r="E28" s="2019"/>
      <c r="F28" s="2019"/>
      <c r="G28" s="2019"/>
      <c r="H28" s="2019"/>
      <c r="I28" s="2020"/>
      <c r="J28" s="2021"/>
      <c r="K28" s="2022"/>
      <c r="L28" s="2910" t="s">
        <v>700</v>
      </c>
      <c r="M28" s="2911"/>
      <c r="N28" s="2911"/>
      <c r="O28" s="2911"/>
      <c r="P28" s="2911"/>
      <c r="Q28" s="2911"/>
      <c r="R28" s="2912"/>
      <c r="S28" s="2023"/>
    </row>
    <row r="29" spans="1:19" ht="15.75" customHeight="1" x14ac:dyDescent="0.2">
      <c r="A29" s="2000"/>
      <c r="B29" s="2901" t="s">
        <v>701</v>
      </c>
      <c r="C29" s="2902"/>
      <c r="D29" s="2902"/>
      <c r="E29" s="2902"/>
      <c r="F29" s="2902"/>
      <c r="G29" s="2902"/>
      <c r="H29" s="2902"/>
      <c r="I29" s="2903"/>
      <c r="J29" s="2024"/>
      <c r="K29" s="2022"/>
      <c r="L29" s="2901" t="s">
        <v>702</v>
      </c>
      <c r="M29" s="2902"/>
      <c r="N29" s="2902"/>
      <c r="O29" s="2902"/>
      <c r="P29" s="2902"/>
      <c r="Q29" s="2902"/>
      <c r="R29" s="2903"/>
      <c r="S29" s="2025"/>
    </row>
    <row r="30" spans="1:19" ht="15.75" customHeight="1" x14ac:dyDescent="0.2">
      <c r="A30" s="2000"/>
      <c r="B30" s="2901" t="s">
        <v>675</v>
      </c>
      <c r="C30" s="2902"/>
      <c r="D30" s="2902"/>
      <c r="E30" s="2902"/>
      <c r="F30" s="2902"/>
      <c r="G30" s="2902"/>
      <c r="H30" s="2902"/>
      <c r="I30" s="2903"/>
      <c r="J30" s="2024"/>
      <c r="K30" s="2022"/>
      <c r="L30" s="2901" t="s">
        <v>703</v>
      </c>
      <c r="M30" s="2902"/>
      <c r="N30" s="2902"/>
      <c r="O30" s="2902"/>
      <c r="P30" s="2902"/>
      <c r="Q30" s="2902"/>
      <c r="R30" s="2903"/>
      <c r="S30" s="2025"/>
    </row>
    <row r="31" spans="1:19" ht="15.75" customHeight="1" x14ac:dyDescent="0.2">
      <c r="A31" s="2000"/>
      <c r="B31" s="2901" t="s">
        <v>704</v>
      </c>
      <c r="C31" s="2902"/>
      <c r="D31" s="2902"/>
      <c r="E31" s="2902"/>
      <c r="F31" s="2902"/>
      <c r="G31" s="2902"/>
      <c r="H31" s="2902"/>
      <c r="I31" s="2903"/>
      <c r="J31" s="2024"/>
      <c r="K31" s="2022"/>
      <c r="L31" s="2001"/>
      <c r="M31" s="2002"/>
      <c r="N31" s="2002"/>
      <c r="O31" s="2002"/>
      <c r="P31" s="2002"/>
      <c r="Q31" s="2002"/>
      <c r="R31" s="2002"/>
      <c r="S31" s="2016"/>
    </row>
    <row r="32" spans="1:19" x14ac:dyDescent="0.2">
      <c r="A32" s="2000"/>
      <c r="B32" s="2013"/>
      <c r="C32" s="2015"/>
      <c r="D32" s="2015"/>
      <c r="E32" s="2015"/>
      <c r="F32" s="2015"/>
      <c r="G32" s="2015"/>
      <c r="H32" s="2015"/>
      <c r="I32" s="2015"/>
      <c r="J32" s="2027"/>
      <c r="K32" s="2022"/>
      <c r="L32" s="2001"/>
      <c r="M32" s="2002"/>
      <c r="N32" s="2002"/>
      <c r="O32" s="2002"/>
      <c r="P32" s="2002"/>
      <c r="Q32" s="2002"/>
      <c r="R32" s="2002"/>
      <c r="S32" s="2016"/>
    </row>
    <row r="33" spans="1:19" ht="15.75" x14ac:dyDescent="0.25">
      <c r="A33" s="2028" t="s">
        <v>676</v>
      </c>
      <c r="B33" s="2914" t="s">
        <v>705</v>
      </c>
      <c r="C33" s="2914"/>
      <c r="D33" s="2914"/>
      <c r="E33" s="2914"/>
      <c r="F33" s="2914"/>
      <c r="G33" s="2914"/>
      <c r="H33" s="2914"/>
      <c r="I33" s="2914"/>
      <c r="J33" s="2914"/>
      <c r="K33" s="2914"/>
      <c r="L33" s="2914"/>
      <c r="M33" s="2914"/>
      <c r="N33" s="2914"/>
      <c r="O33" s="2914"/>
      <c r="P33" s="2914"/>
      <c r="Q33" s="2914"/>
      <c r="R33" s="2914"/>
      <c r="S33" s="2915"/>
    </row>
    <row r="34" spans="1:19" ht="15.75" x14ac:dyDescent="0.25">
      <c r="A34" s="2000"/>
      <c r="B34" s="2953" t="s">
        <v>706</v>
      </c>
      <c r="C34" s="2953"/>
      <c r="D34" s="2953"/>
      <c r="E34" s="2953"/>
      <c r="F34" s="2953"/>
      <c r="G34" s="2953"/>
      <c r="H34" s="2953"/>
      <c r="I34" s="2953"/>
      <c r="J34" s="2953"/>
      <c r="K34" s="2953"/>
      <c r="L34" s="2953"/>
      <c r="M34" s="2953"/>
      <c r="N34" s="2953"/>
      <c r="O34" s="2953"/>
      <c r="P34" s="2953"/>
      <c r="Q34" s="2953"/>
      <c r="R34" s="2953"/>
      <c r="S34" s="2954"/>
    </row>
    <row r="35" spans="1:19" ht="40.5" customHeight="1" x14ac:dyDescent="0.2">
      <c r="A35" s="2000"/>
      <c r="B35" s="2002"/>
      <c r="C35" s="2080"/>
      <c r="D35" s="2918" t="s">
        <v>707</v>
      </c>
      <c r="E35" s="2919"/>
      <c r="F35" s="2919"/>
      <c r="G35" s="2919"/>
      <c r="H35" s="2919"/>
      <c r="I35" s="2920"/>
      <c r="J35" s="2921" t="s">
        <v>1721</v>
      </c>
      <c r="K35" s="2922"/>
      <c r="L35" s="2922"/>
      <c r="M35" s="2922"/>
      <c r="N35" s="2922"/>
      <c r="O35" s="2922"/>
      <c r="P35" s="2922"/>
      <c r="Q35" s="2922"/>
      <c r="R35" s="2923"/>
      <c r="S35" s="2029"/>
    </row>
    <row r="36" spans="1:19" ht="40.5" customHeight="1" x14ac:dyDescent="0.2">
      <c r="A36" s="2000"/>
      <c r="B36" s="2002"/>
      <c r="C36" s="2080"/>
      <c r="D36" s="2918" t="s">
        <v>708</v>
      </c>
      <c r="E36" s="2919"/>
      <c r="F36" s="2919"/>
      <c r="G36" s="2919"/>
      <c r="H36" s="2919"/>
      <c r="I36" s="2920"/>
      <c r="J36" s="2921" t="s">
        <v>1721</v>
      </c>
      <c r="K36" s="2922"/>
      <c r="L36" s="2922"/>
      <c r="M36" s="2922"/>
      <c r="N36" s="2922"/>
      <c r="O36" s="2922"/>
      <c r="P36" s="2922"/>
      <c r="Q36" s="2922"/>
      <c r="R36" s="2923"/>
      <c r="S36" s="2029"/>
    </row>
    <row r="37" spans="1:19" ht="50.25" customHeight="1" x14ac:dyDescent="0.2">
      <c r="A37" s="2000"/>
      <c r="B37" s="2002"/>
      <c r="C37" s="2080"/>
      <c r="D37" s="2918" t="s">
        <v>709</v>
      </c>
      <c r="E37" s="2919"/>
      <c r="F37" s="2919"/>
      <c r="G37" s="2919"/>
      <c r="H37" s="2919"/>
      <c r="I37" s="2920"/>
      <c r="J37" s="2921" t="s">
        <v>1721</v>
      </c>
      <c r="K37" s="2922"/>
      <c r="L37" s="2922"/>
      <c r="M37" s="2922"/>
      <c r="N37" s="2922"/>
      <c r="O37" s="2922"/>
      <c r="P37" s="2922"/>
      <c r="Q37" s="2922"/>
      <c r="R37" s="2923"/>
      <c r="S37" s="2029"/>
    </row>
    <row r="38" spans="1:19" ht="47.25" customHeight="1" x14ac:dyDescent="0.2">
      <c r="A38" s="2000"/>
      <c r="B38" s="2002"/>
      <c r="C38" s="2080"/>
      <c r="D38" s="2918" t="s">
        <v>710</v>
      </c>
      <c r="E38" s="2919"/>
      <c r="F38" s="2919"/>
      <c r="G38" s="2919"/>
      <c r="H38" s="2919"/>
      <c r="I38" s="2920"/>
      <c r="J38" s="2921" t="s">
        <v>1721</v>
      </c>
      <c r="K38" s="2922"/>
      <c r="L38" s="2922"/>
      <c r="M38" s="2922"/>
      <c r="N38" s="2922"/>
      <c r="O38" s="2922"/>
      <c r="P38" s="2922"/>
      <c r="Q38" s="2922"/>
      <c r="R38" s="2923"/>
      <c r="S38" s="2029"/>
    </row>
    <row r="39" spans="1:19" ht="48.75" customHeight="1" x14ac:dyDescent="0.2">
      <c r="A39" s="2000"/>
      <c r="B39" s="2002"/>
      <c r="C39" s="2080"/>
      <c r="D39" s="2918" t="s">
        <v>711</v>
      </c>
      <c r="E39" s="2919"/>
      <c r="F39" s="2919"/>
      <c r="G39" s="2919"/>
      <c r="H39" s="2919"/>
      <c r="I39" s="2920"/>
      <c r="J39" s="2921" t="s">
        <v>1721</v>
      </c>
      <c r="K39" s="2922"/>
      <c r="L39" s="2922"/>
      <c r="M39" s="2922"/>
      <c r="N39" s="2922"/>
      <c r="O39" s="2922"/>
      <c r="P39" s="2922"/>
      <c r="Q39" s="2922"/>
      <c r="R39" s="2923"/>
      <c r="S39" s="2029"/>
    </row>
    <row r="40" spans="1:19" ht="48.75" customHeight="1" x14ac:dyDescent="0.2">
      <c r="A40" s="2000"/>
      <c r="B40" s="2002"/>
      <c r="C40" s="2080"/>
      <c r="D40" s="2918" t="s">
        <v>712</v>
      </c>
      <c r="E40" s="2919"/>
      <c r="F40" s="2919"/>
      <c r="G40" s="2919"/>
      <c r="H40" s="2919"/>
      <c r="I40" s="2920"/>
      <c r="J40" s="2921" t="s">
        <v>1721</v>
      </c>
      <c r="K40" s="2922"/>
      <c r="L40" s="2922"/>
      <c r="M40" s="2922"/>
      <c r="N40" s="2922"/>
      <c r="O40" s="2922"/>
      <c r="P40" s="2922"/>
      <c r="Q40" s="2922"/>
      <c r="R40" s="2923"/>
      <c r="S40" s="2029"/>
    </row>
    <row r="41" spans="1:19" ht="48.75" customHeight="1" x14ac:dyDescent="0.2">
      <c r="A41" s="2000"/>
      <c r="B41" s="2002"/>
      <c r="C41" s="2080"/>
      <c r="D41" s="2924" t="s">
        <v>713</v>
      </c>
      <c r="E41" s="2924"/>
      <c r="F41" s="2924"/>
      <c r="G41" s="2924"/>
      <c r="H41" s="2924"/>
      <c r="I41" s="2924"/>
      <c r="J41" s="2921" t="s">
        <v>949</v>
      </c>
      <c r="K41" s="2922"/>
      <c r="L41" s="2922"/>
      <c r="M41" s="2922"/>
      <c r="N41" s="2922"/>
      <c r="O41" s="2922"/>
      <c r="P41" s="2922"/>
      <c r="Q41" s="2922"/>
      <c r="R41" s="2923"/>
      <c r="S41" s="2029"/>
    </row>
    <row r="42" spans="1:19" x14ac:dyDescent="0.2">
      <c r="A42" s="2000"/>
      <c r="B42" s="2002"/>
      <c r="C42" s="2032"/>
      <c r="D42" s="2033"/>
      <c r="E42" s="2033"/>
      <c r="F42" s="2033"/>
      <c r="G42" s="2033"/>
      <c r="H42" s="2033"/>
      <c r="I42" s="2033"/>
      <c r="J42" s="2003"/>
      <c r="K42" s="2003"/>
      <c r="L42" s="2003"/>
      <c r="M42" s="2003"/>
      <c r="N42" s="2034"/>
      <c r="O42" s="2034"/>
      <c r="P42" s="2034"/>
      <c r="Q42" s="2034"/>
      <c r="R42" s="2034"/>
      <c r="S42" s="2035"/>
    </row>
    <row r="43" spans="1:19" ht="15.75" x14ac:dyDescent="0.25">
      <c r="A43" s="2000"/>
      <c r="B43" s="2955" t="s">
        <v>714</v>
      </c>
      <c r="C43" s="2955"/>
      <c r="D43" s="2955"/>
      <c r="E43" s="2955"/>
      <c r="F43" s="2955"/>
      <c r="G43" s="2955"/>
      <c r="H43" s="2955"/>
      <c r="I43" s="2955"/>
      <c r="J43" s="2955"/>
      <c r="K43" s="2955"/>
      <c r="L43" s="2955"/>
      <c r="M43" s="2955"/>
      <c r="N43" s="2955"/>
      <c r="O43" s="2955"/>
      <c r="P43" s="2955"/>
      <c r="Q43" s="2955"/>
      <c r="R43" s="2955"/>
      <c r="S43" s="2081"/>
    </row>
    <row r="44" spans="1:19" ht="84.75" customHeight="1" x14ac:dyDescent="0.2">
      <c r="A44" s="2000"/>
      <c r="B44" s="2002"/>
      <c r="C44" s="2082"/>
      <c r="D44" s="2918" t="s">
        <v>1536</v>
      </c>
      <c r="E44" s="2919"/>
      <c r="F44" s="2919"/>
      <c r="G44" s="2919"/>
      <c r="H44" s="2919"/>
      <c r="I44" s="2920"/>
      <c r="J44" s="2921" t="s">
        <v>1721</v>
      </c>
      <c r="K44" s="2922"/>
      <c r="L44" s="2922"/>
      <c r="M44" s="2922"/>
      <c r="N44" s="2922"/>
      <c r="O44" s="2922"/>
      <c r="P44" s="2922"/>
      <c r="Q44" s="2922"/>
      <c r="R44" s="2923"/>
      <c r="S44" s="2029"/>
    </row>
    <row r="45" spans="1:19" ht="78.75" customHeight="1" x14ac:dyDescent="0.2">
      <c r="A45" s="2000"/>
      <c r="B45" s="2002"/>
      <c r="C45" s="2082"/>
      <c r="D45" s="2918" t="s">
        <v>1537</v>
      </c>
      <c r="E45" s="2919"/>
      <c r="F45" s="2919"/>
      <c r="G45" s="2919"/>
      <c r="H45" s="2919"/>
      <c r="I45" s="2920"/>
      <c r="J45" s="2921" t="s">
        <v>1721</v>
      </c>
      <c r="K45" s="2922"/>
      <c r="L45" s="2922"/>
      <c r="M45" s="2922"/>
      <c r="N45" s="2922"/>
      <c r="O45" s="2922"/>
      <c r="P45" s="2922"/>
      <c r="Q45" s="2922"/>
      <c r="R45" s="2923"/>
      <c r="S45" s="2029"/>
    </row>
    <row r="46" spans="1:19" ht="77.25" customHeight="1" x14ac:dyDescent="0.2">
      <c r="A46" s="2000"/>
      <c r="B46" s="2002"/>
      <c r="C46" s="2082"/>
      <c r="D46" s="2918" t="s">
        <v>1538</v>
      </c>
      <c r="E46" s="2919"/>
      <c r="F46" s="2919"/>
      <c r="G46" s="2919"/>
      <c r="H46" s="2919"/>
      <c r="I46" s="2920"/>
      <c r="J46" s="2921" t="s">
        <v>1721</v>
      </c>
      <c r="K46" s="2922"/>
      <c r="L46" s="2922"/>
      <c r="M46" s="2922"/>
      <c r="N46" s="2922"/>
      <c r="O46" s="2922"/>
      <c r="P46" s="2922"/>
      <c r="Q46" s="2922"/>
      <c r="R46" s="2923"/>
      <c r="S46" s="2029"/>
    </row>
    <row r="47" spans="1:19" ht="76.5" customHeight="1" x14ac:dyDescent="0.2">
      <c r="A47" s="2000"/>
      <c r="B47" s="2002"/>
      <c r="C47" s="2082"/>
      <c r="D47" s="2918" t="s">
        <v>1532</v>
      </c>
      <c r="E47" s="2919"/>
      <c r="F47" s="2919"/>
      <c r="G47" s="2919"/>
      <c r="H47" s="2919"/>
      <c r="I47" s="2920"/>
      <c r="J47" s="2921" t="s">
        <v>1721</v>
      </c>
      <c r="K47" s="2922"/>
      <c r="L47" s="2922"/>
      <c r="M47" s="2922"/>
      <c r="N47" s="2922"/>
      <c r="O47" s="2922"/>
      <c r="P47" s="2922"/>
      <c r="Q47" s="2922"/>
      <c r="R47" s="2923"/>
      <c r="S47" s="2029"/>
    </row>
    <row r="48" spans="1:19" ht="63" customHeight="1" x14ac:dyDescent="0.2">
      <c r="A48" s="2036"/>
      <c r="B48" s="2056"/>
      <c r="C48" s="2082"/>
      <c r="D48" s="2918" t="s">
        <v>715</v>
      </c>
      <c r="E48" s="2919"/>
      <c r="F48" s="2919"/>
      <c r="G48" s="2919"/>
      <c r="H48" s="2919"/>
      <c r="I48" s="2920"/>
      <c r="J48" s="2921" t="s">
        <v>1721</v>
      </c>
      <c r="K48" s="2922"/>
      <c r="L48" s="2922"/>
      <c r="M48" s="2922"/>
      <c r="N48" s="2922"/>
      <c r="O48" s="2922"/>
      <c r="P48" s="2922"/>
      <c r="Q48" s="2922"/>
      <c r="R48" s="2923"/>
      <c r="S48" s="2030"/>
    </row>
    <row r="49" spans="1:19" ht="78.75" customHeight="1" x14ac:dyDescent="0.2">
      <c r="A49" s="2083"/>
      <c r="B49" s="2084"/>
      <c r="C49" s="2082"/>
      <c r="D49" s="2918" t="s">
        <v>1539</v>
      </c>
      <c r="E49" s="2919"/>
      <c r="F49" s="2919"/>
      <c r="G49" s="2919"/>
      <c r="H49" s="2919"/>
      <c r="I49" s="2920"/>
      <c r="J49" s="2921" t="s">
        <v>1721</v>
      </c>
      <c r="K49" s="2922"/>
      <c r="L49" s="2922"/>
      <c r="M49" s="2922"/>
      <c r="N49" s="2922"/>
      <c r="O49" s="2922"/>
      <c r="P49" s="2922"/>
      <c r="Q49" s="2922"/>
      <c r="R49" s="2923"/>
      <c r="S49" s="2031"/>
    </row>
    <row r="50" spans="1:19" ht="40.5" customHeight="1" x14ac:dyDescent="0.2">
      <c r="A50" s="2000"/>
      <c r="B50" s="2016"/>
      <c r="C50" s="2082"/>
      <c r="D50" s="2918" t="s">
        <v>716</v>
      </c>
      <c r="E50" s="2919"/>
      <c r="F50" s="2919"/>
      <c r="G50" s="2919"/>
      <c r="H50" s="2919"/>
      <c r="I50" s="2920"/>
      <c r="J50" s="2921" t="s">
        <v>1721</v>
      </c>
      <c r="K50" s="2922"/>
      <c r="L50" s="2922"/>
      <c r="M50" s="2922"/>
      <c r="N50" s="2922"/>
      <c r="O50" s="2922"/>
      <c r="P50" s="2922"/>
      <c r="Q50" s="2922"/>
      <c r="R50" s="2923"/>
      <c r="S50" s="2029"/>
    </row>
    <row r="51" spans="1:19" ht="40.5" customHeight="1" x14ac:dyDescent="0.2">
      <c r="A51" s="2000"/>
      <c r="B51" s="2002"/>
      <c r="C51" s="2082"/>
      <c r="D51" s="2918" t="s">
        <v>717</v>
      </c>
      <c r="E51" s="2919"/>
      <c r="F51" s="2919"/>
      <c r="G51" s="2919"/>
      <c r="H51" s="2919"/>
      <c r="I51" s="2920"/>
      <c r="J51" s="2921" t="s">
        <v>1721</v>
      </c>
      <c r="K51" s="2922"/>
      <c r="L51" s="2922"/>
      <c r="M51" s="2922"/>
      <c r="N51" s="2922"/>
      <c r="O51" s="2922"/>
      <c r="P51" s="2922"/>
      <c r="Q51" s="2922"/>
      <c r="R51" s="2923"/>
      <c r="S51" s="2029"/>
    </row>
    <row r="52" spans="1:19" ht="40.5" customHeight="1" x14ac:dyDescent="0.2">
      <c r="A52" s="2000"/>
      <c r="B52" s="2002"/>
      <c r="C52" s="2082"/>
      <c r="D52" s="2918" t="s">
        <v>718</v>
      </c>
      <c r="E52" s="2919"/>
      <c r="F52" s="2919"/>
      <c r="G52" s="2919"/>
      <c r="H52" s="2919"/>
      <c r="I52" s="2920"/>
      <c r="J52" s="2921" t="s">
        <v>1721</v>
      </c>
      <c r="K52" s="2922"/>
      <c r="L52" s="2922"/>
      <c r="M52" s="2922"/>
      <c r="N52" s="2922"/>
      <c r="O52" s="2922"/>
      <c r="P52" s="2922"/>
      <c r="Q52" s="2922"/>
      <c r="R52" s="2923"/>
      <c r="S52" s="2029"/>
    </row>
    <row r="53" spans="1:19" ht="78.75" customHeight="1" x14ac:dyDescent="0.2">
      <c r="A53" s="2000"/>
      <c r="B53" s="2002"/>
      <c r="C53" s="2082"/>
      <c r="D53" s="2918"/>
      <c r="E53" s="2919"/>
      <c r="F53" s="2919"/>
      <c r="G53" s="2919"/>
      <c r="H53" s="2919"/>
      <c r="I53" s="2920"/>
      <c r="J53" s="2921"/>
      <c r="K53" s="2922"/>
      <c r="L53" s="2922"/>
      <c r="M53" s="2922"/>
      <c r="N53" s="2922"/>
      <c r="O53" s="2922"/>
      <c r="P53" s="2922"/>
      <c r="Q53" s="2922"/>
      <c r="R53" s="2923"/>
      <c r="S53" s="2029"/>
    </row>
    <row r="54" spans="1:19" ht="78.75" customHeight="1" x14ac:dyDescent="0.2">
      <c r="A54" s="2000"/>
      <c r="B54" s="2002"/>
      <c r="C54" s="2082"/>
      <c r="D54" s="2918" t="s">
        <v>1540</v>
      </c>
      <c r="E54" s="2919"/>
      <c r="F54" s="2919"/>
      <c r="G54" s="2919"/>
      <c r="H54" s="2919"/>
      <c r="I54" s="2920"/>
      <c r="J54" s="2921" t="s">
        <v>1721</v>
      </c>
      <c r="K54" s="2922"/>
      <c r="L54" s="2922"/>
      <c r="M54" s="2922"/>
      <c r="N54" s="2922"/>
      <c r="O54" s="2922"/>
      <c r="P54" s="2922"/>
      <c r="Q54" s="2922"/>
      <c r="R54" s="2923"/>
      <c r="S54" s="2029"/>
    </row>
    <row r="55" spans="1:19" ht="48.75" customHeight="1" x14ac:dyDescent="0.2">
      <c r="A55" s="2000"/>
      <c r="B55" s="2002"/>
      <c r="C55" s="2082"/>
      <c r="D55" s="2918" t="s">
        <v>696</v>
      </c>
      <c r="E55" s="2919"/>
      <c r="F55" s="2919"/>
      <c r="G55" s="2919"/>
      <c r="H55" s="2919"/>
      <c r="I55" s="2920"/>
      <c r="J55" s="2921" t="s">
        <v>949</v>
      </c>
      <c r="K55" s="2922"/>
      <c r="L55" s="2922"/>
      <c r="M55" s="2922"/>
      <c r="N55" s="2922"/>
      <c r="O55" s="2922"/>
      <c r="P55" s="2922"/>
      <c r="Q55" s="2922"/>
      <c r="R55" s="2923"/>
      <c r="S55" s="2029"/>
    </row>
    <row r="56" spans="1:19" x14ac:dyDescent="0.2">
      <c r="A56" s="2000"/>
      <c r="B56" s="2002"/>
      <c r="C56" s="2032"/>
      <c r="D56" s="2033"/>
      <c r="E56" s="2033"/>
      <c r="F56" s="2033"/>
      <c r="G56" s="2033"/>
      <c r="H56" s="2033"/>
      <c r="I56" s="2033"/>
      <c r="J56" s="2003"/>
      <c r="K56" s="2003"/>
      <c r="L56" s="2003"/>
      <c r="M56" s="2003"/>
      <c r="N56" s="2034"/>
      <c r="O56" s="2034"/>
      <c r="P56" s="2034"/>
      <c r="Q56" s="2034"/>
      <c r="R56" s="2034"/>
      <c r="S56" s="2035"/>
    </row>
    <row r="57" spans="1:19" ht="15.75" x14ac:dyDescent="0.25">
      <c r="A57" s="2000"/>
      <c r="B57" s="2955" t="s">
        <v>1541</v>
      </c>
      <c r="C57" s="2955"/>
      <c r="D57" s="2955"/>
      <c r="E57" s="2955"/>
      <c r="F57" s="2955"/>
      <c r="G57" s="2955"/>
      <c r="H57" s="2955"/>
      <c r="I57" s="2955"/>
      <c r="J57" s="2955"/>
      <c r="K57" s="2955"/>
      <c r="L57" s="2955"/>
      <c r="M57" s="2955"/>
      <c r="N57" s="2955"/>
      <c r="O57" s="2955"/>
      <c r="P57" s="2955"/>
      <c r="Q57" s="2955"/>
      <c r="R57" s="2955"/>
      <c r="S57" s="2081"/>
    </row>
    <row r="58" spans="1:19" ht="48.75" customHeight="1" x14ac:dyDescent="0.2">
      <c r="A58" s="2000"/>
      <c r="B58" s="2002"/>
      <c r="C58" s="2082"/>
      <c r="D58" s="2924" t="s">
        <v>1542</v>
      </c>
      <c r="E58" s="2924"/>
      <c r="F58" s="2924"/>
      <c r="G58" s="2924"/>
      <c r="H58" s="2924"/>
      <c r="I58" s="2924"/>
      <c r="J58" s="2921" t="s">
        <v>1721</v>
      </c>
      <c r="K58" s="2922"/>
      <c r="L58" s="2922"/>
      <c r="M58" s="2922"/>
      <c r="N58" s="2922"/>
      <c r="O58" s="2922"/>
      <c r="P58" s="2922"/>
      <c r="Q58" s="2922"/>
      <c r="R58" s="2923"/>
      <c r="S58" s="2029"/>
    </row>
    <row r="59" spans="1:19" ht="81.75" customHeight="1" x14ac:dyDescent="0.2">
      <c r="A59" s="2000"/>
      <c r="B59" s="2002"/>
      <c r="C59" s="2082"/>
      <c r="D59" s="2918" t="s">
        <v>719</v>
      </c>
      <c r="E59" s="2919"/>
      <c r="F59" s="2919"/>
      <c r="G59" s="2919"/>
      <c r="H59" s="2919"/>
      <c r="I59" s="2920"/>
      <c r="J59" s="2921" t="s">
        <v>1721</v>
      </c>
      <c r="K59" s="2922"/>
      <c r="L59" s="2922"/>
      <c r="M59" s="2922"/>
      <c r="N59" s="2922"/>
      <c r="O59" s="2922"/>
      <c r="P59" s="2922"/>
      <c r="Q59" s="2922"/>
      <c r="R59" s="2923"/>
      <c r="S59" s="2029"/>
    </row>
    <row r="60" spans="1:19" ht="63" customHeight="1" x14ac:dyDescent="0.2">
      <c r="A60" s="2000"/>
      <c r="B60" s="2002"/>
      <c r="C60" s="2082"/>
      <c r="D60" s="2924" t="s">
        <v>720</v>
      </c>
      <c r="E60" s="2924"/>
      <c r="F60" s="2924"/>
      <c r="G60" s="2924"/>
      <c r="H60" s="2924"/>
      <c r="I60" s="2924"/>
      <c r="J60" s="2921" t="s">
        <v>1721</v>
      </c>
      <c r="K60" s="2922"/>
      <c r="L60" s="2922"/>
      <c r="M60" s="2922"/>
      <c r="N60" s="2922"/>
      <c r="O60" s="2922"/>
      <c r="P60" s="2922"/>
      <c r="Q60" s="2922"/>
      <c r="R60" s="2923"/>
      <c r="S60" s="2029"/>
    </row>
    <row r="61" spans="1:19" ht="63" customHeight="1" x14ac:dyDescent="0.2">
      <c r="A61" s="2000"/>
      <c r="B61" s="2002"/>
      <c r="C61" s="2082"/>
      <c r="D61" s="2924" t="s">
        <v>1543</v>
      </c>
      <c r="E61" s="2924"/>
      <c r="F61" s="2924"/>
      <c r="G61" s="2924"/>
      <c r="H61" s="2924"/>
      <c r="I61" s="2924"/>
      <c r="J61" s="2921" t="s">
        <v>1721</v>
      </c>
      <c r="K61" s="2922"/>
      <c r="L61" s="2922"/>
      <c r="M61" s="2922"/>
      <c r="N61" s="2922"/>
      <c r="O61" s="2922"/>
      <c r="P61" s="2922"/>
      <c r="Q61" s="2922"/>
      <c r="R61" s="2923"/>
      <c r="S61" s="2029"/>
    </row>
    <row r="62" spans="1:19" ht="63" customHeight="1" x14ac:dyDescent="0.2">
      <c r="A62" s="2000"/>
      <c r="B62" s="2002"/>
      <c r="C62" s="2082"/>
      <c r="D62" s="2918" t="s">
        <v>721</v>
      </c>
      <c r="E62" s="2919"/>
      <c r="F62" s="2919"/>
      <c r="G62" s="2919"/>
      <c r="H62" s="2919"/>
      <c r="I62" s="2920"/>
      <c r="J62" s="2921" t="s">
        <v>1721</v>
      </c>
      <c r="K62" s="2922"/>
      <c r="L62" s="2922"/>
      <c r="M62" s="2922"/>
      <c r="N62" s="2922"/>
      <c r="O62" s="2922"/>
      <c r="P62" s="2922"/>
      <c r="Q62" s="2922"/>
      <c r="R62" s="2923"/>
      <c r="S62" s="2029"/>
    </row>
    <row r="63" spans="1:19" ht="63" customHeight="1" x14ac:dyDescent="0.2">
      <c r="A63" s="2000"/>
      <c r="B63" s="2002"/>
      <c r="C63" s="2082"/>
      <c r="D63" s="2924" t="s">
        <v>722</v>
      </c>
      <c r="E63" s="2924"/>
      <c r="F63" s="2924"/>
      <c r="G63" s="2924"/>
      <c r="H63" s="2924"/>
      <c r="I63" s="2924"/>
      <c r="J63" s="2921" t="s">
        <v>1721</v>
      </c>
      <c r="K63" s="2922"/>
      <c r="L63" s="2922"/>
      <c r="M63" s="2922"/>
      <c r="N63" s="2922"/>
      <c r="O63" s="2922"/>
      <c r="P63" s="2922"/>
      <c r="Q63" s="2922"/>
      <c r="R63" s="2923"/>
      <c r="S63" s="2029"/>
    </row>
    <row r="64" spans="1:19" ht="51.75" customHeight="1" x14ac:dyDescent="0.2">
      <c r="A64" s="2000"/>
      <c r="B64" s="2002"/>
      <c r="C64" s="2082"/>
      <c r="D64" s="2918" t="s">
        <v>723</v>
      </c>
      <c r="E64" s="2919"/>
      <c r="F64" s="2919"/>
      <c r="G64" s="2919"/>
      <c r="H64" s="2919"/>
      <c r="I64" s="2920"/>
      <c r="J64" s="2921" t="s">
        <v>1721</v>
      </c>
      <c r="K64" s="2922"/>
      <c r="L64" s="2922"/>
      <c r="M64" s="2922"/>
      <c r="N64" s="2922"/>
      <c r="O64" s="2922"/>
      <c r="P64" s="2922"/>
      <c r="Q64" s="2922"/>
      <c r="R64" s="2923"/>
      <c r="S64" s="2029"/>
    </row>
    <row r="65" spans="1:19" ht="52.5" customHeight="1" x14ac:dyDescent="0.2">
      <c r="A65" s="2000"/>
      <c r="B65" s="2002"/>
      <c r="C65" s="2082"/>
      <c r="D65" s="2924" t="s">
        <v>724</v>
      </c>
      <c r="E65" s="2924"/>
      <c r="F65" s="2924"/>
      <c r="G65" s="2924"/>
      <c r="H65" s="2924"/>
      <c r="I65" s="2924"/>
      <c r="J65" s="2921" t="s">
        <v>1721</v>
      </c>
      <c r="K65" s="2922"/>
      <c r="L65" s="2922"/>
      <c r="M65" s="2922"/>
      <c r="N65" s="2922"/>
      <c r="O65" s="2922"/>
      <c r="P65" s="2922"/>
      <c r="Q65" s="2922"/>
      <c r="R65" s="2923"/>
      <c r="S65" s="2029"/>
    </row>
    <row r="66" spans="1:19" ht="61.5" customHeight="1" x14ac:dyDescent="0.2">
      <c r="A66" s="2000"/>
      <c r="B66" s="2002"/>
      <c r="C66" s="2082"/>
      <c r="D66" s="2924" t="s">
        <v>1544</v>
      </c>
      <c r="E66" s="2924"/>
      <c r="F66" s="2924"/>
      <c r="G66" s="2924"/>
      <c r="H66" s="2924"/>
      <c r="I66" s="2924"/>
      <c r="J66" s="2921" t="s">
        <v>1721</v>
      </c>
      <c r="K66" s="2922"/>
      <c r="L66" s="2922"/>
      <c r="M66" s="2922"/>
      <c r="N66" s="2922"/>
      <c r="O66" s="2922"/>
      <c r="P66" s="2922"/>
      <c r="Q66" s="2922"/>
      <c r="R66" s="2923"/>
      <c r="S66" s="2029"/>
    </row>
    <row r="67" spans="1:19" ht="52.5" customHeight="1" x14ac:dyDescent="0.2">
      <c r="A67" s="2000"/>
      <c r="B67" s="2002"/>
      <c r="C67" s="2082"/>
      <c r="D67" s="2924" t="s">
        <v>725</v>
      </c>
      <c r="E67" s="2924"/>
      <c r="F67" s="2924"/>
      <c r="G67" s="2924"/>
      <c r="H67" s="2924"/>
      <c r="I67" s="2924"/>
      <c r="J67" s="2921" t="s">
        <v>1721</v>
      </c>
      <c r="K67" s="2922"/>
      <c r="L67" s="2922"/>
      <c r="M67" s="2922"/>
      <c r="N67" s="2922"/>
      <c r="O67" s="2922"/>
      <c r="P67" s="2922"/>
      <c r="Q67" s="2922"/>
      <c r="R67" s="2923"/>
      <c r="S67" s="2029"/>
    </row>
    <row r="68" spans="1:19" ht="48" customHeight="1" x14ac:dyDescent="0.2">
      <c r="A68" s="2000"/>
      <c r="B68" s="2002"/>
      <c r="C68" s="2082"/>
      <c r="D68" s="2956" t="s">
        <v>696</v>
      </c>
      <c r="E68" s="2957"/>
      <c r="F68" s="2957"/>
      <c r="G68" s="2957"/>
      <c r="H68" s="2957"/>
      <c r="I68" s="2958"/>
      <c r="J68" s="2921" t="s">
        <v>949</v>
      </c>
      <c r="K68" s="2922"/>
      <c r="L68" s="2922"/>
      <c r="M68" s="2922"/>
      <c r="N68" s="2922"/>
      <c r="O68" s="2922"/>
      <c r="P68" s="2922"/>
      <c r="Q68" s="2922"/>
      <c r="R68" s="2923"/>
      <c r="S68" s="2029"/>
    </row>
    <row r="69" spans="1:19" x14ac:dyDescent="0.2">
      <c r="A69" s="2000"/>
      <c r="B69" s="2002"/>
      <c r="C69" s="2032"/>
      <c r="D69" s="2085"/>
      <c r="E69" s="2085"/>
      <c r="F69" s="2085"/>
      <c r="G69" s="2085"/>
      <c r="H69" s="2085"/>
      <c r="I69" s="2085"/>
      <c r="J69" s="2003"/>
      <c r="K69" s="2003"/>
      <c r="L69" s="2003"/>
      <c r="M69" s="2003"/>
      <c r="N69" s="2034"/>
      <c r="O69" s="2034"/>
      <c r="P69" s="2034"/>
      <c r="Q69" s="2034"/>
      <c r="R69" s="2034"/>
      <c r="S69" s="2035"/>
    </row>
    <row r="70" spans="1:19" ht="15.75" x14ac:dyDescent="0.25">
      <c r="A70" s="2000"/>
      <c r="B70" s="2955" t="s">
        <v>726</v>
      </c>
      <c r="C70" s="2955"/>
      <c r="D70" s="2955"/>
      <c r="E70" s="2955"/>
      <c r="F70" s="2955"/>
      <c r="G70" s="2955"/>
      <c r="H70" s="2955"/>
      <c r="I70" s="2955"/>
      <c r="J70" s="2955"/>
      <c r="K70" s="2955"/>
      <c r="L70" s="2955"/>
      <c r="M70" s="2955"/>
      <c r="N70" s="2955"/>
      <c r="O70" s="2955"/>
      <c r="P70" s="2955"/>
      <c r="Q70" s="2955"/>
      <c r="R70" s="2955"/>
      <c r="S70" s="2035"/>
    </row>
    <row r="71" spans="1:19" ht="48" customHeight="1" x14ac:dyDescent="0.2">
      <c r="A71" s="2000"/>
      <c r="B71" s="2002"/>
      <c r="C71" s="2082"/>
      <c r="D71" s="2924" t="s">
        <v>727</v>
      </c>
      <c r="E71" s="2924"/>
      <c r="F71" s="2924"/>
      <c r="G71" s="2924"/>
      <c r="H71" s="2924"/>
      <c r="I71" s="2924"/>
      <c r="J71" s="2921" t="s">
        <v>1721</v>
      </c>
      <c r="K71" s="2922"/>
      <c r="L71" s="2922"/>
      <c r="M71" s="2922"/>
      <c r="N71" s="2922"/>
      <c r="O71" s="2922"/>
      <c r="P71" s="2922"/>
      <c r="Q71" s="2922"/>
      <c r="R71" s="2923"/>
      <c r="S71" s="2035"/>
    </row>
    <row r="72" spans="1:19" ht="48" customHeight="1" x14ac:dyDescent="0.2">
      <c r="A72" s="2000"/>
      <c r="B72" s="2002"/>
      <c r="C72" s="2082"/>
      <c r="D72" s="2918" t="s">
        <v>728</v>
      </c>
      <c r="E72" s="2919"/>
      <c r="F72" s="2919"/>
      <c r="G72" s="2919"/>
      <c r="H72" s="2919"/>
      <c r="I72" s="2920"/>
      <c r="J72" s="2921" t="s">
        <v>1721</v>
      </c>
      <c r="K72" s="2922"/>
      <c r="L72" s="2922"/>
      <c r="M72" s="2922"/>
      <c r="N72" s="2922"/>
      <c r="O72" s="2922"/>
      <c r="P72" s="2922"/>
      <c r="Q72" s="2922"/>
      <c r="R72" s="2923"/>
      <c r="S72" s="2035"/>
    </row>
    <row r="73" spans="1:19" ht="48" customHeight="1" x14ac:dyDescent="0.2">
      <c r="A73" s="2000"/>
      <c r="B73" s="2002"/>
      <c r="C73" s="2082"/>
      <c r="D73" s="2918" t="s">
        <v>729</v>
      </c>
      <c r="E73" s="2919"/>
      <c r="F73" s="2919"/>
      <c r="G73" s="2919"/>
      <c r="H73" s="2919"/>
      <c r="I73" s="2920"/>
      <c r="J73" s="2921" t="s">
        <v>1721</v>
      </c>
      <c r="K73" s="2922"/>
      <c r="L73" s="2922"/>
      <c r="M73" s="2922"/>
      <c r="N73" s="2922"/>
      <c r="O73" s="2922"/>
      <c r="P73" s="2922"/>
      <c r="Q73" s="2922"/>
      <c r="R73" s="2923"/>
      <c r="S73" s="2035"/>
    </row>
    <row r="74" spans="1:19" ht="48" customHeight="1" x14ac:dyDescent="0.2">
      <c r="A74" s="2036"/>
      <c r="B74" s="2013"/>
      <c r="C74" s="2082"/>
      <c r="D74" s="2924" t="s">
        <v>696</v>
      </c>
      <c r="E74" s="2924"/>
      <c r="F74" s="2924"/>
      <c r="G74" s="2924"/>
      <c r="H74" s="2924"/>
      <c r="I74" s="2924"/>
      <c r="J74" s="2921" t="s">
        <v>677</v>
      </c>
      <c r="K74" s="2922"/>
      <c r="L74" s="2922"/>
      <c r="M74" s="2922"/>
      <c r="N74" s="2922"/>
      <c r="O74" s="2922"/>
      <c r="P74" s="2922"/>
      <c r="Q74" s="2922"/>
      <c r="R74" s="2923"/>
      <c r="S74" s="2040"/>
    </row>
    <row r="75" spans="1:19" ht="15.75" x14ac:dyDescent="0.25">
      <c r="A75" s="2041" t="s">
        <v>681</v>
      </c>
      <c r="B75" s="2042" t="s">
        <v>730</v>
      </c>
      <c r="C75" s="2043"/>
      <c r="D75" s="2044"/>
      <c r="E75" s="2044"/>
      <c r="F75" s="2044"/>
      <c r="G75" s="2044"/>
      <c r="H75" s="2044"/>
      <c r="I75" s="2044"/>
      <c r="J75" s="2045"/>
      <c r="K75" s="2045"/>
      <c r="L75" s="2045"/>
      <c r="M75" s="2045"/>
      <c r="N75" s="2046"/>
      <c r="O75" s="2046"/>
      <c r="P75" s="2046"/>
      <c r="Q75" s="2046"/>
      <c r="R75" s="2046"/>
      <c r="S75" s="2047"/>
    </row>
    <row r="76" spans="1:19" s="71" customFormat="1" ht="15.75" x14ac:dyDescent="0.25">
      <c r="A76" s="2086"/>
      <c r="B76" s="2087"/>
      <c r="C76" s="2088"/>
      <c r="D76" s="2089"/>
      <c r="E76" s="2089"/>
      <c r="F76" s="2089"/>
      <c r="G76" s="2089"/>
      <c r="H76" s="2089"/>
      <c r="I76" s="2089"/>
      <c r="J76" s="2090"/>
      <c r="K76" s="2090"/>
      <c r="L76" s="2090"/>
      <c r="M76" s="2090"/>
      <c r="N76" s="2091"/>
      <c r="O76" s="2091"/>
      <c r="P76" s="2091"/>
      <c r="Q76" s="2091"/>
      <c r="R76" s="2091"/>
      <c r="S76" s="2092"/>
    </row>
    <row r="77" spans="1:19" x14ac:dyDescent="0.2">
      <c r="A77" s="2000"/>
      <c r="B77" s="2027"/>
      <c r="C77" s="2027"/>
      <c r="D77" s="2027"/>
      <c r="E77" s="2027"/>
      <c r="F77" s="2027"/>
      <c r="G77" s="2027"/>
      <c r="H77" s="2027"/>
      <c r="I77" s="2027"/>
      <c r="J77" s="2027"/>
      <c r="K77" s="2027"/>
      <c r="L77" s="2027"/>
      <c r="M77" s="2027"/>
      <c r="N77" s="2027"/>
      <c r="O77" s="2027"/>
      <c r="P77" s="2027"/>
      <c r="Q77" s="2027"/>
      <c r="R77" s="2027"/>
      <c r="S77" s="2049"/>
    </row>
    <row r="78" spans="1:19" ht="48" customHeight="1" x14ac:dyDescent="0.2">
      <c r="A78" s="2000"/>
      <c r="B78" s="2928" t="s">
        <v>1788</v>
      </c>
      <c r="C78" s="2929"/>
      <c r="D78" s="2929"/>
      <c r="E78" s="2929"/>
      <c r="F78" s="2929"/>
      <c r="G78" s="2929"/>
      <c r="H78" s="2929"/>
      <c r="I78" s="2929"/>
      <c r="J78" s="2929"/>
      <c r="K78" s="2929"/>
      <c r="L78" s="2929"/>
      <c r="M78" s="2929"/>
      <c r="N78" s="2929"/>
      <c r="O78" s="2929"/>
      <c r="P78" s="2929"/>
      <c r="Q78" s="2929"/>
      <c r="R78" s="2930"/>
      <c r="S78" s="2049"/>
    </row>
    <row r="79" spans="1:19" ht="48" customHeight="1" x14ac:dyDescent="0.2">
      <c r="A79" s="2000"/>
      <c r="B79" s="2931"/>
      <c r="C79" s="2932"/>
      <c r="D79" s="2932"/>
      <c r="E79" s="2932"/>
      <c r="F79" s="2932"/>
      <c r="G79" s="2932"/>
      <c r="H79" s="2932"/>
      <c r="I79" s="2932"/>
      <c r="J79" s="2932"/>
      <c r="K79" s="2932"/>
      <c r="L79" s="2932"/>
      <c r="M79" s="2932"/>
      <c r="N79" s="2932"/>
      <c r="O79" s="2932"/>
      <c r="P79" s="2932"/>
      <c r="Q79" s="2932"/>
      <c r="R79" s="2933"/>
      <c r="S79" s="2049"/>
    </row>
    <row r="80" spans="1:19" ht="48" customHeight="1" x14ac:dyDescent="0.2">
      <c r="A80" s="2000"/>
      <c r="B80" s="2934"/>
      <c r="C80" s="2935"/>
      <c r="D80" s="2935"/>
      <c r="E80" s="2935"/>
      <c r="F80" s="2935"/>
      <c r="G80" s="2935"/>
      <c r="H80" s="2935"/>
      <c r="I80" s="2935"/>
      <c r="J80" s="2935"/>
      <c r="K80" s="2935"/>
      <c r="L80" s="2935"/>
      <c r="M80" s="2935"/>
      <c r="N80" s="2935"/>
      <c r="O80" s="2935"/>
      <c r="P80" s="2935"/>
      <c r="Q80" s="2935"/>
      <c r="R80" s="2936"/>
      <c r="S80" s="2049"/>
    </row>
    <row r="81" spans="1:19" x14ac:dyDescent="0.2">
      <c r="A81" s="2050"/>
      <c r="B81" s="2002"/>
      <c r="C81" s="2002"/>
      <c r="D81" s="2002"/>
      <c r="E81" s="2002"/>
      <c r="F81" s="2002"/>
      <c r="G81" s="2002"/>
      <c r="H81" s="2002"/>
      <c r="I81" s="2002"/>
      <c r="J81" s="2002"/>
      <c r="K81" s="2002"/>
      <c r="L81" s="2002"/>
      <c r="M81" s="2002"/>
      <c r="N81" s="2002"/>
      <c r="O81" s="2002"/>
      <c r="P81" s="2002"/>
      <c r="Q81" s="2002"/>
      <c r="R81" s="2002"/>
      <c r="S81" s="2016"/>
    </row>
    <row r="82" spans="1:19" customFormat="1" ht="15.75" x14ac:dyDescent="0.25">
      <c r="A82" s="2942"/>
      <c r="B82" s="2941"/>
      <c r="C82" s="2941"/>
      <c r="D82" s="2941"/>
      <c r="E82" s="2941"/>
      <c r="F82" s="2941"/>
      <c r="G82" s="2941"/>
      <c r="H82" s="2093"/>
      <c r="I82" s="2093"/>
      <c r="J82" s="2093"/>
      <c r="K82" s="2093"/>
      <c r="L82" s="2093"/>
      <c r="M82" s="2093"/>
      <c r="N82" s="2941"/>
      <c r="O82" s="2941"/>
      <c r="P82" s="2941"/>
      <c r="Q82" s="2941"/>
      <c r="R82" s="2941"/>
      <c r="S82" s="2942"/>
    </row>
    <row r="83" spans="1:19" customFormat="1" ht="15.75" x14ac:dyDescent="0.25">
      <c r="A83" s="2942"/>
      <c r="B83" s="2941"/>
      <c r="C83" s="2941"/>
      <c r="D83" s="2941"/>
      <c r="E83" s="2941"/>
      <c r="F83" s="2941"/>
      <c r="G83" s="2941"/>
      <c r="H83" s="2941" t="str">
        <f>'CEKLIST 002 (BIO DATA)'!A6</f>
        <v>Supervisor Analis Penjaminan</v>
      </c>
      <c r="I83" s="2941"/>
      <c r="J83" s="2941"/>
      <c r="K83" s="2941"/>
      <c r="L83" s="2941"/>
      <c r="M83" s="2941"/>
      <c r="N83" s="2941" t="str">
        <f>'PAP 00 (Kelembagaan )'!N49:S49</f>
        <v>Petugas OTS (Analis Penjaminan)</v>
      </c>
      <c r="O83" s="2941"/>
      <c r="P83" s="2941"/>
      <c r="Q83" s="2941"/>
      <c r="R83" s="2941"/>
      <c r="S83" s="2942"/>
    </row>
    <row r="84" spans="1:19" customFormat="1" ht="15.75" x14ac:dyDescent="0.25">
      <c r="A84" s="2959"/>
      <c r="B84" s="2927"/>
      <c r="C84" s="2927"/>
      <c r="D84" s="2927"/>
      <c r="E84" s="2927"/>
      <c r="F84" s="2927"/>
      <c r="G84" s="2053"/>
      <c r="H84" s="2053"/>
      <c r="I84" s="2053"/>
      <c r="J84" s="2053"/>
      <c r="K84" s="2053"/>
      <c r="L84" s="2053"/>
      <c r="M84" s="2053"/>
      <c r="N84" s="2927"/>
      <c r="O84" s="2927"/>
      <c r="P84" s="2927"/>
      <c r="Q84" s="2927"/>
      <c r="R84" s="2927"/>
      <c r="S84" s="2959"/>
    </row>
    <row r="85" spans="1:19" customFormat="1" ht="15.75" x14ac:dyDescent="0.25">
      <c r="A85" s="2959"/>
      <c r="B85" s="2927"/>
      <c r="C85" s="2927"/>
      <c r="D85" s="2927"/>
      <c r="E85" s="2927"/>
      <c r="F85" s="2927"/>
      <c r="G85" s="2053"/>
      <c r="H85" s="2053"/>
      <c r="I85" s="2053"/>
      <c r="J85" s="2053"/>
      <c r="K85" s="2053"/>
      <c r="L85" s="2053"/>
      <c r="M85" s="2053"/>
      <c r="N85" s="2927"/>
      <c r="O85" s="2927"/>
      <c r="P85" s="2927"/>
      <c r="Q85" s="2927"/>
      <c r="R85" s="2927"/>
      <c r="S85" s="2959"/>
    </row>
    <row r="86" spans="1:19" customFormat="1" ht="15.75" x14ac:dyDescent="0.25">
      <c r="A86" s="2959"/>
      <c r="B86" s="2927"/>
      <c r="C86" s="2927"/>
      <c r="D86" s="2927"/>
      <c r="E86" s="2927"/>
      <c r="F86" s="2927"/>
      <c r="G86" s="2053"/>
      <c r="H86" s="2053"/>
      <c r="I86" s="2053"/>
      <c r="J86" s="2053"/>
      <c r="K86" s="2053"/>
      <c r="L86" s="2053"/>
      <c r="M86" s="2053"/>
      <c r="N86" s="2927"/>
      <c r="O86" s="2927"/>
      <c r="P86" s="2927"/>
      <c r="Q86" s="2927"/>
      <c r="R86" s="2927"/>
      <c r="S86" s="2959"/>
    </row>
    <row r="87" spans="1:19" customFormat="1" ht="15.75" x14ac:dyDescent="0.25">
      <c r="A87" s="2959"/>
      <c r="B87" s="2927"/>
      <c r="C87" s="2927"/>
      <c r="D87" s="2927"/>
      <c r="E87" s="2927"/>
      <c r="F87" s="2927"/>
      <c r="G87" s="2053"/>
      <c r="H87" s="2053"/>
      <c r="I87" s="2053"/>
      <c r="J87" s="2053"/>
      <c r="K87" s="2053"/>
      <c r="L87" s="2053"/>
      <c r="M87" s="2053"/>
      <c r="N87" s="2927"/>
      <c r="O87" s="2927"/>
      <c r="P87" s="2927"/>
      <c r="Q87" s="2927"/>
      <c r="R87" s="2927"/>
      <c r="S87" s="2959"/>
    </row>
    <row r="88" spans="1:19" customFormat="1" ht="15.75" x14ac:dyDescent="0.25">
      <c r="A88" s="2959"/>
      <c r="B88" s="2927"/>
      <c r="C88" s="2927"/>
      <c r="D88" s="2927"/>
      <c r="E88" s="2927"/>
      <c r="F88" s="2927"/>
      <c r="G88" s="2053"/>
      <c r="H88" s="2053"/>
      <c r="I88" s="2053"/>
      <c r="J88" s="2053"/>
      <c r="K88" s="2053"/>
      <c r="L88" s="2053"/>
      <c r="M88" s="2053"/>
      <c r="N88" s="2927"/>
      <c r="O88" s="2927"/>
      <c r="P88" s="2927"/>
      <c r="Q88" s="2927"/>
      <c r="R88" s="2927"/>
      <c r="S88" s="2959"/>
    </row>
    <row r="89" spans="1:19" customFormat="1" ht="15.75" x14ac:dyDescent="0.25">
      <c r="A89" s="2959"/>
      <c r="B89" s="2927"/>
      <c r="C89" s="2927"/>
      <c r="D89" s="2927"/>
      <c r="E89" s="2927"/>
      <c r="F89" s="2927"/>
      <c r="G89" s="2927"/>
      <c r="H89" s="2927" t="str">
        <f>'CEKLIST 002 (BIO DATA)'!D6</f>
        <v>I Wayan Ruspa</v>
      </c>
      <c r="I89" s="2927"/>
      <c r="J89" s="2927"/>
      <c r="K89" s="2927"/>
      <c r="L89" s="2927"/>
      <c r="M89" s="2927"/>
      <c r="N89" s="2927" t="str">
        <f>'CEKLIST 002 (BIO DATA)'!D3</f>
        <v>Adi irawan saputra</v>
      </c>
      <c r="O89" s="2927"/>
      <c r="P89" s="2927" t="str">
        <f>'CEKLIST 002 (BIO DATA)'!D4</f>
        <v>Deni Ardian</v>
      </c>
      <c r="Q89" s="2927"/>
      <c r="R89" s="2927"/>
      <c r="S89" s="1478"/>
    </row>
    <row r="90" spans="1:19" x14ac:dyDescent="0.2">
      <c r="A90" s="2050"/>
      <c r="B90" s="2002"/>
      <c r="C90" s="2002"/>
      <c r="D90" s="2002"/>
      <c r="E90" s="2002"/>
      <c r="F90" s="2002"/>
      <c r="G90" s="2002"/>
      <c r="H90" s="2002"/>
      <c r="I90" s="2002"/>
      <c r="J90" s="2002"/>
      <c r="K90" s="2002"/>
      <c r="L90" s="2002"/>
      <c r="M90" s="2002"/>
      <c r="N90" s="2002"/>
      <c r="O90" s="2002"/>
      <c r="P90" s="2002"/>
      <c r="Q90" s="2002"/>
      <c r="R90" s="2002"/>
      <c r="S90" s="2016"/>
    </row>
    <row r="91" spans="1:19" x14ac:dyDescent="0.2">
      <c r="A91" s="2054"/>
      <c r="B91" s="2002"/>
      <c r="C91" s="2002"/>
      <c r="D91" s="2002"/>
      <c r="E91" s="2002"/>
      <c r="F91" s="2002"/>
      <c r="G91" s="2002"/>
      <c r="H91" s="2002"/>
      <c r="I91" s="2002"/>
      <c r="J91" s="2002"/>
      <c r="K91" s="2002"/>
      <c r="L91" s="2002"/>
      <c r="M91" s="2002"/>
      <c r="N91" s="2002"/>
      <c r="O91" s="2002"/>
      <c r="P91" s="2002"/>
      <c r="Q91" s="2002"/>
      <c r="R91" s="2002"/>
      <c r="S91" s="2016"/>
    </row>
    <row r="92" spans="1:19" x14ac:dyDescent="0.2">
      <c r="A92" s="2055"/>
      <c r="B92" s="2013"/>
      <c r="C92" s="2013"/>
      <c r="D92" s="2013"/>
      <c r="E92" s="2013"/>
      <c r="F92" s="2013"/>
      <c r="G92" s="2013"/>
      <c r="H92" s="2013"/>
      <c r="I92" s="2013"/>
      <c r="J92" s="2013"/>
      <c r="K92" s="2013"/>
      <c r="L92" s="2013"/>
      <c r="M92" s="2013"/>
      <c r="N92" s="2013"/>
      <c r="O92" s="2013"/>
      <c r="P92" s="2013"/>
      <c r="Q92" s="2013"/>
      <c r="R92" s="2013"/>
      <c r="S92" s="2056"/>
    </row>
    <row r="93" spans="1:19" x14ac:dyDescent="0.2">
      <c r="A93" s="70"/>
      <c r="B93" s="70"/>
      <c r="C93" s="70"/>
      <c r="D93" s="70"/>
      <c r="E93" s="70"/>
      <c r="F93" s="70"/>
      <c r="G93" s="70"/>
      <c r="H93" s="70"/>
      <c r="I93" s="70"/>
      <c r="J93" s="70"/>
      <c r="K93" s="70"/>
      <c r="L93" s="70"/>
      <c r="M93" s="70"/>
      <c r="N93" s="70"/>
      <c r="O93" s="70"/>
      <c r="P93" s="70"/>
      <c r="Q93" s="70"/>
      <c r="R93" s="70"/>
      <c r="S93" s="70"/>
    </row>
    <row r="94" spans="1:19" x14ac:dyDescent="0.2">
      <c r="A94" s="70"/>
      <c r="B94" s="70"/>
      <c r="C94" s="70"/>
      <c r="D94" s="70"/>
      <c r="E94" s="70"/>
      <c r="F94" s="70"/>
      <c r="G94" s="70"/>
      <c r="H94" s="70"/>
      <c r="I94" s="70"/>
      <c r="J94" s="70"/>
      <c r="K94" s="70"/>
      <c r="L94" s="70"/>
      <c r="M94" s="70"/>
      <c r="N94" s="70"/>
      <c r="O94" s="70"/>
      <c r="P94" s="70"/>
      <c r="Q94" s="70"/>
      <c r="R94" s="70"/>
      <c r="S94" s="70"/>
    </row>
    <row r="95" spans="1:19" x14ac:dyDescent="0.2">
      <c r="A95" s="70"/>
      <c r="B95" s="70"/>
      <c r="C95" s="70"/>
      <c r="D95" s="70"/>
      <c r="E95" s="70"/>
      <c r="F95" s="70"/>
      <c r="G95" s="70"/>
      <c r="H95" s="70"/>
      <c r="I95" s="70"/>
      <c r="J95" s="70"/>
      <c r="K95" s="70"/>
      <c r="L95" s="70"/>
      <c r="M95" s="70"/>
      <c r="N95" s="70"/>
      <c r="O95" s="70"/>
      <c r="P95" s="70"/>
      <c r="Q95" s="70"/>
      <c r="R95" s="70"/>
      <c r="S95" s="70"/>
    </row>
    <row r="96" spans="1:19" x14ac:dyDescent="0.2">
      <c r="A96" s="70"/>
      <c r="B96" s="70"/>
      <c r="C96" s="70"/>
      <c r="D96" s="70"/>
      <c r="E96" s="70"/>
      <c r="F96" s="70"/>
      <c r="G96" s="70"/>
      <c r="H96" s="70"/>
      <c r="I96" s="70"/>
      <c r="J96" s="70"/>
      <c r="K96" s="70"/>
      <c r="L96" s="70"/>
      <c r="M96" s="70"/>
      <c r="N96" s="70"/>
      <c r="O96" s="70"/>
      <c r="P96" s="70"/>
      <c r="Q96" s="70"/>
      <c r="R96" s="70"/>
      <c r="S96" s="70"/>
    </row>
    <row r="97" spans="1:19" x14ac:dyDescent="0.2">
      <c r="A97" s="70"/>
      <c r="B97" s="70"/>
      <c r="C97" s="70"/>
      <c r="D97" s="70"/>
      <c r="E97" s="70"/>
      <c r="F97" s="70"/>
      <c r="G97" s="70"/>
      <c r="H97" s="70"/>
      <c r="I97" s="70"/>
      <c r="J97" s="70"/>
      <c r="K97" s="70"/>
      <c r="L97" s="70"/>
      <c r="M97" s="70"/>
      <c r="N97" s="70"/>
      <c r="O97" s="70"/>
      <c r="P97" s="70"/>
      <c r="Q97" s="70"/>
      <c r="R97" s="70"/>
      <c r="S97" s="70"/>
    </row>
  </sheetData>
  <mergeCells count="131">
    <mergeCell ref="D73:I73"/>
    <mergeCell ref="J73:R73"/>
    <mergeCell ref="A84:F88"/>
    <mergeCell ref="N84:S88"/>
    <mergeCell ref="A89:G89"/>
    <mergeCell ref="H89:M89"/>
    <mergeCell ref="N89:O89"/>
    <mergeCell ref="P89:R89"/>
    <mergeCell ref="A83:G83"/>
    <mergeCell ref="H83:M83"/>
    <mergeCell ref="N83:S83"/>
    <mergeCell ref="D74:I74"/>
    <mergeCell ref="J74:R74"/>
    <mergeCell ref="B78:R80"/>
    <mergeCell ref="A82:G82"/>
    <mergeCell ref="N82:S82"/>
    <mergeCell ref="D72:I72"/>
    <mergeCell ref="J72:R72"/>
    <mergeCell ref="D62:I62"/>
    <mergeCell ref="J62:R62"/>
    <mergeCell ref="D63:I63"/>
    <mergeCell ref="J63:R63"/>
    <mergeCell ref="D64:I64"/>
    <mergeCell ref="J64:R64"/>
    <mergeCell ref="D65:I65"/>
    <mergeCell ref="J65:R65"/>
    <mergeCell ref="D66:I66"/>
    <mergeCell ref="J66:R66"/>
    <mergeCell ref="D67:I67"/>
    <mergeCell ref="J67:R67"/>
    <mergeCell ref="D68:I68"/>
    <mergeCell ref="J68:R68"/>
    <mergeCell ref="B70:R70"/>
    <mergeCell ref="D71:I71"/>
    <mergeCell ref="J71:R71"/>
    <mergeCell ref="B57:R57"/>
    <mergeCell ref="D58:I58"/>
    <mergeCell ref="J58:R58"/>
    <mergeCell ref="D59:I59"/>
    <mergeCell ref="J59:R59"/>
    <mergeCell ref="D60:I60"/>
    <mergeCell ref="J60:R60"/>
    <mergeCell ref="D61:I61"/>
    <mergeCell ref="J61:R61"/>
    <mergeCell ref="D51:I51"/>
    <mergeCell ref="J51:R51"/>
    <mergeCell ref="D52:I52"/>
    <mergeCell ref="J52:R52"/>
    <mergeCell ref="D53:I53"/>
    <mergeCell ref="J53:R53"/>
    <mergeCell ref="D54:I54"/>
    <mergeCell ref="J54:R54"/>
    <mergeCell ref="D55:I55"/>
    <mergeCell ref="J55:R55"/>
    <mergeCell ref="D46:I46"/>
    <mergeCell ref="J46:R46"/>
    <mergeCell ref="D47:I47"/>
    <mergeCell ref="J47:R47"/>
    <mergeCell ref="D48:I48"/>
    <mergeCell ref="J48:R48"/>
    <mergeCell ref="D49:I49"/>
    <mergeCell ref="J49:R49"/>
    <mergeCell ref="D50:I50"/>
    <mergeCell ref="J50:R50"/>
    <mergeCell ref="D40:I40"/>
    <mergeCell ref="J40:R40"/>
    <mergeCell ref="D41:I41"/>
    <mergeCell ref="J41:R41"/>
    <mergeCell ref="B43:R43"/>
    <mergeCell ref="D44:I44"/>
    <mergeCell ref="J44:R44"/>
    <mergeCell ref="D45:I45"/>
    <mergeCell ref="J45:R45"/>
    <mergeCell ref="D38:I38"/>
    <mergeCell ref="J38:R38"/>
    <mergeCell ref="D39:I39"/>
    <mergeCell ref="J39:R39"/>
    <mergeCell ref="B27:S27"/>
    <mergeCell ref="L28:R28"/>
    <mergeCell ref="B29:I29"/>
    <mergeCell ref="L29:R29"/>
    <mergeCell ref="B30:I30"/>
    <mergeCell ref="L30:R30"/>
    <mergeCell ref="D35:I35"/>
    <mergeCell ref="J35:R35"/>
    <mergeCell ref="D36:I36"/>
    <mergeCell ref="J36:R36"/>
    <mergeCell ref="D37:I37"/>
    <mergeCell ref="J37:R37"/>
    <mergeCell ref="B31:I31"/>
    <mergeCell ref="B33:S33"/>
    <mergeCell ref="B34:S34"/>
    <mergeCell ref="C18:I18"/>
    <mergeCell ref="M18:R18"/>
    <mergeCell ref="C19:I19"/>
    <mergeCell ref="M19:R19"/>
    <mergeCell ref="B21:J21"/>
    <mergeCell ref="L21:S21"/>
    <mergeCell ref="C22:I22"/>
    <mergeCell ref="M22:R22"/>
    <mergeCell ref="C23:I23"/>
    <mergeCell ref="M23:R23"/>
    <mergeCell ref="B13:S13"/>
    <mergeCell ref="B14:J14"/>
    <mergeCell ref="L14:S14"/>
    <mergeCell ref="C15:I15"/>
    <mergeCell ref="M15:R15"/>
    <mergeCell ref="C16:I16"/>
    <mergeCell ref="M16:R16"/>
    <mergeCell ref="C17:I17"/>
    <mergeCell ref="M17:R17"/>
    <mergeCell ref="Q1:S1"/>
    <mergeCell ref="A2:S2"/>
    <mergeCell ref="A3:S3"/>
    <mergeCell ref="B5:D5"/>
    <mergeCell ref="F5:S5"/>
    <mergeCell ref="C6:D6"/>
    <mergeCell ref="F6:S6"/>
    <mergeCell ref="C11:D11"/>
    <mergeCell ref="F11:S11"/>
    <mergeCell ref="C7:D7"/>
    <mergeCell ref="F7:I7"/>
    <mergeCell ref="J7:K7"/>
    <mergeCell ref="L7:M7"/>
    <mergeCell ref="N7:O7"/>
    <mergeCell ref="P7:S7"/>
    <mergeCell ref="C10:D10"/>
    <mergeCell ref="F10:S10"/>
    <mergeCell ref="F8:S8"/>
    <mergeCell ref="C9:D9"/>
    <mergeCell ref="F9:S9"/>
  </mergeCells>
  <pageMargins left="0.45" right="0.23" top="0.61" bottom="0.47" header="0.35" footer="0.4"/>
  <pageSetup paperSize="9"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8977" r:id="rId4" name="Check Box 1">
              <controlPr locked="0" defaultSize="0" autoFill="0" autoLine="0" autoPict="0">
                <anchor moveWithCells="1">
                  <from>
                    <xdr:col>9</xdr:col>
                    <xdr:colOff>9525</xdr:colOff>
                    <xdr:row>14</xdr:row>
                    <xdr:rowOff>0</xdr:rowOff>
                  </from>
                  <to>
                    <xdr:col>10</xdr:col>
                    <xdr:colOff>38100</xdr:colOff>
                    <xdr:row>15</xdr:row>
                    <xdr:rowOff>19050</xdr:rowOff>
                  </to>
                </anchor>
              </controlPr>
            </control>
          </mc:Choice>
        </mc:AlternateContent>
        <mc:AlternateContent xmlns:mc="http://schemas.openxmlformats.org/markup-compatibility/2006">
          <mc:Choice Requires="x14">
            <control shapeId="638978" r:id="rId5" name="Check Box 2">
              <controlPr locked="0" defaultSize="0" autoFill="0" autoLine="0" autoPict="0">
                <anchor moveWithCells="1">
                  <from>
                    <xdr:col>9</xdr:col>
                    <xdr:colOff>9525</xdr:colOff>
                    <xdr:row>15</xdr:row>
                    <xdr:rowOff>0</xdr:rowOff>
                  </from>
                  <to>
                    <xdr:col>10</xdr:col>
                    <xdr:colOff>38100</xdr:colOff>
                    <xdr:row>16</xdr:row>
                    <xdr:rowOff>19050</xdr:rowOff>
                  </to>
                </anchor>
              </controlPr>
            </control>
          </mc:Choice>
        </mc:AlternateContent>
        <mc:AlternateContent xmlns:mc="http://schemas.openxmlformats.org/markup-compatibility/2006">
          <mc:Choice Requires="x14">
            <control shapeId="638979" r:id="rId6" name="Check Box 3">
              <controlPr locked="0" defaultSize="0" autoFill="0" autoLine="0" autoPict="0">
                <anchor moveWithCells="1">
                  <from>
                    <xdr:col>9</xdr:col>
                    <xdr:colOff>9525</xdr:colOff>
                    <xdr:row>16</xdr:row>
                    <xdr:rowOff>0</xdr:rowOff>
                  </from>
                  <to>
                    <xdr:col>10</xdr:col>
                    <xdr:colOff>38100</xdr:colOff>
                    <xdr:row>17</xdr:row>
                    <xdr:rowOff>19050</xdr:rowOff>
                  </to>
                </anchor>
              </controlPr>
            </control>
          </mc:Choice>
        </mc:AlternateContent>
        <mc:AlternateContent xmlns:mc="http://schemas.openxmlformats.org/markup-compatibility/2006">
          <mc:Choice Requires="x14">
            <control shapeId="638980" r:id="rId7" name="Check Box 4">
              <controlPr locked="0" defaultSize="0" autoFill="0" autoLine="0" autoPict="0">
                <anchor moveWithCells="1">
                  <from>
                    <xdr:col>9</xdr:col>
                    <xdr:colOff>9525</xdr:colOff>
                    <xdr:row>17</xdr:row>
                    <xdr:rowOff>0</xdr:rowOff>
                  </from>
                  <to>
                    <xdr:col>10</xdr:col>
                    <xdr:colOff>38100</xdr:colOff>
                    <xdr:row>18</xdr:row>
                    <xdr:rowOff>19050</xdr:rowOff>
                  </to>
                </anchor>
              </controlPr>
            </control>
          </mc:Choice>
        </mc:AlternateContent>
        <mc:AlternateContent xmlns:mc="http://schemas.openxmlformats.org/markup-compatibility/2006">
          <mc:Choice Requires="x14">
            <control shapeId="638981" r:id="rId8" name="Check Box 5">
              <controlPr locked="0" defaultSize="0" autoFill="0" autoLine="0" autoPict="0">
                <anchor moveWithCells="1">
                  <from>
                    <xdr:col>9</xdr:col>
                    <xdr:colOff>9525</xdr:colOff>
                    <xdr:row>18</xdr:row>
                    <xdr:rowOff>0</xdr:rowOff>
                  </from>
                  <to>
                    <xdr:col>10</xdr:col>
                    <xdr:colOff>38100</xdr:colOff>
                    <xdr:row>19</xdr:row>
                    <xdr:rowOff>19050</xdr:rowOff>
                  </to>
                </anchor>
              </controlPr>
            </control>
          </mc:Choice>
        </mc:AlternateContent>
        <mc:AlternateContent xmlns:mc="http://schemas.openxmlformats.org/markup-compatibility/2006">
          <mc:Choice Requires="x14">
            <control shapeId="638982" r:id="rId9" name="Check Box 6">
              <controlPr locked="0" defaultSize="0" autoFill="0" autoLine="0" autoPict="0">
                <anchor moveWithCells="1">
                  <from>
                    <xdr:col>9</xdr:col>
                    <xdr:colOff>9525</xdr:colOff>
                    <xdr:row>20</xdr:row>
                    <xdr:rowOff>180975</xdr:rowOff>
                  </from>
                  <to>
                    <xdr:col>10</xdr:col>
                    <xdr:colOff>38100</xdr:colOff>
                    <xdr:row>22</xdr:row>
                    <xdr:rowOff>0</xdr:rowOff>
                  </to>
                </anchor>
              </controlPr>
            </control>
          </mc:Choice>
        </mc:AlternateContent>
        <mc:AlternateContent xmlns:mc="http://schemas.openxmlformats.org/markup-compatibility/2006">
          <mc:Choice Requires="x14">
            <control shapeId="638983" r:id="rId10" name="Check Box 7">
              <controlPr locked="0" defaultSize="0" autoFill="0" autoLine="0" autoPict="0">
                <anchor moveWithCells="1">
                  <from>
                    <xdr:col>9</xdr:col>
                    <xdr:colOff>9525</xdr:colOff>
                    <xdr:row>21</xdr:row>
                    <xdr:rowOff>180975</xdr:rowOff>
                  </from>
                  <to>
                    <xdr:col>10</xdr:col>
                    <xdr:colOff>38100</xdr:colOff>
                    <xdr:row>23</xdr:row>
                    <xdr:rowOff>0</xdr:rowOff>
                  </to>
                </anchor>
              </controlPr>
            </control>
          </mc:Choice>
        </mc:AlternateContent>
        <mc:AlternateContent xmlns:mc="http://schemas.openxmlformats.org/markup-compatibility/2006">
          <mc:Choice Requires="x14">
            <control shapeId="638984" r:id="rId11" name="Check Box 8">
              <controlPr locked="0" defaultSize="0" autoFill="0" autoLine="0" autoPict="0">
                <anchor moveWithCells="1">
                  <from>
                    <xdr:col>9</xdr:col>
                    <xdr:colOff>9525</xdr:colOff>
                    <xdr:row>22</xdr:row>
                    <xdr:rowOff>171450</xdr:rowOff>
                  </from>
                  <to>
                    <xdr:col>10</xdr:col>
                    <xdr:colOff>38100</xdr:colOff>
                    <xdr:row>24</xdr:row>
                    <xdr:rowOff>0</xdr:rowOff>
                  </to>
                </anchor>
              </controlPr>
            </control>
          </mc:Choice>
        </mc:AlternateContent>
        <mc:AlternateContent xmlns:mc="http://schemas.openxmlformats.org/markup-compatibility/2006">
          <mc:Choice Requires="x14">
            <control shapeId="638985" r:id="rId12" name="Check Box 9">
              <controlPr locked="0" defaultSize="0" autoFill="0" autoLine="0" autoPict="0">
                <anchor moveWithCells="1">
                  <from>
                    <xdr:col>9</xdr:col>
                    <xdr:colOff>9525</xdr:colOff>
                    <xdr:row>23</xdr:row>
                    <xdr:rowOff>180975</xdr:rowOff>
                  </from>
                  <to>
                    <xdr:col>10</xdr:col>
                    <xdr:colOff>38100</xdr:colOff>
                    <xdr:row>25</xdr:row>
                    <xdr:rowOff>19050</xdr:rowOff>
                  </to>
                </anchor>
              </controlPr>
            </control>
          </mc:Choice>
        </mc:AlternateContent>
        <mc:AlternateContent xmlns:mc="http://schemas.openxmlformats.org/markup-compatibility/2006">
          <mc:Choice Requires="x14">
            <control shapeId="638986" r:id="rId13" name="Check Box 10">
              <controlPr locked="0" defaultSize="0" autoFill="0" autoLine="0" autoPict="0">
                <anchor moveWithCells="1">
                  <from>
                    <xdr:col>18</xdr:col>
                    <xdr:colOff>9525</xdr:colOff>
                    <xdr:row>15</xdr:row>
                    <xdr:rowOff>180975</xdr:rowOff>
                  </from>
                  <to>
                    <xdr:col>18</xdr:col>
                    <xdr:colOff>323850</xdr:colOff>
                    <xdr:row>17</xdr:row>
                    <xdr:rowOff>0</xdr:rowOff>
                  </to>
                </anchor>
              </controlPr>
            </control>
          </mc:Choice>
        </mc:AlternateContent>
        <mc:AlternateContent xmlns:mc="http://schemas.openxmlformats.org/markup-compatibility/2006">
          <mc:Choice Requires="x14">
            <control shapeId="638987" r:id="rId14" name="Check Box 11">
              <controlPr locked="0" defaultSize="0" autoFill="0" autoLine="0" autoPict="0">
                <anchor moveWithCells="1">
                  <from>
                    <xdr:col>18</xdr:col>
                    <xdr:colOff>9525</xdr:colOff>
                    <xdr:row>18</xdr:row>
                    <xdr:rowOff>0</xdr:rowOff>
                  </from>
                  <to>
                    <xdr:col>18</xdr:col>
                    <xdr:colOff>323850</xdr:colOff>
                    <xdr:row>19</xdr:row>
                    <xdr:rowOff>19050</xdr:rowOff>
                  </to>
                </anchor>
              </controlPr>
            </control>
          </mc:Choice>
        </mc:AlternateContent>
        <mc:AlternateContent xmlns:mc="http://schemas.openxmlformats.org/markup-compatibility/2006">
          <mc:Choice Requires="x14">
            <control shapeId="638988" r:id="rId15" name="Check Box 12">
              <controlPr locked="0" defaultSize="0" autoFill="0" autoLine="0" autoPict="0">
                <anchor moveWithCells="1">
                  <from>
                    <xdr:col>18</xdr:col>
                    <xdr:colOff>9525</xdr:colOff>
                    <xdr:row>14</xdr:row>
                    <xdr:rowOff>180975</xdr:rowOff>
                  </from>
                  <to>
                    <xdr:col>18</xdr:col>
                    <xdr:colOff>323850</xdr:colOff>
                    <xdr:row>16</xdr:row>
                    <xdr:rowOff>0</xdr:rowOff>
                  </to>
                </anchor>
              </controlPr>
            </control>
          </mc:Choice>
        </mc:AlternateContent>
        <mc:AlternateContent xmlns:mc="http://schemas.openxmlformats.org/markup-compatibility/2006">
          <mc:Choice Requires="x14">
            <control shapeId="638989" r:id="rId16" name="Check Box 13">
              <controlPr locked="0" defaultSize="0" autoFill="0" autoLine="0" autoPict="0">
                <anchor moveWithCells="1">
                  <from>
                    <xdr:col>18</xdr:col>
                    <xdr:colOff>9525</xdr:colOff>
                    <xdr:row>16</xdr:row>
                    <xdr:rowOff>180975</xdr:rowOff>
                  </from>
                  <to>
                    <xdr:col>18</xdr:col>
                    <xdr:colOff>323850</xdr:colOff>
                    <xdr:row>18</xdr:row>
                    <xdr:rowOff>0</xdr:rowOff>
                  </to>
                </anchor>
              </controlPr>
            </control>
          </mc:Choice>
        </mc:AlternateContent>
        <mc:AlternateContent xmlns:mc="http://schemas.openxmlformats.org/markup-compatibility/2006">
          <mc:Choice Requires="x14">
            <control shapeId="638990" r:id="rId17" name="Check Box 14">
              <controlPr locked="0" defaultSize="0" autoFill="0" autoLine="0" autoPict="0">
                <anchor moveWithCells="1">
                  <from>
                    <xdr:col>9</xdr:col>
                    <xdr:colOff>9525</xdr:colOff>
                    <xdr:row>29</xdr:row>
                    <xdr:rowOff>180975</xdr:rowOff>
                  </from>
                  <to>
                    <xdr:col>10</xdr:col>
                    <xdr:colOff>38100</xdr:colOff>
                    <xdr:row>31</xdr:row>
                    <xdr:rowOff>0</xdr:rowOff>
                  </to>
                </anchor>
              </controlPr>
            </control>
          </mc:Choice>
        </mc:AlternateContent>
        <mc:AlternateContent xmlns:mc="http://schemas.openxmlformats.org/markup-compatibility/2006">
          <mc:Choice Requires="x14">
            <control shapeId="638991" r:id="rId18" name="Check Box 15">
              <controlPr locked="0" defaultSize="0" autoFill="0" autoLine="0" autoPict="0">
                <anchor moveWithCells="1">
                  <from>
                    <xdr:col>9</xdr:col>
                    <xdr:colOff>9525</xdr:colOff>
                    <xdr:row>26</xdr:row>
                    <xdr:rowOff>180975</xdr:rowOff>
                  </from>
                  <to>
                    <xdr:col>10</xdr:col>
                    <xdr:colOff>38100</xdr:colOff>
                    <xdr:row>28</xdr:row>
                    <xdr:rowOff>0</xdr:rowOff>
                  </to>
                </anchor>
              </controlPr>
            </control>
          </mc:Choice>
        </mc:AlternateContent>
        <mc:AlternateContent xmlns:mc="http://schemas.openxmlformats.org/markup-compatibility/2006">
          <mc:Choice Requires="x14">
            <control shapeId="638992" r:id="rId19" name="Check Box 16">
              <controlPr locked="0" defaultSize="0" autoFill="0" autoLine="0" autoPict="0">
                <anchor moveWithCells="1">
                  <from>
                    <xdr:col>9</xdr:col>
                    <xdr:colOff>9525</xdr:colOff>
                    <xdr:row>27</xdr:row>
                    <xdr:rowOff>180975</xdr:rowOff>
                  </from>
                  <to>
                    <xdr:col>10</xdr:col>
                    <xdr:colOff>38100</xdr:colOff>
                    <xdr:row>29</xdr:row>
                    <xdr:rowOff>0</xdr:rowOff>
                  </to>
                </anchor>
              </controlPr>
            </control>
          </mc:Choice>
        </mc:AlternateContent>
        <mc:AlternateContent xmlns:mc="http://schemas.openxmlformats.org/markup-compatibility/2006">
          <mc:Choice Requires="x14">
            <control shapeId="638993" r:id="rId20" name="Check Box 17">
              <controlPr locked="0" defaultSize="0" autoFill="0" autoLine="0" autoPict="0">
                <anchor moveWithCells="1">
                  <from>
                    <xdr:col>9</xdr:col>
                    <xdr:colOff>9525</xdr:colOff>
                    <xdr:row>28</xdr:row>
                    <xdr:rowOff>171450</xdr:rowOff>
                  </from>
                  <to>
                    <xdr:col>10</xdr:col>
                    <xdr:colOff>38100</xdr:colOff>
                    <xdr:row>29</xdr:row>
                    <xdr:rowOff>190500</xdr:rowOff>
                  </to>
                </anchor>
              </controlPr>
            </control>
          </mc:Choice>
        </mc:AlternateContent>
        <mc:AlternateContent xmlns:mc="http://schemas.openxmlformats.org/markup-compatibility/2006">
          <mc:Choice Requires="x14">
            <control shapeId="638994" r:id="rId21" name="Check Box 18">
              <controlPr locked="0" defaultSize="0" autoFill="0" autoLine="0" autoPict="0">
                <anchor moveWithCells="1">
                  <from>
                    <xdr:col>18</xdr:col>
                    <xdr:colOff>9525</xdr:colOff>
                    <xdr:row>27</xdr:row>
                    <xdr:rowOff>0</xdr:rowOff>
                  </from>
                  <to>
                    <xdr:col>18</xdr:col>
                    <xdr:colOff>323850</xdr:colOff>
                    <xdr:row>28</xdr:row>
                    <xdr:rowOff>19050</xdr:rowOff>
                  </to>
                </anchor>
              </controlPr>
            </control>
          </mc:Choice>
        </mc:AlternateContent>
        <mc:AlternateContent xmlns:mc="http://schemas.openxmlformats.org/markup-compatibility/2006">
          <mc:Choice Requires="x14">
            <control shapeId="638995" r:id="rId22" name="Check Box 19">
              <controlPr locked="0" defaultSize="0" autoFill="0" autoLine="0" autoPict="0">
                <anchor moveWithCells="1">
                  <from>
                    <xdr:col>18</xdr:col>
                    <xdr:colOff>9525</xdr:colOff>
                    <xdr:row>28</xdr:row>
                    <xdr:rowOff>0</xdr:rowOff>
                  </from>
                  <to>
                    <xdr:col>18</xdr:col>
                    <xdr:colOff>323850</xdr:colOff>
                    <xdr:row>29</xdr:row>
                    <xdr:rowOff>19050</xdr:rowOff>
                  </to>
                </anchor>
              </controlPr>
            </control>
          </mc:Choice>
        </mc:AlternateContent>
        <mc:AlternateContent xmlns:mc="http://schemas.openxmlformats.org/markup-compatibility/2006">
          <mc:Choice Requires="x14">
            <control shapeId="638996" r:id="rId23" name="Check Box 20">
              <controlPr locked="0" defaultSize="0" autoFill="0" autoLine="0" autoPict="0">
                <anchor moveWithCells="1">
                  <from>
                    <xdr:col>18</xdr:col>
                    <xdr:colOff>9525</xdr:colOff>
                    <xdr:row>29</xdr:row>
                    <xdr:rowOff>0</xdr:rowOff>
                  </from>
                  <to>
                    <xdr:col>18</xdr:col>
                    <xdr:colOff>323850</xdr:colOff>
                    <xdr:row>30</xdr:row>
                    <xdr:rowOff>19050</xdr:rowOff>
                  </to>
                </anchor>
              </controlPr>
            </control>
          </mc:Choice>
        </mc:AlternateContent>
        <mc:AlternateContent xmlns:mc="http://schemas.openxmlformats.org/markup-compatibility/2006">
          <mc:Choice Requires="x14">
            <control shapeId="638997" r:id="rId24" name="Check Box 21">
              <controlPr locked="0" defaultSize="0" autoFill="0" autoLine="0" autoPict="0">
                <anchor moveWithCells="1">
                  <from>
                    <xdr:col>2</xdr:col>
                    <xdr:colOff>180975</xdr:colOff>
                    <xdr:row>34</xdr:row>
                    <xdr:rowOff>152400</xdr:rowOff>
                  </from>
                  <to>
                    <xdr:col>2</xdr:col>
                    <xdr:colOff>495300</xdr:colOff>
                    <xdr:row>34</xdr:row>
                    <xdr:rowOff>371475</xdr:rowOff>
                  </to>
                </anchor>
              </controlPr>
            </control>
          </mc:Choice>
        </mc:AlternateContent>
        <mc:AlternateContent xmlns:mc="http://schemas.openxmlformats.org/markup-compatibility/2006">
          <mc:Choice Requires="x14">
            <control shapeId="638998" r:id="rId25" name="Check Box 22">
              <controlPr locked="0" defaultSize="0" autoFill="0" autoLine="0" autoPict="0">
                <anchor moveWithCells="1">
                  <from>
                    <xdr:col>2</xdr:col>
                    <xdr:colOff>180975</xdr:colOff>
                    <xdr:row>35</xdr:row>
                    <xdr:rowOff>142875</xdr:rowOff>
                  </from>
                  <to>
                    <xdr:col>2</xdr:col>
                    <xdr:colOff>495300</xdr:colOff>
                    <xdr:row>35</xdr:row>
                    <xdr:rowOff>361950</xdr:rowOff>
                  </to>
                </anchor>
              </controlPr>
            </control>
          </mc:Choice>
        </mc:AlternateContent>
        <mc:AlternateContent xmlns:mc="http://schemas.openxmlformats.org/markup-compatibility/2006">
          <mc:Choice Requires="x14">
            <control shapeId="638999" r:id="rId26" name="Check Box 23">
              <controlPr locked="0" defaultSize="0" autoFill="0" autoLine="0" autoPict="0">
                <anchor moveWithCells="1">
                  <from>
                    <xdr:col>2</xdr:col>
                    <xdr:colOff>180975</xdr:colOff>
                    <xdr:row>36</xdr:row>
                    <xdr:rowOff>200025</xdr:rowOff>
                  </from>
                  <to>
                    <xdr:col>2</xdr:col>
                    <xdr:colOff>495300</xdr:colOff>
                    <xdr:row>36</xdr:row>
                    <xdr:rowOff>419100</xdr:rowOff>
                  </to>
                </anchor>
              </controlPr>
            </control>
          </mc:Choice>
        </mc:AlternateContent>
        <mc:AlternateContent xmlns:mc="http://schemas.openxmlformats.org/markup-compatibility/2006">
          <mc:Choice Requires="x14">
            <control shapeId="639000" r:id="rId27" name="Check Box 24">
              <controlPr locked="0" defaultSize="0" autoFill="0" autoLine="0" autoPict="0">
                <anchor moveWithCells="1">
                  <from>
                    <xdr:col>2</xdr:col>
                    <xdr:colOff>180975</xdr:colOff>
                    <xdr:row>37</xdr:row>
                    <xdr:rowOff>190500</xdr:rowOff>
                  </from>
                  <to>
                    <xdr:col>2</xdr:col>
                    <xdr:colOff>495300</xdr:colOff>
                    <xdr:row>37</xdr:row>
                    <xdr:rowOff>409575</xdr:rowOff>
                  </to>
                </anchor>
              </controlPr>
            </control>
          </mc:Choice>
        </mc:AlternateContent>
        <mc:AlternateContent xmlns:mc="http://schemas.openxmlformats.org/markup-compatibility/2006">
          <mc:Choice Requires="x14">
            <control shapeId="639001" r:id="rId28" name="Check Box 25">
              <controlPr locked="0" defaultSize="0" autoFill="0" autoLine="0" autoPict="0">
                <anchor moveWithCells="1">
                  <from>
                    <xdr:col>2</xdr:col>
                    <xdr:colOff>180975</xdr:colOff>
                    <xdr:row>38</xdr:row>
                    <xdr:rowOff>190500</xdr:rowOff>
                  </from>
                  <to>
                    <xdr:col>2</xdr:col>
                    <xdr:colOff>495300</xdr:colOff>
                    <xdr:row>38</xdr:row>
                    <xdr:rowOff>409575</xdr:rowOff>
                  </to>
                </anchor>
              </controlPr>
            </control>
          </mc:Choice>
        </mc:AlternateContent>
        <mc:AlternateContent xmlns:mc="http://schemas.openxmlformats.org/markup-compatibility/2006">
          <mc:Choice Requires="x14">
            <control shapeId="639002" r:id="rId29" name="Check Box 26">
              <controlPr locked="0" defaultSize="0" autoFill="0" autoLine="0" autoPict="0">
                <anchor moveWithCells="1">
                  <from>
                    <xdr:col>2</xdr:col>
                    <xdr:colOff>180975</xdr:colOff>
                    <xdr:row>40</xdr:row>
                    <xdr:rowOff>190500</xdr:rowOff>
                  </from>
                  <to>
                    <xdr:col>2</xdr:col>
                    <xdr:colOff>495300</xdr:colOff>
                    <xdr:row>40</xdr:row>
                    <xdr:rowOff>409575</xdr:rowOff>
                  </to>
                </anchor>
              </controlPr>
            </control>
          </mc:Choice>
        </mc:AlternateContent>
        <mc:AlternateContent xmlns:mc="http://schemas.openxmlformats.org/markup-compatibility/2006">
          <mc:Choice Requires="x14">
            <control shapeId="639003" r:id="rId30" name="Check Box 27">
              <controlPr locked="0" defaultSize="0" autoFill="0" autoLine="0" autoPict="0">
                <anchor moveWithCells="1">
                  <from>
                    <xdr:col>2</xdr:col>
                    <xdr:colOff>180975</xdr:colOff>
                    <xdr:row>43</xdr:row>
                    <xdr:rowOff>190500</xdr:rowOff>
                  </from>
                  <to>
                    <xdr:col>2</xdr:col>
                    <xdr:colOff>495300</xdr:colOff>
                    <xdr:row>43</xdr:row>
                    <xdr:rowOff>409575</xdr:rowOff>
                  </to>
                </anchor>
              </controlPr>
            </control>
          </mc:Choice>
        </mc:AlternateContent>
        <mc:AlternateContent xmlns:mc="http://schemas.openxmlformats.org/markup-compatibility/2006">
          <mc:Choice Requires="x14">
            <control shapeId="639004" r:id="rId31" name="Check Box 28">
              <controlPr locked="0" defaultSize="0" autoFill="0" autoLine="0" autoPict="0">
                <anchor moveWithCells="1">
                  <from>
                    <xdr:col>2</xdr:col>
                    <xdr:colOff>180975</xdr:colOff>
                    <xdr:row>44</xdr:row>
                    <xdr:rowOff>190500</xdr:rowOff>
                  </from>
                  <to>
                    <xdr:col>2</xdr:col>
                    <xdr:colOff>495300</xdr:colOff>
                    <xdr:row>44</xdr:row>
                    <xdr:rowOff>409575</xdr:rowOff>
                  </to>
                </anchor>
              </controlPr>
            </control>
          </mc:Choice>
        </mc:AlternateContent>
        <mc:AlternateContent xmlns:mc="http://schemas.openxmlformats.org/markup-compatibility/2006">
          <mc:Choice Requires="x14">
            <control shapeId="639005" r:id="rId32" name="Check Box 29">
              <controlPr locked="0" defaultSize="0" autoFill="0" autoLine="0" autoPict="0">
                <anchor moveWithCells="1">
                  <from>
                    <xdr:col>2</xdr:col>
                    <xdr:colOff>180975</xdr:colOff>
                    <xdr:row>45</xdr:row>
                    <xdr:rowOff>352425</xdr:rowOff>
                  </from>
                  <to>
                    <xdr:col>2</xdr:col>
                    <xdr:colOff>495300</xdr:colOff>
                    <xdr:row>45</xdr:row>
                    <xdr:rowOff>571500</xdr:rowOff>
                  </to>
                </anchor>
              </controlPr>
            </control>
          </mc:Choice>
        </mc:AlternateContent>
        <mc:AlternateContent xmlns:mc="http://schemas.openxmlformats.org/markup-compatibility/2006">
          <mc:Choice Requires="x14">
            <control shapeId="639006" r:id="rId33" name="Check Box 30">
              <controlPr locked="0" defaultSize="0" autoFill="0" autoLine="0" autoPict="0">
                <anchor moveWithCells="1">
                  <from>
                    <xdr:col>2</xdr:col>
                    <xdr:colOff>180975</xdr:colOff>
                    <xdr:row>46</xdr:row>
                    <xdr:rowOff>361950</xdr:rowOff>
                  </from>
                  <to>
                    <xdr:col>2</xdr:col>
                    <xdr:colOff>495300</xdr:colOff>
                    <xdr:row>46</xdr:row>
                    <xdr:rowOff>581025</xdr:rowOff>
                  </to>
                </anchor>
              </controlPr>
            </control>
          </mc:Choice>
        </mc:AlternateContent>
        <mc:AlternateContent xmlns:mc="http://schemas.openxmlformats.org/markup-compatibility/2006">
          <mc:Choice Requires="x14">
            <control shapeId="639007" r:id="rId34" name="Check Box 31">
              <controlPr locked="0" defaultSize="0" autoFill="0" autoLine="0" autoPict="0">
                <anchor moveWithCells="1">
                  <from>
                    <xdr:col>2</xdr:col>
                    <xdr:colOff>180975</xdr:colOff>
                    <xdr:row>47</xdr:row>
                    <xdr:rowOff>180975</xdr:rowOff>
                  </from>
                  <to>
                    <xdr:col>2</xdr:col>
                    <xdr:colOff>495300</xdr:colOff>
                    <xdr:row>47</xdr:row>
                    <xdr:rowOff>400050</xdr:rowOff>
                  </to>
                </anchor>
              </controlPr>
            </control>
          </mc:Choice>
        </mc:AlternateContent>
        <mc:AlternateContent xmlns:mc="http://schemas.openxmlformats.org/markup-compatibility/2006">
          <mc:Choice Requires="x14">
            <control shapeId="639008" r:id="rId35" name="Check Box 32">
              <controlPr locked="0" defaultSize="0" autoFill="0" autoLine="0" autoPict="0">
                <anchor moveWithCells="1">
                  <from>
                    <xdr:col>2</xdr:col>
                    <xdr:colOff>180975</xdr:colOff>
                    <xdr:row>48</xdr:row>
                    <xdr:rowOff>371475</xdr:rowOff>
                  </from>
                  <to>
                    <xdr:col>2</xdr:col>
                    <xdr:colOff>495300</xdr:colOff>
                    <xdr:row>48</xdr:row>
                    <xdr:rowOff>590550</xdr:rowOff>
                  </to>
                </anchor>
              </controlPr>
            </control>
          </mc:Choice>
        </mc:AlternateContent>
        <mc:AlternateContent xmlns:mc="http://schemas.openxmlformats.org/markup-compatibility/2006">
          <mc:Choice Requires="x14">
            <control shapeId="639009" r:id="rId36" name="Check Box 33">
              <controlPr locked="0" defaultSize="0" autoFill="0" autoLine="0" autoPict="0">
                <anchor moveWithCells="1">
                  <from>
                    <xdr:col>2</xdr:col>
                    <xdr:colOff>180975</xdr:colOff>
                    <xdr:row>49</xdr:row>
                    <xdr:rowOff>152400</xdr:rowOff>
                  </from>
                  <to>
                    <xdr:col>2</xdr:col>
                    <xdr:colOff>495300</xdr:colOff>
                    <xdr:row>49</xdr:row>
                    <xdr:rowOff>371475</xdr:rowOff>
                  </to>
                </anchor>
              </controlPr>
            </control>
          </mc:Choice>
        </mc:AlternateContent>
        <mc:AlternateContent xmlns:mc="http://schemas.openxmlformats.org/markup-compatibility/2006">
          <mc:Choice Requires="x14">
            <control shapeId="639010" r:id="rId37" name="Check Box 34">
              <controlPr locked="0" defaultSize="0" autoFill="0" autoLine="0" autoPict="0">
                <anchor moveWithCells="1">
                  <from>
                    <xdr:col>2</xdr:col>
                    <xdr:colOff>180975</xdr:colOff>
                    <xdr:row>50</xdr:row>
                    <xdr:rowOff>152400</xdr:rowOff>
                  </from>
                  <to>
                    <xdr:col>2</xdr:col>
                    <xdr:colOff>495300</xdr:colOff>
                    <xdr:row>50</xdr:row>
                    <xdr:rowOff>371475</xdr:rowOff>
                  </to>
                </anchor>
              </controlPr>
            </control>
          </mc:Choice>
        </mc:AlternateContent>
        <mc:AlternateContent xmlns:mc="http://schemas.openxmlformats.org/markup-compatibility/2006">
          <mc:Choice Requires="x14">
            <control shapeId="639011" r:id="rId38" name="Check Box 35">
              <controlPr locked="0" defaultSize="0" autoFill="0" autoLine="0" autoPict="0">
                <anchor moveWithCells="1">
                  <from>
                    <xdr:col>2</xdr:col>
                    <xdr:colOff>180975</xdr:colOff>
                    <xdr:row>51</xdr:row>
                    <xdr:rowOff>142875</xdr:rowOff>
                  </from>
                  <to>
                    <xdr:col>2</xdr:col>
                    <xdr:colOff>495300</xdr:colOff>
                    <xdr:row>51</xdr:row>
                    <xdr:rowOff>361950</xdr:rowOff>
                  </to>
                </anchor>
              </controlPr>
            </control>
          </mc:Choice>
        </mc:AlternateContent>
        <mc:AlternateContent xmlns:mc="http://schemas.openxmlformats.org/markup-compatibility/2006">
          <mc:Choice Requires="x14">
            <control shapeId="639012" r:id="rId39" name="Check Box 36">
              <controlPr locked="0" defaultSize="0" autoFill="0" autoLine="0" autoPict="0">
                <anchor moveWithCells="1">
                  <from>
                    <xdr:col>2</xdr:col>
                    <xdr:colOff>180975</xdr:colOff>
                    <xdr:row>54</xdr:row>
                    <xdr:rowOff>200025</xdr:rowOff>
                  </from>
                  <to>
                    <xdr:col>2</xdr:col>
                    <xdr:colOff>495300</xdr:colOff>
                    <xdr:row>54</xdr:row>
                    <xdr:rowOff>419100</xdr:rowOff>
                  </to>
                </anchor>
              </controlPr>
            </control>
          </mc:Choice>
        </mc:AlternateContent>
        <mc:AlternateContent xmlns:mc="http://schemas.openxmlformats.org/markup-compatibility/2006">
          <mc:Choice Requires="x14">
            <control shapeId="639013" r:id="rId40" name="Check Box 37">
              <controlPr locked="0" defaultSize="0" autoFill="0" autoLine="0" autoPict="0">
                <anchor moveWithCells="1">
                  <from>
                    <xdr:col>2</xdr:col>
                    <xdr:colOff>180975</xdr:colOff>
                    <xdr:row>57</xdr:row>
                    <xdr:rowOff>209550</xdr:rowOff>
                  </from>
                  <to>
                    <xdr:col>2</xdr:col>
                    <xdr:colOff>495300</xdr:colOff>
                    <xdr:row>57</xdr:row>
                    <xdr:rowOff>428625</xdr:rowOff>
                  </to>
                </anchor>
              </controlPr>
            </control>
          </mc:Choice>
        </mc:AlternateContent>
        <mc:AlternateContent xmlns:mc="http://schemas.openxmlformats.org/markup-compatibility/2006">
          <mc:Choice Requires="x14">
            <control shapeId="639014" r:id="rId41" name="Check Box 38">
              <controlPr locked="0" defaultSize="0" autoFill="0" autoLine="0" autoPict="0">
                <anchor moveWithCells="1">
                  <from>
                    <xdr:col>2</xdr:col>
                    <xdr:colOff>180975</xdr:colOff>
                    <xdr:row>59</xdr:row>
                    <xdr:rowOff>285750</xdr:rowOff>
                  </from>
                  <to>
                    <xdr:col>2</xdr:col>
                    <xdr:colOff>495300</xdr:colOff>
                    <xdr:row>59</xdr:row>
                    <xdr:rowOff>504825</xdr:rowOff>
                  </to>
                </anchor>
              </controlPr>
            </control>
          </mc:Choice>
        </mc:AlternateContent>
        <mc:AlternateContent xmlns:mc="http://schemas.openxmlformats.org/markup-compatibility/2006">
          <mc:Choice Requires="x14">
            <control shapeId="639015" r:id="rId42" name="Check Box 39">
              <controlPr locked="0" defaultSize="0" autoFill="0" autoLine="0" autoPict="0">
                <anchor moveWithCells="1">
                  <from>
                    <xdr:col>2</xdr:col>
                    <xdr:colOff>180975</xdr:colOff>
                    <xdr:row>65</xdr:row>
                    <xdr:rowOff>266700</xdr:rowOff>
                  </from>
                  <to>
                    <xdr:col>2</xdr:col>
                    <xdr:colOff>495300</xdr:colOff>
                    <xdr:row>65</xdr:row>
                    <xdr:rowOff>485775</xdr:rowOff>
                  </to>
                </anchor>
              </controlPr>
            </control>
          </mc:Choice>
        </mc:AlternateContent>
        <mc:AlternateContent xmlns:mc="http://schemas.openxmlformats.org/markup-compatibility/2006">
          <mc:Choice Requires="x14">
            <control shapeId="639016" r:id="rId43" name="Check Box 40">
              <controlPr locked="0" defaultSize="0" autoFill="0" autoLine="0" autoPict="0">
                <anchor moveWithCells="1">
                  <from>
                    <xdr:col>2</xdr:col>
                    <xdr:colOff>180975</xdr:colOff>
                    <xdr:row>66</xdr:row>
                    <xdr:rowOff>219075</xdr:rowOff>
                  </from>
                  <to>
                    <xdr:col>2</xdr:col>
                    <xdr:colOff>495300</xdr:colOff>
                    <xdr:row>66</xdr:row>
                    <xdr:rowOff>438150</xdr:rowOff>
                  </to>
                </anchor>
              </controlPr>
            </control>
          </mc:Choice>
        </mc:AlternateContent>
        <mc:AlternateContent xmlns:mc="http://schemas.openxmlformats.org/markup-compatibility/2006">
          <mc:Choice Requires="x14">
            <control shapeId="639017" r:id="rId44" name="Check Box 41">
              <controlPr locked="0" defaultSize="0" autoFill="0" autoLine="0" autoPict="0">
                <anchor moveWithCells="1">
                  <from>
                    <xdr:col>2</xdr:col>
                    <xdr:colOff>190500</xdr:colOff>
                    <xdr:row>67</xdr:row>
                    <xdr:rowOff>190500</xdr:rowOff>
                  </from>
                  <to>
                    <xdr:col>2</xdr:col>
                    <xdr:colOff>504825</xdr:colOff>
                    <xdr:row>67</xdr:row>
                    <xdr:rowOff>409575</xdr:rowOff>
                  </to>
                </anchor>
              </controlPr>
            </control>
          </mc:Choice>
        </mc:AlternateContent>
        <mc:AlternateContent xmlns:mc="http://schemas.openxmlformats.org/markup-compatibility/2006">
          <mc:Choice Requires="x14">
            <control shapeId="639018" r:id="rId45" name="Check Box 42">
              <controlPr locked="0" defaultSize="0" autoFill="0" autoLine="0" autoPict="0">
                <anchor moveWithCells="1">
                  <from>
                    <xdr:col>2</xdr:col>
                    <xdr:colOff>180975</xdr:colOff>
                    <xdr:row>58</xdr:row>
                    <xdr:rowOff>419100</xdr:rowOff>
                  </from>
                  <to>
                    <xdr:col>2</xdr:col>
                    <xdr:colOff>495300</xdr:colOff>
                    <xdr:row>58</xdr:row>
                    <xdr:rowOff>638175</xdr:rowOff>
                  </to>
                </anchor>
              </controlPr>
            </control>
          </mc:Choice>
        </mc:AlternateContent>
        <mc:AlternateContent xmlns:mc="http://schemas.openxmlformats.org/markup-compatibility/2006">
          <mc:Choice Requires="x14">
            <control shapeId="639019" r:id="rId46" name="Check Box 43">
              <controlPr locked="0" defaultSize="0" autoFill="0" autoLine="0" autoPict="0">
                <anchor moveWithCells="1">
                  <from>
                    <xdr:col>18</xdr:col>
                    <xdr:colOff>9525</xdr:colOff>
                    <xdr:row>14</xdr:row>
                    <xdr:rowOff>0</xdr:rowOff>
                  </from>
                  <to>
                    <xdr:col>18</xdr:col>
                    <xdr:colOff>314325</xdr:colOff>
                    <xdr:row>15</xdr:row>
                    <xdr:rowOff>19050</xdr:rowOff>
                  </to>
                </anchor>
              </controlPr>
            </control>
          </mc:Choice>
        </mc:AlternateContent>
        <mc:AlternateContent xmlns:mc="http://schemas.openxmlformats.org/markup-compatibility/2006">
          <mc:Choice Requires="x14">
            <control shapeId="639020" r:id="rId47" name="Check Box 44">
              <controlPr locked="0" defaultSize="0" autoFill="0" autoLine="0" autoPict="0">
                <anchor moveWithCells="1">
                  <from>
                    <xdr:col>18</xdr:col>
                    <xdr:colOff>9525</xdr:colOff>
                    <xdr:row>20</xdr:row>
                    <xdr:rowOff>190500</xdr:rowOff>
                  </from>
                  <to>
                    <xdr:col>18</xdr:col>
                    <xdr:colOff>323850</xdr:colOff>
                    <xdr:row>22</xdr:row>
                    <xdr:rowOff>9525</xdr:rowOff>
                  </to>
                </anchor>
              </controlPr>
            </control>
          </mc:Choice>
        </mc:AlternateContent>
        <mc:AlternateContent xmlns:mc="http://schemas.openxmlformats.org/markup-compatibility/2006">
          <mc:Choice Requires="x14">
            <control shapeId="639021" r:id="rId48" name="Check Box 45">
              <controlPr locked="0" defaultSize="0" autoFill="0" autoLine="0" autoPict="0">
                <anchor moveWithCells="1">
                  <from>
                    <xdr:col>2</xdr:col>
                    <xdr:colOff>180975</xdr:colOff>
                    <xdr:row>60</xdr:row>
                    <xdr:rowOff>285750</xdr:rowOff>
                  </from>
                  <to>
                    <xdr:col>2</xdr:col>
                    <xdr:colOff>495300</xdr:colOff>
                    <xdr:row>60</xdr:row>
                    <xdr:rowOff>504825</xdr:rowOff>
                  </to>
                </anchor>
              </controlPr>
            </control>
          </mc:Choice>
        </mc:AlternateContent>
        <mc:AlternateContent xmlns:mc="http://schemas.openxmlformats.org/markup-compatibility/2006">
          <mc:Choice Requires="x14">
            <control shapeId="639022" r:id="rId49" name="Check Box 46">
              <controlPr locked="0" defaultSize="0" autoFill="0" autoLine="0" autoPict="0">
                <anchor moveWithCells="1">
                  <from>
                    <xdr:col>2</xdr:col>
                    <xdr:colOff>180975</xdr:colOff>
                    <xdr:row>63</xdr:row>
                    <xdr:rowOff>352425</xdr:rowOff>
                  </from>
                  <to>
                    <xdr:col>2</xdr:col>
                    <xdr:colOff>495300</xdr:colOff>
                    <xdr:row>63</xdr:row>
                    <xdr:rowOff>571500</xdr:rowOff>
                  </to>
                </anchor>
              </controlPr>
            </control>
          </mc:Choice>
        </mc:AlternateContent>
        <mc:AlternateContent xmlns:mc="http://schemas.openxmlformats.org/markup-compatibility/2006">
          <mc:Choice Requires="x14">
            <control shapeId="639023" r:id="rId50" name="Check Box 47">
              <controlPr locked="0" defaultSize="0" autoFill="0" autoLine="0" autoPict="0">
                <anchor moveWithCells="1">
                  <from>
                    <xdr:col>2</xdr:col>
                    <xdr:colOff>180975</xdr:colOff>
                    <xdr:row>64</xdr:row>
                    <xdr:rowOff>285750</xdr:rowOff>
                  </from>
                  <to>
                    <xdr:col>2</xdr:col>
                    <xdr:colOff>495300</xdr:colOff>
                    <xdr:row>64</xdr:row>
                    <xdr:rowOff>504825</xdr:rowOff>
                  </to>
                </anchor>
              </controlPr>
            </control>
          </mc:Choice>
        </mc:AlternateContent>
        <mc:AlternateContent xmlns:mc="http://schemas.openxmlformats.org/markup-compatibility/2006">
          <mc:Choice Requires="x14">
            <control shapeId="639024" r:id="rId51" name="Check Box 48">
              <controlPr locked="0" defaultSize="0" autoFill="0" autoLine="0" autoPict="0">
                <anchor moveWithCells="1">
                  <from>
                    <xdr:col>4</xdr:col>
                    <xdr:colOff>95250</xdr:colOff>
                    <xdr:row>3</xdr:row>
                    <xdr:rowOff>180975</xdr:rowOff>
                  </from>
                  <to>
                    <xdr:col>6</xdr:col>
                    <xdr:colOff>114300</xdr:colOff>
                    <xdr:row>5</xdr:row>
                    <xdr:rowOff>9525</xdr:rowOff>
                  </to>
                </anchor>
              </controlPr>
            </control>
          </mc:Choice>
        </mc:AlternateContent>
        <mc:AlternateContent xmlns:mc="http://schemas.openxmlformats.org/markup-compatibility/2006">
          <mc:Choice Requires="x14">
            <control shapeId="639025" r:id="rId52" name="Check Box 49">
              <controlPr locked="0" defaultSize="0" autoFill="0" autoLine="0" autoPict="0">
                <anchor moveWithCells="1">
                  <from>
                    <xdr:col>6</xdr:col>
                    <xdr:colOff>142875</xdr:colOff>
                    <xdr:row>3</xdr:row>
                    <xdr:rowOff>180975</xdr:rowOff>
                  </from>
                  <to>
                    <xdr:col>6</xdr:col>
                    <xdr:colOff>600075</xdr:colOff>
                    <xdr:row>5</xdr:row>
                    <xdr:rowOff>9525</xdr:rowOff>
                  </to>
                </anchor>
              </controlPr>
            </control>
          </mc:Choice>
        </mc:AlternateContent>
        <mc:AlternateContent xmlns:mc="http://schemas.openxmlformats.org/markup-compatibility/2006">
          <mc:Choice Requires="x14">
            <control shapeId="639026" r:id="rId53" name="Check Box 50">
              <controlPr locked="0" defaultSize="0" autoFill="0" autoLine="0" autoPict="0">
                <anchor moveWithCells="1">
                  <from>
                    <xdr:col>7</xdr:col>
                    <xdr:colOff>19050</xdr:colOff>
                    <xdr:row>3</xdr:row>
                    <xdr:rowOff>180975</xdr:rowOff>
                  </from>
                  <to>
                    <xdr:col>7</xdr:col>
                    <xdr:colOff>542925</xdr:colOff>
                    <xdr:row>5</xdr:row>
                    <xdr:rowOff>9525</xdr:rowOff>
                  </to>
                </anchor>
              </controlPr>
            </control>
          </mc:Choice>
        </mc:AlternateContent>
        <mc:AlternateContent xmlns:mc="http://schemas.openxmlformats.org/markup-compatibility/2006">
          <mc:Choice Requires="x14">
            <control shapeId="639027" r:id="rId54" name="Check Box 51">
              <controlPr locked="0" defaultSize="0" autoFill="0" autoLine="0" autoPict="0">
                <anchor moveWithCells="1">
                  <from>
                    <xdr:col>7</xdr:col>
                    <xdr:colOff>581025</xdr:colOff>
                    <xdr:row>3</xdr:row>
                    <xdr:rowOff>180975</xdr:rowOff>
                  </from>
                  <to>
                    <xdr:col>8</xdr:col>
                    <xdr:colOff>447675</xdr:colOff>
                    <xdr:row>5</xdr:row>
                    <xdr:rowOff>9525</xdr:rowOff>
                  </to>
                </anchor>
              </controlPr>
            </control>
          </mc:Choice>
        </mc:AlternateContent>
        <mc:AlternateContent xmlns:mc="http://schemas.openxmlformats.org/markup-compatibility/2006">
          <mc:Choice Requires="x14">
            <control shapeId="639028" r:id="rId55" name="Check Box 52">
              <controlPr locked="0" defaultSize="0" autoFill="0" autoLine="0" autoPict="0">
                <anchor moveWithCells="1">
                  <from>
                    <xdr:col>2</xdr:col>
                    <xdr:colOff>180975</xdr:colOff>
                    <xdr:row>39</xdr:row>
                    <xdr:rowOff>190500</xdr:rowOff>
                  </from>
                  <to>
                    <xdr:col>2</xdr:col>
                    <xdr:colOff>495300</xdr:colOff>
                    <xdr:row>39</xdr:row>
                    <xdr:rowOff>409575</xdr:rowOff>
                  </to>
                </anchor>
              </controlPr>
            </control>
          </mc:Choice>
        </mc:AlternateContent>
        <mc:AlternateContent xmlns:mc="http://schemas.openxmlformats.org/markup-compatibility/2006">
          <mc:Choice Requires="x14">
            <control shapeId="639029" r:id="rId56" name="Check Box 53">
              <controlPr locked="0" defaultSize="0" autoFill="0" autoLine="0" autoPict="0">
                <anchor moveWithCells="1">
                  <from>
                    <xdr:col>18</xdr:col>
                    <xdr:colOff>9525</xdr:colOff>
                    <xdr:row>21</xdr:row>
                    <xdr:rowOff>190500</xdr:rowOff>
                  </from>
                  <to>
                    <xdr:col>18</xdr:col>
                    <xdr:colOff>323850</xdr:colOff>
                    <xdr:row>23</xdr:row>
                    <xdr:rowOff>9525</xdr:rowOff>
                  </to>
                </anchor>
              </controlPr>
            </control>
          </mc:Choice>
        </mc:AlternateContent>
        <mc:AlternateContent xmlns:mc="http://schemas.openxmlformats.org/markup-compatibility/2006">
          <mc:Choice Requires="x14">
            <control shapeId="639030" r:id="rId57" name="Check Box 54">
              <controlPr locked="0" defaultSize="0" autoFill="0" autoLine="0" autoPict="0">
                <anchor moveWithCells="1">
                  <from>
                    <xdr:col>2</xdr:col>
                    <xdr:colOff>180975</xdr:colOff>
                    <xdr:row>52</xdr:row>
                    <xdr:rowOff>142875</xdr:rowOff>
                  </from>
                  <to>
                    <xdr:col>2</xdr:col>
                    <xdr:colOff>495300</xdr:colOff>
                    <xdr:row>52</xdr:row>
                    <xdr:rowOff>361950</xdr:rowOff>
                  </to>
                </anchor>
              </controlPr>
            </control>
          </mc:Choice>
        </mc:AlternateContent>
        <mc:AlternateContent xmlns:mc="http://schemas.openxmlformats.org/markup-compatibility/2006">
          <mc:Choice Requires="x14">
            <control shapeId="639031" r:id="rId58" name="Check Box 55">
              <controlPr locked="0" defaultSize="0" autoFill="0" autoLine="0" autoPict="0">
                <anchor moveWithCells="1">
                  <from>
                    <xdr:col>2</xdr:col>
                    <xdr:colOff>180975</xdr:colOff>
                    <xdr:row>53</xdr:row>
                    <xdr:rowOff>142875</xdr:rowOff>
                  </from>
                  <to>
                    <xdr:col>2</xdr:col>
                    <xdr:colOff>495300</xdr:colOff>
                    <xdr:row>53</xdr:row>
                    <xdr:rowOff>361950</xdr:rowOff>
                  </to>
                </anchor>
              </controlPr>
            </control>
          </mc:Choice>
        </mc:AlternateContent>
        <mc:AlternateContent xmlns:mc="http://schemas.openxmlformats.org/markup-compatibility/2006">
          <mc:Choice Requires="x14">
            <control shapeId="639032" r:id="rId59" name="Check Box 56">
              <controlPr locked="0" defaultSize="0" autoFill="0" autoLine="0" autoPict="0">
                <anchor moveWithCells="1">
                  <from>
                    <xdr:col>2</xdr:col>
                    <xdr:colOff>180975</xdr:colOff>
                    <xdr:row>62</xdr:row>
                    <xdr:rowOff>285750</xdr:rowOff>
                  </from>
                  <to>
                    <xdr:col>2</xdr:col>
                    <xdr:colOff>495300</xdr:colOff>
                    <xdr:row>62</xdr:row>
                    <xdr:rowOff>504825</xdr:rowOff>
                  </to>
                </anchor>
              </controlPr>
            </control>
          </mc:Choice>
        </mc:AlternateContent>
        <mc:AlternateContent xmlns:mc="http://schemas.openxmlformats.org/markup-compatibility/2006">
          <mc:Choice Requires="x14">
            <control shapeId="639033" r:id="rId60" name="Check Box 57">
              <controlPr locked="0" defaultSize="0" autoFill="0" autoLine="0" autoPict="0">
                <anchor moveWithCells="1">
                  <from>
                    <xdr:col>2</xdr:col>
                    <xdr:colOff>180975</xdr:colOff>
                    <xdr:row>61</xdr:row>
                    <xdr:rowOff>419100</xdr:rowOff>
                  </from>
                  <to>
                    <xdr:col>2</xdr:col>
                    <xdr:colOff>495300</xdr:colOff>
                    <xdr:row>61</xdr:row>
                    <xdr:rowOff>638175</xdr:rowOff>
                  </to>
                </anchor>
              </controlPr>
            </control>
          </mc:Choice>
        </mc:AlternateContent>
        <mc:AlternateContent xmlns:mc="http://schemas.openxmlformats.org/markup-compatibility/2006">
          <mc:Choice Requires="x14">
            <control shapeId="639034" r:id="rId61" name="Check Box 58">
              <controlPr locked="0" defaultSize="0" autoFill="0" autoLine="0" autoPict="0">
                <anchor moveWithCells="1">
                  <from>
                    <xdr:col>2</xdr:col>
                    <xdr:colOff>180975</xdr:colOff>
                    <xdr:row>70</xdr:row>
                    <xdr:rowOff>209550</xdr:rowOff>
                  </from>
                  <to>
                    <xdr:col>2</xdr:col>
                    <xdr:colOff>495300</xdr:colOff>
                    <xdr:row>70</xdr:row>
                    <xdr:rowOff>428625</xdr:rowOff>
                  </to>
                </anchor>
              </controlPr>
            </control>
          </mc:Choice>
        </mc:AlternateContent>
        <mc:AlternateContent xmlns:mc="http://schemas.openxmlformats.org/markup-compatibility/2006">
          <mc:Choice Requires="x14">
            <control shapeId="639035" r:id="rId62" name="Check Box 59">
              <controlPr locked="0" defaultSize="0" autoFill="0" autoLine="0" autoPict="0">
                <anchor moveWithCells="1">
                  <from>
                    <xdr:col>2</xdr:col>
                    <xdr:colOff>180975</xdr:colOff>
                    <xdr:row>73</xdr:row>
                    <xdr:rowOff>285750</xdr:rowOff>
                  </from>
                  <to>
                    <xdr:col>2</xdr:col>
                    <xdr:colOff>495300</xdr:colOff>
                    <xdr:row>73</xdr:row>
                    <xdr:rowOff>504825</xdr:rowOff>
                  </to>
                </anchor>
              </controlPr>
            </control>
          </mc:Choice>
        </mc:AlternateContent>
        <mc:AlternateContent xmlns:mc="http://schemas.openxmlformats.org/markup-compatibility/2006">
          <mc:Choice Requires="x14">
            <control shapeId="639036" r:id="rId63" name="Check Box 60">
              <controlPr locked="0" defaultSize="0" autoFill="0" autoLine="0" autoPict="0">
                <anchor moveWithCells="1">
                  <from>
                    <xdr:col>2</xdr:col>
                    <xdr:colOff>180975</xdr:colOff>
                    <xdr:row>71</xdr:row>
                    <xdr:rowOff>200025</xdr:rowOff>
                  </from>
                  <to>
                    <xdr:col>2</xdr:col>
                    <xdr:colOff>495300</xdr:colOff>
                    <xdr:row>71</xdr:row>
                    <xdr:rowOff>419100</xdr:rowOff>
                  </to>
                </anchor>
              </controlPr>
            </control>
          </mc:Choice>
        </mc:AlternateContent>
        <mc:AlternateContent xmlns:mc="http://schemas.openxmlformats.org/markup-compatibility/2006">
          <mc:Choice Requires="x14">
            <control shapeId="639037" r:id="rId64" name="Check Box 61">
              <controlPr locked="0" defaultSize="0" autoFill="0" autoLine="0" autoPict="0">
                <anchor moveWithCells="1">
                  <from>
                    <xdr:col>2</xdr:col>
                    <xdr:colOff>180975</xdr:colOff>
                    <xdr:row>72</xdr:row>
                    <xdr:rowOff>200025</xdr:rowOff>
                  </from>
                  <to>
                    <xdr:col>2</xdr:col>
                    <xdr:colOff>495300</xdr:colOff>
                    <xdr:row>72</xdr:row>
                    <xdr:rowOff>419100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showGridLines="0" topLeftCell="A40" zoomScale="85" zoomScaleNormal="85" workbookViewId="0">
      <selection activeCell="X47" sqref="X47"/>
    </sheetView>
  </sheetViews>
  <sheetFormatPr defaultRowHeight="15" x14ac:dyDescent="0.2"/>
  <cols>
    <col min="1" max="1" width="3.42578125" style="69" bestFit="1" customWidth="1"/>
    <col min="2" max="2" width="4.5703125" style="69" customWidth="1"/>
    <col min="3" max="3" width="9.28515625" style="69" customWidth="1"/>
    <col min="4" max="4" width="3.7109375" style="69" customWidth="1"/>
    <col min="5" max="5" width="3.85546875" style="69" bestFit="1" customWidth="1"/>
    <col min="6" max="9" width="9.140625" style="69" customWidth="1"/>
    <col min="10" max="10" width="2.7109375" style="69" customWidth="1"/>
    <col min="11" max="11" width="11.140625" style="69" customWidth="1"/>
    <col min="12" max="12" width="3.5703125" style="69" bestFit="1" customWidth="1"/>
    <col min="13" max="13" width="12" style="69" customWidth="1"/>
    <col min="14" max="14" width="17.42578125" style="69" bestFit="1" customWidth="1"/>
    <col min="15" max="15" width="9.140625" style="69"/>
    <col min="16" max="16" width="13.7109375" style="69" customWidth="1"/>
    <col min="17" max="18" width="9.140625" style="69"/>
    <col min="19" max="19" width="4.28515625" style="69" customWidth="1"/>
    <col min="20" max="20" width="3.140625" style="69" customWidth="1"/>
    <col min="21" max="16384" width="9.140625" style="69"/>
  </cols>
  <sheetData>
    <row r="1" spans="1:19" ht="21" x14ac:dyDescent="0.2">
      <c r="A1" s="2057"/>
      <c r="B1" s="2057"/>
      <c r="C1" s="2057"/>
      <c r="D1" s="2057"/>
      <c r="E1" s="2057"/>
      <c r="F1" s="2057"/>
      <c r="G1" s="2057"/>
      <c r="H1" s="2057"/>
      <c r="I1" s="2057"/>
      <c r="J1" s="2057"/>
      <c r="K1" s="2057"/>
      <c r="L1" s="2057"/>
      <c r="M1" s="2057"/>
      <c r="N1" s="2057"/>
      <c r="O1" s="2057"/>
      <c r="P1" s="2057"/>
      <c r="Q1" s="2892" t="s">
        <v>1505</v>
      </c>
      <c r="R1" s="2892"/>
      <c r="S1" s="2892"/>
    </row>
    <row r="2" spans="1:19" ht="18" x14ac:dyDescent="0.25">
      <c r="A2" s="2893" t="s">
        <v>1545</v>
      </c>
      <c r="B2" s="2893"/>
      <c r="C2" s="2893"/>
      <c r="D2" s="2893"/>
      <c r="E2" s="2893"/>
      <c r="F2" s="2893"/>
      <c r="G2" s="2893"/>
      <c r="H2" s="2893"/>
      <c r="I2" s="2893"/>
      <c r="J2" s="2893"/>
      <c r="K2" s="2893"/>
      <c r="L2" s="2893"/>
      <c r="M2" s="2893"/>
      <c r="N2" s="2893"/>
      <c r="O2" s="2893"/>
      <c r="P2" s="2893"/>
      <c r="Q2" s="2893"/>
      <c r="R2" s="2893"/>
      <c r="S2" s="2893"/>
    </row>
    <row r="3" spans="1:19" ht="18" x14ac:dyDescent="0.25">
      <c r="A3" s="2893" t="s">
        <v>731</v>
      </c>
      <c r="B3" s="2893"/>
      <c r="C3" s="2893"/>
      <c r="D3" s="2893"/>
      <c r="E3" s="2893"/>
      <c r="F3" s="2893"/>
      <c r="G3" s="2893"/>
      <c r="H3" s="2893"/>
      <c r="I3" s="2893"/>
      <c r="J3" s="2893"/>
      <c r="K3" s="2893"/>
      <c r="L3" s="2893"/>
      <c r="M3" s="2893"/>
      <c r="N3" s="2893"/>
      <c r="O3" s="2893"/>
      <c r="P3" s="2893"/>
      <c r="Q3" s="2893"/>
      <c r="R3" s="2893"/>
      <c r="S3" s="2893"/>
    </row>
    <row r="4" spans="1:19" x14ac:dyDescent="0.2">
      <c r="A4" s="2057"/>
      <c r="B4" s="2057"/>
      <c r="C4" s="2057"/>
      <c r="D4" s="2057"/>
      <c r="E4" s="2057"/>
      <c r="F4" s="2057"/>
      <c r="G4" s="2057"/>
      <c r="H4" s="2057"/>
      <c r="I4" s="2057"/>
      <c r="J4" s="2057"/>
      <c r="K4" s="2057"/>
      <c r="L4" s="2057"/>
      <c r="M4" s="2057"/>
      <c r="N4" s="2057"/>
      <c r="O4" s="2107"/>
      <c r="P4" s="2108"/>
      <c r="Q4" s="2108"/>
      <c r="R4" s="2108"/>
      <c r="S4" s="2057"/>
    </row>
    <row r="5" spans="1:19" ht="15.75" x14ac:dyDescent="0.25">
      <c r="A5" s="1998" t="s">
        <v>659</v>
      </c>
      <c r="B5" s="2914" t="s">
        <v>683</v>
      </c>
      <c r="C5" s="2914"/>
      <c r="D5" s="2914"/>
      <c r="E5" s="2045" t="s">
        <v>0</v>
      </c>
      <c r="F5" s="1999"/>
      <c r="G5" s="1999"/>
      <c r="H5" s="1999"/>
      <c r="I5" s="1999"/>
      <c r="J5" s="1999"/>
      <c r="K5" s="1999"/>
      <c r="L5" s="2094"/>
      <c r="M5" s="1999"/>
      <c r="N5" s="1999"/>
      <c r="O5" s="1999"/>
      <c r="P5" s="1999"/>
      <c r="Q5" s="1999"/>
      <c r="R5" s="1999"/>
      <c r="S5" s="2095"/>
    </row>
    <row r="6" spans="1:19" s="72" customFormat="1" ht="21" customHeight="1" x14ac:dyDescent="0.25">
      <c r="A6" s="2096"/>
      <c r="B6" s="2960" t="s">
        <v>732</v>
      </c>
      <c r="C6" s="2960"/>
      <c r="D6" s="2960"/>
      <c r="E6" s="2097" t="s">
        <v>0</v>
      </c>
      <c r="F6" s="2961"/>
      <c r="G6" s="2961"/>
      <c r="H6" s="2961"/>
      <c r="I6" s="2961"/>
      <c r="J6" s="2961"/>
      <c r="K6" s="2961"/>
      <c r="L6" s="2962" t="s">
        <v>733</v>
      </c>
      <c r="M6" s="2960"/>
      <c r="N6" s="2098" t="s">
        <v>0</v>
      </c>
      <c r="O6" s="2098"/>
      <c r="P6" s="2098"/>
      <c r="Q6" s="2098"/>
      <c r="R6" s="2098"/>
      <c r="S6" s="2099"/>
    </row>
    <row r="7" spans="1:19" s="72" customFormat="1" ht="21" customHeight="1" x14ac:dyDescent="0.25">
      <c r="A7" s="2096"/>
      <c r="B7" s="2963" t="s">
        <v>734</v>
      </c>
      <c r="C7" s="2963"/>
      <c r="D7" s="2963"/>
      <c r="E7" s="2097" t="s">
        <v>0</v>
      </c>
      <c r="F7" s="2964"/>
      <c r="G7" s="2964"/>
      <c r="H7" s="2964"/>
      <c r="I7" s="2964"/>
      <c r="J7" s="2964"/>
      <c r="K7" s="2964"/>
      <c r="L7" s="2965" t="s">
        <v>735</v>
      </c>
      <c r="M7" s="2963"/>
      <c r="N7" s="2100" t="s">
        <v>0</v>
      </c>
      <c r="O7" s="2100"/>
      <c r="P7" s="2100"/>
      <c r="Q7" s="2100"/>
      <c r="R7" s="2100"/>
      <c r="S7" s="2101"/>
    </row>
    <row r="8" spans="1:19" s="72" customFormat="1" ht="21" customHeight="1" x14ac:dyDescent="0.25">
      <c r="A8" s="2096"/>
      <c r="B8" s="2963" t="s">
        <v>736</v>
      </c>
      <c r="C8" s="2963"/>
      <c r="D8" s="2963"/>
      <c r="E8" s="2097" t="s">
        <v>0</v>
      </c>
      <c r="F8" s="2966"/>
      <c r="G8" s="2966"/>
      <c r="H8" s="2966"/>
      <c r="I8" s="2966"/>
      <c r="J8" s="2966"/>
      <c r="K8" s="2966"/>
      <c r="L8" s="2965" t="s">
        <v>736</v>
      </c>
      <c r="M8" s="2963"/>
      <c r="N8" s="2100" t="s">
        <v>0</v>
      </c>
      <c r="O8" s="2100"/>
      <c r="P8" s="2100"/>
      <c r="Q8" s="2100"/>
      <c r="R8" s="2100"/>
      <c r="S8" s="2101"/>
    </row>
    <row r="9" spans="1:19" ht="7.5" customHeight="1" x14ac:dyDescent="0.2">
      <c r="A9" s="2000"/>
      <c r="B9" s="2013"/>
      <c r="C9" s="2014"/>
      <c r="D9" s="2015"/>
      <c r="E9" s="2015"/>
      <c r="F9" s="2015"/>
      <c r="G9" s="2015"/>
      <c r="H9" s="2015"/>
      <c r="I9" s="2015"/>
      <c r="J9" s="2013"/>
      <c r="K9" s="2007"/>
      <c r="L9" s="2102"/>
      <c r="M9" s="2013"/>
      <c r="N9" s="2002"/>
      <c r="O9" s="2002"/>
      <c r="P9" s="2002"/>
      <c r="Q9" s="2002"/>
      <c r="R9" s="2002"/>
      <c r="S9" s="2016"/>
    </row>
    <row r="10" spans="1:19" ht="15.75" x14ac:dyDescent="0.2">
      <c r="A10" s="1998" t="s">
        <v>666</v>
      </c>
      <c r="B10" s="2905" t="s">
        <v>737</v>
      </c>
      <c r="C10" s="2905"/>
      <c r="D10" s="2905"/>
      <c r="E10" s="2905"/>
      <c r="F10" s="2905"/>
      <c r="G10" s="2905"/>
      <c r="H10" s="2905"/>
      <c r="I10" s="2905"/>
      <c r="J10" s="2905"/>
      <c r="K10" s="2905"/>
      <c r="L10" s="2905"/>
      <c r="M10" s="2905"/>
      <c r="N10" s="2905"/>
      <c r="O10" s="2905"/>
      <c r="P10" s="2905"/>
      <c r="Q10" s="2905"/>
      <c r="R10" s="2905"/>
      <c r="S10" s="2906"/>
    </row>
    <row r="11" spans="1:19" ht="15.75" customHeight="1" x14ac:dyDescent="0.2">
      <c r="A11" s="2000"/>
      <c r="B11" s="2910" t="s">
        <v>738</v>
      </c>
      <c r="C11" s="2911"/>
      <c r="D11" s="2911"/>
      <c r="E11" s="2911"/>
      <c r="F11" s="2911"/>
      <c r="G11" s="2911"/>
      <c r="H11" s="2911"/>
      <c r="I11" s="2912"/>
      <c r="J11" s="2021"/>
      <c r="K11" s="2022"/>
      <c r="L11" s="2901" t="s">
        <v>692</v>
      </c>
      <c r="M11" s="2902"/>
      <c r="N11" s="2902"/>
      <c r="O11" s="2902"/>
      <c r="P11" s="2902"/>
      <c r="Q11" s="2902"/>
      <c r="R11" s="2903"/>
      <c r="S11" s="2023"/>
    </row>
    <row r="12" spans="1:19" ht="15.75" customHeight="1" x14ac:dyDescent="0.2">
      <c r="A12" s="2000"/>
      <c r="B12" s="2901" t="s">
        <v>739</v>
      </c>
      <c r="C12" s="2902"/>
      <c r="D12" s="2902"/>
      <c r="E12" s="2902"/>
      <c r="F12" s="2902"/>
      <c r="G12" s="2902"/>
      <c r="H12" s="2902"/>
      <c r="I12" s="2903"/>
      <c r="J12" s="2024"/>
      <c r="K12" s="2022"/>
      <c r="L12" s="2913"/>
      <c r="M12" s="2913"/>
      <c r="N12" s="2913"/>
      <c r="O12" s="2913"/>
      <c r="P12" s="2913"/>
      <c r="Q12" s="2913"/>
      <c r="R12" s="2913"/>
      <c r="S12" s="2026"/>
    </row>
    <row r="13" spans="1:19" ht="15.75" customHeight="1" x14ac:dyDescent="0.2">
      <c r="A13" s="2000"/>
      <c r="B13" s="2901" t="s">
        <v>740</v>
      </c>
      <c r="C13" s="2902"/>
      <c r="D13" s="2902"/>
      <c r="E13" s="2902"/>
      <c r="F13" s="2902"/>
      <c r="G13" s="2902"/>
      <c r="H13" s="2902"/>
      <c r="I13" s="2903"/>
      <c r="J13" s="2024"/>
      <c r="K13" s="2022"/>
      <c r="L13" s="2967"/>
      <c r="M13" s="2967"/>
      <c r="N13" s="2967"/>
      <c r="O13" s="2967"/>
      <c r="P13" s="2967"/>
      <c r="Q13" s="2967"/>
      <c r="R13" s="2967"/>
      <c r="S13" s="2081"/>
    </row>
    <row r="14" spans="1:19" ht="15.75" customHeight="1" x14ac:dyDescent="0.2">
      <c r="A14" s="2000"/>
      <c r="B14" s="2901" t="s">
        <v>741</v>
      </c>
      <c r="C14" s="2902"/>
      <c r="D14" s="2902"/>
      <c r="E14" s="2902"/>
      <c r="F14" s="2902"/>
      <c r="G14" s="2902"/>
      <c r="H14" s="2902"/>
      <c r="I14" s="2903"/>
      <c r="J14" s="2024"/>
      <c r="K14" s="2022"/>
      <c r="L14" s="2001"/>
      <c r="M14" s="2002"/>
      <c r="N14" s="2002"/>
      <c r="O14" s="2002"/>
      <c r="P14" s="2002"/>
      <c r="Q14" s="2002"/>
      <c r="R14" s="2002"/>
      <c r="S14" s="2016"/>
    </row>
    <row r="15" spans="1:19" ht="7.5" customHeight="1" x14ac:dyDescent="0.2">
      <c r="A15" s="2000"/>
      <c r="B15" s="2013"/>
      <c r="C15" s="2015"/>
      <c r="D15" s="2015"/>
      <c r="E15" s="2015"/>
      <c r="F15" s="2015"/>
      <c r="G15" s="2015"/>
      <c r="H15" s="2015"/>
      <c r="I15" s="2015"/>
      <c r="J15" s="2027"/>
      <c r="K15" s="2022"/>
      <c r="L15" s="2001"/>
      <c r="M15" s="2002"/>
      <c r="N15" s="2002"/>
      <c r="O15" s="2002"/>
      <c r="P15" s="2002"/>
      <c r="Q15" s="2002"/>
      <c r="R15" s="2002"/>
      <c r="S15" s="2016"/>
    </row>
    <row r="16" spans="1:19" ht="15.75" x14ac:dyDescent="0.25">
      <c r="A16" s="2028" t="s">
        <v>670</v>
      </c>
      <c r="B16" s="2914" t="s">
        <v>742</v>
      </c>
      <c r="C16" s="2914"/>
      <c r="D16" s="2914"/>
      <c r="E16" s="2914"/>
      <c r="F16" s="2914"/>
      <c r="G16" s="2914"/>
      <c r="H16" s="2914"/>
      <c r="I16" s="2914"/>
      <c r="J16" s="2914"/>
      <c r="K16" s="2914"/>
      <c r="L16" s="2914"/>
      <c r="M16" s="2914"/>
      <c r="N16" s="2914"/>
      <c r="O16" s="2914"/>
      <c r="P16" s="2914"/>
      <c r="Q16" s="2914"/>
      <c r="R16" s="2914"/>
      <c r="S16" s="2915"/>
    </row>
    <row r="17" spans="1:19" ht="15.75" x14ac:dyDescent="0.25">
      <c r="A17" s="2000"/>
      <c r="B17" s="2953" t="s">
        <v>743</v>
      </c>
      <c r="C17" s="2953"/>
      <c r="D17" s="2953"/>
      <c r="E17" s="2953"/>
      <c r="F17" s="2953"/>
      <c r="G17" s="2953"/>
      <c r="H17" s="2953"/>
      <c r="I17" s="2953"/>
      <c r="J17" s="2953"/>
      <c r="K17" s="2953"/>
      <c r="L17" s="2953"/>
      <c r="M17" s="2953"/>
      <c r="N17" s="2953"/>
      <c r="O17" s="2953"/>
      <c r="P17" s="2953"/>
      <c r="Q17" s="2953"/>
      <c r="R17" s="2953"/>
      <c r="S17" s="2954"/>
    </row>
    <row r="18" spans="1:19" ht="50.25" customHeight="1" x14ac:dyDescent="0.2">
      <c r="A18" s="2000"/>
      <c r="B18" s="2002"/>
      <c r="C18" s="2080"/>
      <c r="D18" s="2918" t="s">
        <v>744</v>
      </c>
      <c r="E18" s="2919"/>
      <c r="F18" s="2919"/>
      <c r="G18" s="2919"/>
      <c r="H18" s="2919"/>
      <c r="I18" s="2920"/>
      <c r="J18" s="2921" t="s">
        <v>1721</v>
      </c>
      <c r="K18" s="2922"/>
      <c r="L18" s="2922"/>
      <c r="M18" s="2922"/>
      <c r="N18" s="2922"/>
      <c r="O18" s="2922"/>
      <c r="P18" s="2922"/>
      <c r="Q18" s="2922"/>
      <c r="R18" s="2923"/>
      <c r="S18" s="2029"/>
    </row>
    <row r="19" spans="1:19" ht="40.5" customHeight="1" x14ac:dyDescent="0.2">
      <c r="A19" s="2000"/>
      <c r="B19" s="2002"/>
      <c r="C19" s="2080"/>
      <c r="D19" s="2918" t="s">
        <v>745</v>
      </c>
      <c r="E19" s="2919"/>
      <c r="F19" s="2919"/>
      <c r="G19" s="2919"/>
      <c r="H19" s="2919"/>
      <c r="I19" s="2920"/>
      <c r="J19" s="2921" t="s">
        <v>1721</v>
      </c>
      <c r="K19" s="2922"/>
      <c r="L19" s="2922"/>
      <c r="M19" s="2922"/>
      <c r="N19" s="2922"/>
      <c r="O19" s="2922"/>
      <c r="P19" s="2922"/>
      <c r="Q19" s="2922"/>
      <c r="R19" s="2923"/>
      <c r="S19" s="2029"/>
    </row>
    <row r="20" spans="1:19" ht="40.5" customHeight="1" x14ac:dyDescent="0.2">
      <c r="A20" s="2000"/>
      <c r="B20" s="2002"/>
      <c r="C20" s="2080"/>
      <c r="D20" s="2918" t="s">
        <v>746</v>
      </c>
      <c r="E20" s="2919"/>
      <c r="F20" s="2919"/>
      <c r="G20" s="2919"/>
      <c r="H20" s="2919"/>
      <c r="I20" s="2920"/>
      <c r="J20" s="2921" t="s">
        <v>1721</v>
      </c>
      <c r="K20" s="2922"/>
      <c r="L20" s="2922"/>
      <c r="M20" s="2922"/>
      <c r="N20" s="2922"/>
      <c r="O20" s="2922"/>
      <c r="P20" s="2922"/>
      <c r="Q20" s="2922"/>
      <c r="R20" s="2923"/>
      <c r="S20" s="2029"/>
    </row>
    <row r="21" spans="1:19" ht="40.5" customHeight="1" x14ac:dyDescent="0.2">
      <c r="A21" s="2000"/>
      <c r="B21" s="2002"/>
      <c r="C21" s="2080"/>
      <c r="D21" s="2918" t="s">
        <v>747</v>
      </c>
      <c r="E21" s="2919"/>
      <c r="F21" s="2919"/>
      <c r="G21" s="2919"/>
      <c r="H21" s="2919"/>
      <c r="I21" s="2920"/>
      <c r="J21" s="2921" t="s">
        <v>1721</v>
      </c>
      <c r="K21" s="2922"/>
      <c r="L21" s="2922"/>
      <c r="M21" s="2922"/>
      <c r="N21" s="2922"/>
      <c r="O21" s="2922"/>
      <c r="P21" s="2922"/>
      <c r="Q21" s="2922"/>
      <c r="R21" s="2923"/>
      <c r="S21" s="2029"/>
    </row>
    <row r="22" spans="1:19" ht="40.5" customHeight="1" x14ac:dyDescent="0.2">
      <c r="A22" s="2000"/>
      <c r="B22" s="2002"/>
      <c r="C22" s="2080"/>
      <c r="D22" s="2918" t="s">
        <v>748</v>
      </c>
      <c r="E22" s="2919"/>
      <c r="F22" s="2919"/>
      <c r="G22" s="2919"/>
      <c r="H22" s="2919"/>
      <c r="I22" s="2920"/>
      <c r="J22" s="2921" t="s">
        <v>1721</v>
      </c>
      <c r="K22" s="2922"/>
      <c r="L22" s="2922"/>
      <c r="M22" s="2922"/>
      <c r="N22" s="2922"/>
      <c r="O22" s="2922"/>
      <c r="P22" s="2922"/>
      <c r="Q22" s="2922"/>
      <c r="R22" s="2923"/>
      <c r="S22" s="2029"/>
    </row>
    <row r="23" spans="1:19" ht="40.5" customHeight="1" x14ac:dyDescent="0.2">
      <c r="A23" s="2000"/>
      <c r="B23" s="2002"/>
      <c r="C23" s="2080"/>
      <c r="D23" s="2918" t="s">
        <v>713</v>
      </c>
      <c r="E23" s="2919"/>
      <c r="F23" s="2919"/>
      <c r="G23" s="2919"/>
      <c r="H23" s="2919"/>
      <c r="I23" s="2920"/>
      <c r="J23" s="2921" t="s">
        <v>949</v>
      </c>
      <c r="K23" s="2922"/>
      <c r="L23" s="2922"/>
      <c r="M23" s="2922"/>
      <c r="N23" s="2922"/>
      <c r="O23" s="2922"/>
      <c r="P23" s="2922"/>
      <c r="Q23" s="2922"/>
      <c r="R23" s="2923"/>
      <c r="S23" s="2029"/>
    </row>
    <row r="24" spans="1:19" ht="7.5" customHeight="1" x14ac:dyDescent="0.2">
      <c r="A24" s="2000"/>
      <c r="B24" s="2002"/>
      <c r="C24" s="2032"/>
      <c r="D24" s="2033"/>
      <c r="E24" s="2033"/>
      <c r="F24" s="2033"/>
      <c r="G24" s="2033"/>
      <c r="H24" s="2033"/>
      <c r="I24" s="2033"/>
      <c r="J24" s="2003"/>
      <c r="K24" s="2003"/>
      <c r="L24" s="2003"/>
      <c r="M24" s="2003"/>
      <c r="N24" s="2034"/>
      <c r="O24" s="2034"/>
      <c r="P24" s="2034"/>
      <c r="Q24" s="2034"/>
      <c r="R24" s="2034"/>
      <c r="S24" s="2035"/>
    </row>
    <row r="25" spans="1:19" ht="15.75" x14ac:dyDescent="0.25">
      <c r="A25" s="2000"/>
      <c r="B25" s="2955" t="s">
        <v>749</v>
      </c>
      <c r="C25" s="2955"/>
      <c r="D25" s="2955"/>
      <c r="E25" s="2955"/>
      <c r="F25" s="2955"/>
      <c r="G25" s="2955"/>
      <c r="H25" s="2955"/>
      <c r="I25" s="2955"/>
      <c r="J25" s="2955"/>
      <c r="K25" s="2955"/>
      <c r="L25" s="2955"/>
      <c r="M25" s="2955"/>
      <c r="N25" s="2955"/>
      <c r="O25" s="2955"/>
      <c r="P25" s="2955"/>
      <c r="Q25" s="2955"/>
      <c r="R25" s="2955"/>
      <c r="S25" s="2081"/>
    </row>
    <row r="26" spans="1:19" ht="40.5" customHeight="1" x14ac:dyDescent="0.2">
      <c r="A26" s="2000"/>
      <c r="B26" s="2002"/>
      <c r="C26" s="2082"/>
      <c r="D26" s="2918" t="s">
        <v>750</v>
      </c>
      <c r="E26" s="2919"/>
      <c r="F26" s="2919"/>
      <c r="G26" s="2919"/>
      <c r="H26" s="2919"/>
      <c r="I26" s="2920"/>
      <c r="J26" s="2921" t="s">
        <v>1721</v>
      </c>
      <c r="K26" s="2922"/>
      <c r="L26" s="2922"/>
      <c r="M26" s="2922"/>
      <c r="N26" s="2922"/>
      <c r="O26" s="2922"/>
      <c r="P26" s="2922"/>
      <c r="Q26" s="2922"/>
      <c r="R26" s="2923"/>
      <c r="S26" s="2029"/>
    </row>
    <row r="27" spans="1:19" ht="40.5" customHeight="1" x14ac:dyDescent="0.2">
      <c r="A27" s="2000"/>
      <c r="B27" s="2002"/>
      <c r="C27" s="2082"/>
      <c r="D27" s="2918" t="s">
        <v>751</v>
      </c>
      <c r="E27" s="2919"/>
      <c r="F27" s="2919"/>
      <c r="G27" s="2919"/>
      <c r="H27" s="2919"/>
      <c r="I27" s="2920"/>
      <c r="J27" s="2921" t="s">
        <v>1721</v>
      </c>
      <c r="K27" s="2922"/>
      <c r="L27" s="2922"/>
      <c r="M27" s="2922"/>
      <c r="N27" s="2922"/>
      <c r="O27" s="2922"/>
      <c r="P27" s="2922"/>
      <c r="Q27" s="2922"/>
      <c r="R27" s="2923"/>
      <c r="S27" s="2029"/>
    </row>
    <row r="28" spans="1:19" ht="40.5" customHeight="1" x14ac:dyDescent="0.2">
      <c r="A28" s="2000"/>
      <c r="B28" s="2002"/>
      <c r="C28" s="2082"/>
      <c r="D28" s="2918" t="s">
        <v>752</v>
      </c>
      <c r="E28" s="2919"/>
      <c r="F28" s="2919"/>
      <c r="G28" s="2919"/>
      <c r="H28" s="2919"/>
      <c r="I28" s="2920"/>
      <c r="J28" s="2921" t="s">
        <v>1721</v>
      </c>
      <c r="K28" s="2922"/>
      <c r="L28" s="2922"/>
      <c r="M28" s="2922"/>
      <c r="N28" s="2922"/>
      <c r="O28" s="2922"/>
      <c r="P28" s="2922"/>
      <c r="Q28" s="2922"/>
      <c r="R28" s="2923"/>
      <c r="S28" s="2029"/>
    </row>
    <row r="29" spans="1:19" ht="40.5" customHeight="1" x14ac:dyDescent="0.2">
      <c r="A29" s="2000"/>
      <c r="B29" s="2002"/>
      <c r="C29" s="2082"/>
      <c r="D29" s="2918" t="s">
        <v>753</v>
      </c>
      <c r="E29" s="2919"/>
      <c r="F29" s="2919"/>
      <c r="G29" s="2919"/>
      <c r="H29" s="2919"/>
      <c r="I29" s="2920"/>
      <c r="J29" s="2921" t="s">
        <v>1721</v>
      </c>
      <c r="K29" s="2922"/>
      <c r="L29" s="2922"/>
      <c r="M29" s="2922"/>
      <c r="N29" s="2922"/>
      <c r="O29" s="2922"/>
      <c r="P29" s="2922"/>
      <c r="Q29" s="2922"/>
      <c r="R29" s="2923"/>
      <c r="S29" s="2029"/>
    </row>
    <row r="30" spans="1:19" ht="40.5" customHeight="1" x14ac:dyDescent="0.2">
      <c r="A30" s="2000"/>
      <c r="B30" s="2016"/>
      <c r="C30" s="2082"/>
      <c r="D30" s="2918" t="s">
        <v>754</v>
      </c>
      <c r="E30" s="2919"/>
      <c r="F30" s="2919"/>
      <c r="G30" s="2919"/>
      <c r="H30" s="2919"/>
      <c r="I30" s="2920"/>
      <c r="J30" s="2921" t="s">
        <v>1721</v>
      </c>
      <c r="K30" s="2922"/>
      <c r="L30" s="2922"/>
      <c r="M30" s="2922"/>
      <c r="N30" s="2922"/>
      <c r="O30" s="2922"/>
      <c r="P30" s="2922"/>
      <c r="Q30" s="2922"/>
      <c r="R30" s="2923"/>
      <c r="S30" s="2029"/>
    </row>
    <row r="31" spans="1:19" ht="40.5" customHeight="1" x14ac:dyDescent="0.2">
      <c r="A31" s="2000"/>
      <c r="B31" s="2016"/>
      <c r="C31" s="2082"/>
      <c r="D31" s="2918" t="s">
        <v>755</v>
      </c>
      <c r="E31" s="2919"/>
      <c r="F31" s="2919"/>
      <c r="G31" s="2919"/>
      <c r="H31" s="2919"/>
      <c r="I31" s="2920"/>
      <c r="J31" s="2921" t="s">
        <v>1721</v>
      </c>
      <c r="K31" s="2922"/>
      <c r="L31" s="2922"/>
      <c r="M31" s="2922"/>
      <c r="N31" s="2922"/>
      <c r="O31" s="2922"/>
      <c r="P31" s="2922"/>
      <c r="Q31" s="2922"/>
      <c r="R31" s="2923"/>
      <c r="S31" s="2029"/>
    </row>
    <row r="32" spans="1:19" ht="40.5" customHeight="1" x14ac:dyDescent="0.2">
      <c r="A32" s="2000"/>
      <c r="B32" s="2016"/>
      <c r="C32" s="2082"/>
      <c r="D32" s="2918" t="s">
        <v>756</v>
      </c>
      <c r="E32" s="2919"/>
      <c r="F32" s="2919"/>
      <c r="G32" s="2919"/>
      <c r="H32" s="2919"/>
      <c r="I32" s="2920"/>
      <c r="J32" s="2921" t="s">
        <v>1721</v>
      </c>
      <c r="K32" s="2922"/>
      <c r="L32" s="2922"/>
      <c r="M32" s="2922"/>
      <c r="N32" s="2922"/>
      <c r="O32" s="2922"/>
      <c r="P32" s="2922"/>
      <c r="Q32" s="2922"/>
      <c r="R32" s="2923"/>
      <c r="S32" s="2029"/>
    </row>
    <row r="33" spans="1:19" ht="40.5" customHeight="1" x14ac:dyDescent="0.2">
      <c r="A33" s="2000"/>
      <c r="B33" s="2002"/>
      <c r="C33" s="2082"/>
      <c r="D33" s="2918" t="s">
        <v>757</v>
      </c>
      <c r="E33" s="2919"/>
      <c r="F33" s="2919"/>
      <c r="G33" s="2919"/>
      <c r="H33" s="2919"/>
      <c r="I33" s="2920"/>
      <c r="J33" s="2921" t="s">
        <v>1721</v>
      </c>
      <c r="K33" s="2922"/>
      <c r="L33" s="2922"/>
      <c r="M33" s="2922"/>
      <c r="N33" s="2922"/>
      <c r="O33" s="2922"/>
      <c r="P33" s="2922"/>
      <c r="Q33" s="2922"/>
      <c r="R33" s="2923"/>
      <c r="S33" s="2029"/>
    </row>
    <row r="34" spans="1:19" ht="40.5" customHeight="1" x14ac:dyDescent="0.2">
      <c r="A34" s="2000"/>
      <c r="B34" s="2002"/>
      <c r="C34" s="2082"/>
      <c r="D34" s="2918" t="s">
        <v>758</v>
      </c>
      <c r="E34" s="2919"/>
      <c r="F34" s="2919"/>
      <c r="G34" s="2919"/>
      <c r="H34" s="2919"/>
      <c r="I34" s="2920"/>
      <c r="J34" s="2921" t="s">
        <v>1721</v>
      </c>
      <c r="K34" s="2922"/>
      <c r="L34" s="2922"/>
      <c r="M34" s="2922"/>
      <c r="N34" s="2922"/>
      <c r="O34" s="2922"/>
      <c r="P34" s="2922"/>
      <c r="Q34" s="2922"/>
      <c r="R34" s="2923"/>
      <c r="S34" s="2029"/>
    </row>
    <row r="35" spans="1:19" ht="40.5" customHeight="1" x14ac:dyDescent="0.2">
      <c r="A35" s="2000"/>
      <c r="B35" s="2002"/>
      <c r="C35" s="2082"/>
      <c r="D35" s="2918" t="s">
        <v>759</v>
      </c>
      <c r="E35" s="2919"/>
      <c r="F35" s="2919"/>
      <c r="G35" s="2919"/>
      <c r="H35" s="2919"/>
      <c r="I35" s="2920"/>
      <c r="J35" s="2921" t="s">
        <v>1721</v>
      </c>
      <c r="K35" s="2922"/>
      <c r="L35" s="2922"/>
      <c r="M35" s="2922"/>
      <c r="N35" s="2922"/>
      <c r="O35" s="2922"/>
      <c r="P35" s="2922"/>
      <c r="Q35" s="2922"/>
      <c r="R35" s="2923"/>
      <c r="S35" s="2029"/>
    </row>
    <row r="36" spans="1:19" ht="40.5" customHeight="1" x14ac:dyDescent="0.2">
      <c r="A36" s="2036"/>
      <c r="B36" s="2013"/>
      <c r="C36" s="2082"/>
      <c r="D36" s="2924" t="s">
        <v>696</v>
      </c>
      <c r="E36" s="2924"/>
      <c r="F36" s="2924"/>
      <c r="G36" s="2924"/>
      <c r="H36" s="2924"/>
      <c r="I36" s="2924"/>
      <c r="J36" s="2921" t="s">
        <v>949</v>
      </c>
      <c r="K36" s="2922"/>
      <c r="L36" s="2922"/>
      <c r="M36" s="2922"/>
      <c r="N36" s="2922"/>
      <c r="O36" s="2922"/>
      <c r="P36" s="2922"/>
      <c r="Q36" s="2922"/>
      <c r="R36" s="2923"/>
      <c r="S36" s="2040"/>
    </row>
    <row r="37" spans="1:19" ht="7.5" customHeight="1" x14ac:dyDescent="0.2">
      <c r="A37" s="2036"/>
      <c r="B37" s="2013"/>
      <c r="C37" s="2103"/>
      <c r="D37" s="2104"/>
      <c r="E37" s="2104"/>
      <c r="F37" s="2104"/>
      <c r="G37" s="2104"/>
      <c r="H37" s="2104"/>
      <c r="I37" s="2104"/>
      <c r="J37" s="2105"/>
      <c r="K37" s="2105"/>
      <c r="L37" s="2105"/>
      <c r="M37" s="2105"/>
      <c r="N37" s="2106"/>
      <c r="O37" s="2106"/>
      <c r="P37" s="2106"/>
      <c r="Q37" s="2106"/>
      <c r="R37" s="2106"/>
      <c r="S37" s="2040"/>
    </row>
    <row r="38" spans="1:19" ht="15.75" x14ac:dyDescent="0.25">
      <c r="A38" s="2041" t="s">
        <v>760</v>
      </c>
      <c r="B38" s="2042" t="s">
        <v>761</v>
      </c>
      <c r="C38" s="2043"/>
      <c r="D38" s="2044"/>
      <c r="E38" s="2044"/>
      <c r="F38" s="2044"/>
      <c r="G38" s="2044"/>
      <c r="H38" s="2044"/>
      <c r="I38" s="2044"/>
      <c r="J38" s="2045"/>
      <c r="K38" s="2045"/>
      <c r="L38" s="2045"/>
      <c r="M38" s="2045"/>
      <c r="N38" s="2046"/>
      <c r="O38" s="2046"/>
      <c r="P38" s="2046"/>
      <c r="Q38" s="2046"/>
      <c r="R38" s="2046"/>
      <c r="S38" s="2047"/>
    </row>
    <row r="39" spans="1:19" ht="7.5" customHeight="1" x14ac:dyDescent="0.2">
      <c r="A39" s="2000"/>
      <c r="B39" s="2048"/>
      <c r="C39" s="2048"/>
      <c r="D39" s="2048"/>
      <c r="E39" s="2048"/>
      <c r="F39" s="2048"/>
      <c r="G39" s="2048"/>
      <c r="H39" s="2048"/>
      <c r="I39" s="2048"/>
      <c r="J39" s="2048"/>
      <c r="K39" s="2048"/>
      <c r="L39" s="2048"/>
      <c r="M39" s="2048"/>
      <c r="N39" s="2048"/>
      <c r="O39" s="2048"/>
      <c r="P39" s="2048"/>
      <c r="Q39" s="2048"/>
      <c r="R39" s="2048"/>
      <c r="S39" s="2049"/>
    </row>
    <row r="40" spans="1:19" ht="15.75" customHeight="1" x14ac:dyDescent="0.2">
      <c r="A40" s="2000"/>
      <c r="B40" s="2001"/>
      <c r="C40" s="2001"/>
      <c r="D40" s="2001"/>
      <c r="E40" s="2001"/>
      <c r="F40" s="2001"/>
      <c r="G40" s="2001"/>
      <c r="H40" s="2001"/>
      <c r="I40" s="2001"/>
      <c r="J40" s="2001"/>
      <c r="K40" s="2001"/>
      <c r="L40" s="2001"/>
      <c r="M40" s="2001"/>
      <c r="N40" s="2001"/>
      <c r="O40" s="2001"/>
      <c r="P40" s="2001"/>
      <c r="Q40" s="2001"/>
      <c r="R40" s="2001"/>
      <c r="S40" s="2049"/>
    </row>
    <row r="41" spans="1:19" ht="15.75" customHeight="1" x14ac:dyDescent="0.2">
      <c r="A41" s="2000"/>
      <c r="B41" s="2001"/>
      <c r="C41" s="2001"/>
      <c r="D41" s="2001"/>
      <c r="E41" s="2001"/>
      <c r="F41" s="2001"/>
      <c r="G41" s="2001"/>
      <c r="H41" s="2001"/>
      <c r="I41" s="2001"/>
      <c r="J41" s="2001"/>
      <c r="K41" s="2001"/>
      <c r="L41" s="2001"/>
      <c r="M41" s="2001"/>
      <c r="N41" s="2001"/>
      <c r="O41" s="2001"/>
      <c r="P41" s="2001"/>
      <c r="Q41" s="2001"/>
      <c r="R41" s="2001"/>
      <c r="S41" s="2049"/>
    </row>
    <row r="42" spans="1:19" ht="48" customHeight="1" x14ac:dyDescent="0.2">
      <c r="A42" s="2000"/>
      <c r="B42" s="2971"/>
      <c r="C42" s="2972"/>
      <c r="D42" s="2972"/>
      <c r="E42" s="2972"/>
      <c r="F42" s="2972"/>
      <c r="G42" s="2972"/>
      <c r="H42" s="2972"/>
      <c r="I42" s="2972"/>
      <c r="J42" s="2972"/>
      <c r="K42" s="2972"/>
      <c r="L42" s="2972"/>
      <c r="M42" s="2972"/>
      <c r="N42" s="2972"/>
      <c r="O42" s="2972"/>
      <c r="P42" s="2972"/>
      <c r="Q42" s="2972"/>
      <c r="R42" s="2973"/>
      <c r="S42" s="2049"/>
    </row>
    <row r="43" spans="1:19" ht="48" customHeight="1" x14ac:dyDescent="0.2">
      <c r="A43" s="2000"/>
      <c r="B43" s="2925"/>
      <c r="C43" s="2926"/>
      <c r="D43" s="2926"/>
      <c r="E43" s="2926"/>
      <c r="F43" s="2926"/>
      <c r="G43" s="2926"/>
      <c r="H43" s="2926"/>
      <c r="I43" s="2926"/>
      <c r="J43" s="2926"/>
      <c r="K43" s="2926"/>
      <c r="L43" s="2926"/>
      <c r="M43" s="2926"/>
      <c r="N43" s="2926"/>
      <c r="O43" s="2926"/>
      <c r="P43" s="2926"/>
      <c r="Q43" s="2926"/>
      <c r="R43" s="2974"/>
      <c r="S43" s="2049"/>
    </row>
    <row r="44" spans="1:19" ht="48" customHeight="1" x14ac:dyDescent="0.2">
      <c r="A44" s="2000"/>
      <c r="B44" s="2975"/>
      <c r="C44" s="2976"/>
      <c r="D44" s="2976"/>
      <c r="E44" s="2976"/>
      <c r="F44" s="2976"/>
      <c r="G44" s="2976"/>
      <c r="H44" s="2976"/>
      <c r="I44" s="2976"/>
      <c r="J44" s="2976"/>
      <c r="K44" s="2976"/>
      <c r="L44" s="2976"/>
      <c r="M44" s="2976"/>
      <c r="N44" s="2976"/>
      <c r="O44" s="2976"/>
      <c r="P44" s="2976"/>
      <c r="Q44" s="2976"/>
      <c r="R44" s="2977"/>
      <c r="S44" s="2049"/>
    </row>
    <row r="45" spans="1:19" x14ac:dyDescent="0.2">
      <c r="A45" s="2050"/>
      <c r="B45" s="2002"/>
      <c r="C45" s="2002"/>
      <c r="D45" s="2002"/>
      <c r="E45" s="2002"/>
      <c r="F45" s="2002"/>
      <c r="G45" s="2002"/>
      <c r="H45" s="2002"/>
      <c r="I45" s="2002"/>
      <c r="J45" s="2002"/>
      <c r="K45" s="2002"/>
      <c r="L45" s="2002"/>
      <c r="M45" s="2002"/>
      <c r="N45" s="2002"/>
      <c r="O45" s="2002"/>
      <c r="P45" s="2002"/>
      <c r="Q45" s="2002"/>
      <c r="R45" s="2002"/>
      <c r="S45" s="2016"/>
    </row>
    <row r="46" spans="1:19" customFormat="1" ht="15.75" x14ac:dyDescent="0.25">
      <c r="A46" s="2942" t="s">
        <v>1546</v>
      </c>
      <c r="B46" s="2941"/>
      <c r="C46" s="2941"/>
      <c r="D46" s="2941"/>
      <c r="E46" s="2941"/>
      <c r="F46" s="2941" t="str">
        <f>'PAP 00 (Keuangan)'!H83</f>
        <v>Supervisor Analis Penjaminan</v>
      </c>
      <c r="G46" s="2941"/>
      <c r="H46" s="2941"/>
      <c r="I46" s="2941"/>
      <c r="J46" s="2941" t="str">
        <f>'CEKLIST 002 (BIO DATA)'!B27</f>
        <v>Direktur Utama</v>
      </c>
      <c r="K46" s="2941"/>
      <c r="L46" s="2941"/>
      <c r="M46" s="2941"/>
      <c r="N46" s="2941"/>
      <c r="O46" s="2941" t="str">
        <f>'PAP 00 (Keuangan)'!N83</f>
        <v>Petugas OTS (Analis Penjaminan)</v>
      </c>
      <c r="P46" s="2941"/>
      <c r="Q46" s="2941"/>
      <c r="R46" s="2941"/>
      <c r="S46" s="2978"/>
    </row>
    <row r="47" spans="1:19" customFormat="1" ht="15.75" x14ac:dyDescent="0.25">
      <c r="A47" s="1478"/>
      <c r="B47" s="1478"/>
      <c r="C47" s="1478"/>
      <c r="D47" s="1478"/>
      <c r="E47" s="1478"/>
      <c r="F47" s="1478"/>
      <c r="G47" s="2053"/>
      <c r="H47" s="2053"/>
      <c r="I47" s="2053"/>
      <c r="J47" s="2053"/>
      <c r="K47" s="2053"/>
      <c r="L47" s="2053"/>
      <c r="M47" s="2053"/>
      <c r="N47" s="1478"/>
      <c r="O47" s="2530"/>
      <c r="P47" s="2530"/>
      <c r="Q47" s="2530"/>
      <c r="R47" s="2530"/>
      <c r="S47" s="2531"/>
    </row>
    <row r="48" spans="1:19" customFormat="1" ht="15.75" x14ac:dyDescent="0.25">
      <c r="A48" s="1478"/>
      <c r="B48" s="1478"/>
      <c r="C48" s="1478"/>
      <c r="D48" s="1478"/>
      <c r="E48" s="1478"/>
      <c r="F48" s="1478"/>
      <c r="G48" s="2053"/>
      <c r="H48" s="2053"/>
      <c r="I48" s="2053"/>
      <c r="J48" s="2053"/>
      <c r="K48" s="2053"/>
      <c r="L48" s="2053"/>
      <c r="M48" s="2053"/>
      <c r="N48" s="1478"/>
      <c r="O48" s="2530"/>
      <c r="P48" s="2530"/>
      <c r="Q48" s="2530"/>
      <c r="R48" s="2530"/>
      <c r="S48" s="2531"/>
    </row>
    <row r="49" spans="1:19" customFormat="1" ht="30" customHeight="1" x14ac:dyDescent="0.25">
      <c r="A49" s="1478"/>
      <c r="B49" s="1478"/>
      <c r="C49" s="1478"/>
      <c r="D49" s="1478"/>
      <c r="E49" s="1478"/>
      <c r="F49" s="1478"/>
      <c r="G49" s="2053"/>
      <c r="H49" s="2053"/>
      <c r="I49" s="2053"/>
      <c r="J49" s="2053"/>
      <c r="K49" s="2053"/>
      <c r="L49" s="2053"/>
      <c r="M49" s="2053"/>
      <c r="N49" s="1478"/>
      <c r="O49" s="2530"/>
      <c r="P49" s="2530"/>
      <c r="Q49" s="2530"/>
      <c r="R49" s="2530"/>
      <c r="S49" s="2531"/>
    </row>
    <row r="50" spans="1:19" customFormat="1" ht="14.25" customHeight="1" x14ac:dyDescent="0.25">
      <c r="A50" s="1478"/>
      <c r="B50" s="1478"/>
      <c r="C50" s="1478"/>
      <c r="D50" s="1478"/>
      <c r="E50" s="1478"/>
      <c r="F50" s="1478"/>
      <c r="G50" s="2053"/>
      <c r="H50" s="2053"/>
      <c r="I50" s="2053"/>
      <c r="J50" s="2053"/>
      <c r="K50" s="2053"/>
      <c r="L50" s="2053"/>
      <c r="M50" s="2053"/>
      <c r="N50" s="1478"/>
      <c r="O50" s="2530"/>
      <c r="P50" s="2530"/>
      <c r="Q50" s="2530"/>
      <c r="R50" s="2530"/>
      <c r="S50" s="2531"/>
    </row>
    <row r="51" spans="1:19" customFormat="1" ht="15.75" x14ac:dyDescent="0.25">
      <c r="A51" s="2959"/>
      <c r="B51" s="2927"/>
      <c r="C51" s="2927"/>
      <c r="D51" s="2927"/>
      <c r="E51" s="2927"/>
      <c r="F51" s="2927" t="str">
        <f>'PAP 00 (Keuangan)'!H89</f>
        <v>I Wayan Ruspa</v>
      </c>
      <c r="G51" s="2927"/>
      <c r="H51" s="2927"/>
      <c r="I51" s="2927"/>
      <c r="J51" s="2927" t="str">
        <f>'CEKLIST 002 (BIO DATA)'!D7</f>
        <v>Indra Manthica</v>
      </c>
      <c r="K51" s="2927"/>
      <c r="L51" s="2927"/>
      <c r="M51" s="2927"/>
      <c r="N51" s="2927"/>
      <c r="O51" s="2927" t="str">
        <f>'PAP 00 (Keuangan)'!N89</f>
        <v>Adi irawan saputra</v>
      </c>
      <c r="P51" s="2927"/>
      <c r="Q51" s="2927" t="str">
        <f>'PAP 00 (Keuangan)'!P89</f>
        <v>Deni Ardian</v>
      </c>
      <c r="R51" s="2927"/>
      <c r="S51" s="2979"/>
    </row>
    <row r="52" spans="1:19" x14ac:dyDescent="0.2">
      <c r="A52" s="2968" t="s">
        <v>1839</v>
      </c>
      <c r="B52" s="2969"/>
      <c r="C52" s="2969"/>
      <c r="D52" s="2969"/>
      <c r="E52" s="2969"/>
      <c r="F52" s="2969"/>
      <c r="G52" s="2969"/>
      <c r="H52" s="2969"/>
      <c r="I52" s="2969"/>
      <c r="J52" s="2969"/>
      <c r="K52" s="2969"/>
      <c r="L52" s="2969"/>
      <c r="M52" s="2969"/>
      <c r="N52" s="2969"/>
      <c r="O52" s="2969"/>
      <c r="P52" s="2969"/>
      <c r="Q52" s="2969"/>
      <c r="R52" s="2969"/>
      <c r="S52" s="2970"/>
    </row>
    <row r="53" spans="1:19" x14ac:dyDescent="0.2">
      <c r="A53" s="70"/>
      <c r="B53" s="70"/>
      <c r="C53" s="70"/>
      <c r="D53" s="70"/>
      <c r="E53" s="70"/>
      <c r="F53" s="70"/>
      <c r="G53" s="70"/>
      <c r="H53" s="70"/>
      <c r="I53" s="70"/>
      <c r="J53" s="70"/>
      <c r="K53" s="70"/>
      <c r="L53" s="70"/>
      <c r="M53" s="70"/>
      <c r="N53" s="70"/>
      <c r="O53" s="70"/>
      <c r="P53" s="70"/>
      <c r="Q53" s="70"/>
      <c r="R53" s="70"/>
      <c r="S53" s="70"/>
    </row>
    <row r="54" spans="1:19" x14ac:dyDescent="0.2">
      <c r="A54" s="70"/>
      <c r="B54" s="70"/>
      <c r="C54" s="70"/>
      <c r="D54" s="70"/>
      <c r="E54" s="70"/>
      <c r="F54" s="70"/>
      <c r="G54" s="70"/>
      <c r="H54" s="70"/>
      <c r="I54" s="70"/>
      <c r="J54" s="70"/>
      <c r="K54" s="70"/>
      <c r="L54" s="70"/>
      <c r="M54" s="70"/>
      <c r="N54" s="70"/>
      <c r="O54" s="70"/>
      <c r="P54" s="70"/>
      <c r="Q54" s="70"/>
      <c r="R54" s="70"/>
      <c r="S54" s="70"/>
    </row>
    <row r="55" spans="1:19" x14ac:dyDescent="0.2">
      <c r="A55" s="70"/>
      <c r="B55" s="70"/>
      <c r="C55" s="70"/>
      <c r="D55" s="70"/>
      <c r="E55" s="70"/>
      <c r="F55" s="70"/>
      <c r="G55" s="70"/>
      <c r="H55" s="70"/>
      <c r="I55" s="70"/>
      <c r="J55" s="70"/>
      <c r="K55" s="70"/>
      <c r="L55" s="70"/>
      <c r="M55" s="70"/>
      <c r="N55" s="70"/>
      <c r="O55" s="70"/>
      <c r="P55" s="70"/>
      <c r="Q55" s="70"/>
      <c r="R55" s="70"/>
      <c r="S55" s="70"/>
    </row>
    <row r="56" spans="1:19" x14ac:dyDescent="0.2">
      <c r="A56" s="70"/>
      <c r="B56" s="70"/>
      <c r="C56" s="70"/>
      <c r="D56" s="70"/>
      <c r="E56" s="70"/>
      <c r="F56" s="70"/>
      <c r="G56" s="70"/>
      <c r="H56" s="70"/>
      <c r="I56" s="70"/>
      <c r="J56" s="70"/>
      <c r="K56" s="70"/>
      <c r="L56" s="70"/>
      <c r="M56" s="70"/>
      <c r="N56" s="70"/>
      <c r="O56" s="70"/>
      <c r="P56" s="70"/>
      <c r="Q56" s="70"/>
      <c r="R56" s="70"/>
      <c r="S56" s="70"/>
    </row>
  </sheetData>
  <mergeCells count="72">
    <mergeCell ref="D36:I36"/>
    <mergeCell ref="J36:R36"/>
    <mergeCell ref="A52:E52"/>
    <mergeCell ref="F52:I52"/>
    <mergeCell ref="J52:N52"/>
    <mergeCell ref="O52:S52"/>
    <mergeCell ref="B42:R44"/>
    <mergeCell ref="A46:E46"/>
    <mergeCell ref="F46:I46"/>
    <mergeCell ref="J46:N46"/>
    <mergeCell ref="O46:S46"/>
    <mergeCell ref="A51:E51"/>
    <mergeCell ref="F51:I51"/>
    <mergeCell ref="J51:N51"/>
    <mergeCell ref="O51:P51"/>
    <mergeCell ref="Q51:S51"/>
    <mergeCell ref="D33:I33"/>
    <mergeCell ref="J33:R33"/>
    <mergeCell ref="D34:I34"/>
    <mergeCell ref="J34:R34"/>
    <mergeCell ref="D35:I35"/>
    <mergeCell ref="J35:R35"/>
    <mergeCell ref="D30:I30"/>
    <mergeCell ref="J30:R30"/>
    <mergeCell ref="D31:I31"/>
    <mergeCell ref="J31:R31"/>
    <mergeCell ref="D32:I32"/>
    <mergeCell ref="J32:R32"/>
    <mergeCell ref="J26:R26"/>
    <mergeCell ref="D19:I19"/>
    <mergeCell ref="D28:I28"/>
    <mergeCell ref="J28:R28"/>
    <mergeCell ref="D29:I29"/>
    <mergeCell ref="J29:R29"/>
    <mergeCell ref="J19:R19"/>
    <mergeCell ref="L8:M8"/>
    <mergeCell ref="L12:R12"/>
    <mergeCell ref="D18:I18"/>
    <mergeCell ref="J18:R18"/>
    <mergeCell ref="D27:I27"/>
    <mergeCell ref="J27:R27"/>
    <mergeCell ref="D20:I20"/>
    <mergeCell ref="J20:R20"/>
    <mergeCell ref="D21:I21"/>
    <mergeCell ref="J21:R21"/>
    <mergeCell ref="D22:I22"/>
    <mergeCell ref="J22:R22"/>
    <mergeCell ref="D23:I23"/>
    <mergeCell ref="J23:R23"/>
    <mergeCell ref="B25:R25"/>
    <mergeCell ref="D26:I26"/>
    <mergeCell ref="B13:I13"/>
    <mergeCell ref="L13:R13"/>
    <mergeCell ref="B14:I14"/>
    <mergeCell ref="B16:S16"/>
    <mergeCell ref="B17:S17"/>
    <mergeCell ref="B10:S10"/>
    <mergeCell ref="B11:I11"/>
    <mergeCell ref="L11:R11"/>
    <mergeCell ref="B12:I12"/>
    <mergeCell ref="Q1:S1"/>
    <mergeCell ref="A2:S2"/>
    <mergeCell ref="A3:S3"/>
    <mergeCell ref="B5:D5"/>
    <mergeCell ref="B6:D6"/>
    <mergeCell ref="F6:K6"/>
    <mergeCell ref="L6:M6"/>
    <mergeCell ref="B7:D7"/>
    <mergeCell ref="F7:K7"/>
    <mergeCell ref="L7:M7"/>
    <mergeCell ref="B8:D8"/>
    <mergeCell ref="F8:K8"/>
  </mergeCells>
  <pageMargins left="0.35" right="0.17" top="0.24" bottom="0.19685039370078741" header="0.19" footer="0.15748031496062992"/>
  <pageSetup paperSize="9"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41025" r:id="rId4" name="Check Box 1">
              <controlPr locked="0" defaultSize="0" autoFill="0" autoLine="0" autoPict="0">
                <anchor moveWithCells="1">
                  <from>
                    <xdr:col>9</xdr:col>
                    <xdr:colOff>9525</xdr:colOff>
                    <xdr:row>12</xdr:row>
                    <xdr:rowOff>180975</xdr:rowOff>
                  </from>
                  <to>
                    <xdr:col>10</xdr:col>
                    <xdr:colOff>142875</xdr:colOff>
                    <xdr:row>14</xdr:row>
                    <xdr:rowOff>0</xdr:rowOff>
                  </to>
                </anchor>
              </controlPr>
            </control>
          </mc:Choice>
        </mc:AlternateContent>
        <mc:AlternateContent xmlns:mc="http://schemas.openxmlformats.org/markup-compatibility/2006">
          <mc:Choice Requires="x14">
            <control shapeId="641026" r:id="rId5" name="Check Box 2">
              <controlPr locked="0" defaultSize="0" autoFill="0" autoLine="0" autoPict="0">
                <anchor moveWithCells="1">
                  <from>
                    <xdr:col>9</xdr:col>
                    <xdr:colOff>9525</xdr:colOff>
                    <xdr:row>9</xdr:row>
                    <xdr:rowOff>180975</xdr:rowOff>
                  </from>
                  <to>
                    <xdr:col>10</xdr:col>
                    <xdr:colOff>142875</xdr:colOff>
                    <xdr:row>11</xdr:row>
                    <xdr:rowOff>0</xdr:rowOff>
                  </to>
                </anchor>
              </controlPr>
            </control>
          </mc:Choice>
        </mc:AlternateContent>
        <mc:AlternateContent xmlns:mc="http://schemas.openxmlformats.org/markup-compatibility/2006">
          <mc:Choice Requires="x14">
            <control shapeId="641027" r:id="rId6" name="Check Box 3">
              <controlPr locked="0" defaultSize="0" autoFill="0" autoLine="0" autoPict="0">
                <anchor moveWithCells="1">
                  <from>
                    <xdr:col>9</xdr:col>
                    <xdr:colOff>9525</xdr:colOff>
                    <xdr:row>10</xdr:row>
                    <xdr:rowOff>180975</xdr:rowOff>
                  </from>
                  <to>
                    <xdr:col>10</xdr:col>
                    <xdr:colOff>142875</xdr:colOff>
                    <xdr:row>12</xdr:row>
                    <xdr:rowOff>0</xdr:rowOff>
                  </to>
                </anchor>
              </controlPr>
            </control>
          </mc:Choice>
        </mc:AlternateContent>
        <mc:AlternateContent xmlns:mc="http://schemas.openxmlformats.org/markup-compatibility/2006">
          <mc:Choice Requires="x14">
            <control shapeId="641028" r:id="rId7" name="Check Box 4">
              <controlPr locked="0" defaultSize="0" autoFill="0" autoLine="0" autoPict="0">
                <anchor moveWithCells="1">
                  <from>
                    <xdr:col>9</xdr:col>
                    <xdr:colOff>9525</xdr:colOff>
                    <xdr:row>11</xdr:row>
                    <xdr:rowOff>171450</xdr:rowOff>
                  </from>
                  <to>
                    <xdr:col>10</xdr:col>
                    <xdr:colOff>142875</xdr:colOff>
                    <xdr:row>12</xdr:row>
                    <xdr:rowOff>190500</xdr:rowOff>
                  </to>
                </anchor>
              </controlPr>
            </control>
          </mc:Choice>
        </mc:AlternateContent>
        <mc:AlternateContent xmlns:mc="http://schemas.openxmlformats.org/markup-compatibility/2006">
          <mc:Choice Requires="x14">
            <control shapeId="641029" r:id="rId8" name="Check Box 5">
              <controlPr locked="0" defaultSize="0" autoFill="0" autoLine="0" autoPict="0">
                <anchor moveWithCells="1">
                  <from>
                    <xdr:col>18</xdr:col>
                    <xdr:colOff>0</xdr:colOff>
                    <xdr:row>10</xdr:row>
                    <xdr:rowOff>0</xdr:rowOff>
                  </from>
                  <to>
                    <xdr:col>19</xdr:col>
                    <xdr:colOff>19050</xdr:colOff>
                    <xdr:row>11</xdr:row>
                    <xdr:rowOff>19050</xdr:rowOff>
                  </to>
                </anchor>
              </controlPr>
            </control>
          </mc:Choice>
        </mc:AlternateContent>
        <mc:AlternateContent xmlns:mc="http://schemas.openxmlformats.org/markup-compatibility/2006">
          <mc:Choice Requires="x14">
            <control shapeId="641030" r:id="rId9" name="Check Box 6">
              <controlPr locked="0" defaultSize="0" autoFill="0" autoLine="0" autoPict="0">
                <anchor moveWithCells="1">
                  <from>
                    <xdr:col>2</xdr:col>
                    <xdr:colOff>180975</xdr:colOff>
                    <xdr:row>17</xdr:row>
                    <xdr:rowOff>152400</xdr:rowOff>
                  </from>
                  <to>
                    <xdr:col>2</xdr:col>
                    <xdr:colOff>495300</xdr:colOff>
                    <xdr:row>17</xdr:row>
                    <xdr:rowOff>371475</xdr:rowOff>
                  </to>
                </anchor>
              </controlPr>
            </control>
          </mc:Choice>
        </mc:AlternateContent>
        <mc:AlternateContent xmlns:mc="http://schemas.openxmlformats.org/markup-compatibility/2006">
          <mc:Choice Requires="x14">
            <control shapeId="641031" r:id="rId10" name="Check Box 7">
              <controlPr locked="0" defaultSize="0" autoFill="0" autoLine="0" autoPict="0">
                <anchor moveWithCells="1">
                  <from>
                    <xdr:col>2</xdr:col>
                    <xdr:colOff>180975</xdr:colOff>
                    <xdr:row>18</xdr:row>
                    <xdr:rowOff>142875</xdr:rowOff>
                  </from>
                  <to>
                    <xdr:col>2</xdr:col>
                    <xdr:colOff>495300</xdr:colOff>
                    <xdr:row>18</xdr:row>
                    <xdr:rowOff>361950</xdr:rowOff>
                  </to>
                </anchor>
              </controlPr>
            </control>
          </mc:Choice>
        </mc:AlternateContent>
        <mc:AlternateContent xmlns:mc="http://schemas.openxmlformats.org/markup-compatibility/2006">
          <mc:Choice Requires="x14">
            <control shapeId="641032" r:id="rId11" name="Check Box 8">
              <controlPr locked="0" defaultSize="0" autoFill="0" autoLine="0" autoPict="0">
                <anchor moveWithCells="1">
                  <from>
                    <xdr:col>2</xdr:col>
                    <xdr:colOff>180975</xdr:colOff>
                    <xdr:row>19</xdr:row>
                    <xdr:rowOff>200025</xdr:rowOff>
                  </from>
                  <to>
                    <xdr:col>2</xdr:col>
                    <xdr:colOff>495300</xdr:colOff>
                    <xdr:row>19</xdr:row>
                    <xdr:rowOff>419100</xdr:rowOff>
                  </to>
                </anchor>
              </controlPr>
            </control>
          </mc:Choice>
        </mc:AlternateContent>
        <mc:AlternateContent xmlns:mc="http://schemas.openxmlformats.org/markup-compatibility/2006">
          <mc:Choice Requires="x14">
            <control shapeId="641033" r:id="rId12" name="Check Box 9">
              <controlPr locked="0" defaultSize="0" autoFill="0" autoLine="0" autoPict="0">
                <anchor moveWithCells="1">
                  <from>
                    <xdr:col>2</xdr:col>
                    <xdr:colOff>180975</xdr:colOff>
                    <xdr:row>20</xdr:row>
                    <xdr:rowOff>190500</xdr:rowOff>
                  </from>
                  <to>
                    <xdr:col>2</xdr:col>
                    <xdr:colOff>495300</xdr:colOff>
                    <xdr:row>20</xdr:row>
                    <xdr:rowOff>409575</xdr:rowOff>
                  </to>
                </anchor>
              </controlPr>
            </control>
          </mc:Choice>
        </mc:AlternateContent>
        <mc:AlternateContent xmlns:mc="http://schemas.openxmlformats.org/markup-compatibility/2006">
          <mc:Choice Requires="x14">
            <control shapeId="641034" r:id="rId13" name="Check Box 10">
              <controlPr locked="0" defaultSize="0" autoFill="0" autoLine="0" autoPict="0">
                <anchor moveWithCells="1">
                  <from>
                    <xdr:col>2</xdr:col>
                    <xdr:colOff>180975</xdr:colOff>
                    <xdr:row>21</xdr:row>
                    <xdr:rowOff>190500</xdr:rowOff>
                  </from>
                  <to>
                    <xdr:col>2</xdr:col>
                    <xdr:colOff>495300</xdr:colOff>
                    <xdr:row>21</xdr:row>
                    <xdr:rowOff>409575</xdr:rowOff>
                  </to>
                </anchor>
              </controlPr>
            </control>
          </mc:Choice>
        </mc:AlternateContent>
        <mc:AlternateContent xmlns:mc="http://schemas.openxmlformats.org/markup-compatibility/2006">
          <mc:Choice Requires="x14">
            <control shapeId="641035" r:id="rId14" name="Check Box 11">
              <controlPr locked="0" defaultSize="0" autoFill="0" autoLine="0" autoPict="0">
                <anchor moveWithCells="1">
                  <from>
                    <xdr:col>2</xdr:col>
                    <xdr:colOff>180975</xdr:colOff>
                    <xdr:row>25</xdr:row>
                    <xdr:rowOff>190500</xdr:rowOff>
                  </from>
                  <to>
                    <xdr:col>2</xdr:col>
                    <xdr:colOff>495300</xdr:colOff>
                    <xdr:row>25</xdr:row>
                    <xdr:rowOff>409575</xdr:rowOff>
                  </to>
                </anchor>
              </controlPr>
            </control>
          </mc:Choice>
        </mc:AlternateContent>
        <mc:AlternateContent xmlns:mc="http://schemas.openxmlformats.org/markup-compatibility/2006">
          <mc:Choice Requires="x14">
            <control shapeId="641036" r:id="rId15" name="Check Box 12">
              <controlPr locked="0" defaultSize="0" autoFill="0" autoLine="0" autoPict="0">
                <anchor moveWithCells="1">
                  <from>
                    <xdr:col>2</xdr:col>
                    <xdr:colOff>180975</xdr:colOff>
                    <xdr:row>26</xdr:row>
                    <xdr:rowOff>190500</xdr:rowOff>
                  </from>
                  <to>
                    <xdr:col>2</xdr:col>
                    <xdr:colOff>495300</xdr:colOff>
                    <xdr:row>26</xdr:row>
                    <xdr:rowOff>409575</xdr:rowOff>
                  </to>
                </anchor>
              </controlPr>
            </control>
          </mc:Choice>
        </mc:AlternateContent>
        <mc:AlternateContent xmlns:mc="http://schemas.openxmlformats.org/markup-compatibility/2006">
          <mc:Choice Requires="x14">
            <control shapeId="641037" r:id="rId16" name="Check Box 13">
              <controlPr locked="0" defaultSize="0" autoFill="0" autoLine="0" autoPict="0">
                <anchor moveWithCells="1">
                  <from>
                    <xdr:col>2</xdr:col>
                    <xdr:colOff>180975</xdr:colOff>
                    <xdr:row>27</xdr:row>
                    <xdr:rowOff>161925</xdr:rowOff>
                  </from>
                  <to>
                    <xdr:col>2</xdr:col>
                    <xdr:colOff>495300</xdr:colOff>
                    <xdr:row>27</xdr:row>
                    <xdr:rowOff>381000</xdr:rowOff>
                  </to>
                </anchor>
              </controlPr>
            </control>
          </mc:Choice>
        </mc:AlternateContent>
        <mc:AlternateContent xmlns:mc="http://schemas.openxmlformats.org/markup-compatibility/2006">
          <mc:Choice Requires="x14">
            <control shapeId="641038" r:id="rId17" name="Check Box 14">
              <controlPr locked="0" defaultSize="0" autoFill="0" autoLine="0" autoPict="0">
                <anchor moveWithCells="1">
                  <from>
                    <xdr:col>2</xdr:col>
                    <xdr:colOff>180975</xdr:colOff>
                    <xdr:row>28</xdr:row>
                    <xdr:rowOff>152400</xdr:rowOff>
                  </from>
                  <to>
                    <xdr:col>2</xdr:col>
                    <xdr:colOff>495300</xdr:colOff>
                    <xdr:row>28</xdr:row>
                    <xdr:rowOff>371475</xdr:rowOff>
                  </to>
                </anchor>
              </controlPr>
            </control>
          </mc:Choice>
        </mc:AlternateContent>
        <mc:AlternateContent xmlns:mc="http://schemas.openxmlformats.org/markup-compatibility/2006">
          <mc:Choice Requires="x14">
            <control shapeId="641039" r:id="rId18" name="Check Box 15">
              <controlPr locked="0" defaultSize="0" autoFill="0" autoLine="0" autoPict="0">
                <anchor moveWithCells="1">
                  <from>
                    <xdr:col>2</xdr:col>
                    <xdr:colOff>180975</xdr:colOff>
                    <xdr:row>29</xdr:row>
                    <xdr:rowOff>180975</xdr:rowOff>
                  </from>
                  <to>
                    <xdr:col>2</xdr:col>
                    <xdr:colOff>495300</xdr:colOff>
                    <xdr:row>29</xdr:row>
                    <xdr:rowOff>400050</xdr:rowOff>
                  </to>
                </anchor>
              </controlPr>
            </control>
          </mc:Choice>
        </mc:AlternateContent>
        <mc:AlternateContent xmlns:mc="http://schemas.openxmlformats.org/markup-compatibility/2006">
          <mc:Choice Requires="x14">
            <control shapeId="641040" r:id="rId19" name="Check Box 16">
              <controlPr locked="0" defaultSize="0" autoFill="0" autoLine="0" autoPict="0">
                <anchor moveWithCells="1">
                  <from>
                    <xdr:col>2</xdr:col>
                    <xdr:colOff>180975</xdr:colOff>
                    <xdr:row>30</xdr:row>
                    <xdr:rowOff>152400</xdr:rowOff>
                  </from>
                  <to>
                    <xdr:col>2</xdr:col>
                    <xdr:colOff>495300</xdr:colOff>
                    <xdr:row>30</xdr:row>
                    <xdr:rowOff>371475</xdr:rowOff>
                  </to>
                </anchor>
              </controlPr>
            </control>
          </mc:Choice>
        </mc:AlternateContent>
        <mc:AlternateContent xmlns:mc="http://schemas.openxmlformats.org/markup-compatibility/2006">
          <mc:Choice Requires="x14">
            <control shapeId="641041" r:id="rId20" name="Check Box 17">
              <controlPr locked="0" defaultSize="0" autoFill="0" autoLine="0" autoPict="0">
                <anchor moveWithCells="1">
                  <from>
                    <xdr:col>2</xdr:col>
                    <xdr:colOff>180975</xdr:colOff>
                    <xdr:row>31</xdr:row>
                    <xdr:rowOff>152400</xdr:rowOff>
                  </from>
                  <to>
                    <xdr:col>2</xdr:col>
                    <xdr:colOff>495300</xdr:colOff>
                    <xdr:row>31</xdr:row>
                    <xdr:rowOff>371475</xdr:rowOff>
                  </to>
                </anchor>
              </controlPr>
            </control>
          </mc:Choice>
        </mc:AlternateContent>
        <mc:AlternateContent xmlns:mc="http://schemas.openxmlformats.org/markup-compatibility/2006">
          <mc:Choice Requires="x14">
            <control shapeId="641042" r:id="rId21" name="Check Box 18">
              <controlPr locked="0" defaultSize="0" autoFill="0" autoLine="0" autoPict="0">
                <anchor moveWithCells="1">
                  <from>
                    <xdr:col>2</xdr:col>
                    <xdr:colOff>180975</xdr:colOff>
                    <xdr:row>32</xdr:row>
                    <xdr:rowOff>152400</xdr:rowOff>
                  </from>
                  <to>
                    <xdr:col>2</xdr:col>
                    <xdr:colOff>495300</xdr:colOff>
                    <xdr:row>32</xdr:row>
                    <xdr:rowOff>371475</xdr:rowOff>
                  </to>
                </anchor>
              </controlPr>
            </control>
          </mc:Choice>
        </mc:AlternateContent>
        <mc:AlternateContent xmlns:mc="http://schemas.openxmlformats.org/markup-compatibility/2006">
          <mc:Choice Requires="x14">
            <control shapeId="641043" r:id="rId22" name="Check Box 19">
              <controlPr locked="0" defaultSize="0" autoFill="0" autoLine="0" autoPict="0">
                <anchor moveWithCells="1">
                  <from>
                    <xdr:col>2</xdr:col>
                    <xdr:colOff>180975</xdr:colOff>
                    <xdr:row>33</xdr:row>
                    <xdr:rowOff>142875</xdr:rowOff>
                  </from>
                  <to>
                    <xdr:col>2</xdr:col>
                    <xdr:colOff>495300</xdr:colOff>
                    <xdr:row>33</xdr:row>
                    <xdr:rowOff>361950</xdr:rowOff>
                  </to>
                </anchor>
              </controlPr>
            </control>
          </mc:Choice>
        </mc:AlternateContent>
        <mc:AlternateContent xmlns:mc="http://schemas.openxmlformats.org/markup-compatibility/2006">
          <mc:Choice Requires="x14">
            <control shapeId="641044" r:id="rId23" name="Check Box 20">
              <controlPr locked="0" defaultSize="0" autoFill="0" autoLine="0" autoPict="0">
                <anchor moveWithCells="1">
                  <from>
                    <xdr:col>2</xdr:col>
                    <xdr:colOff>180975</xdr:colOff>
                    <xdr:row>22</xdr:row>
                    <xdr:rowOff>161925</xdr:rowOff>
                  </from>
                  <to>
                    <xdr:col>2</xdr:col>
                    <xdr:colOff>495300</xdr:colOff>
                    <xdr:row>22</xdr:row>
                    <xdr:rowOff>381000</xdr:rowOff>
                  </to>
                </anchor>
              </controlPr>
            </control>
          </mc:Choice>
        </mc:AlternateContent>
        <mc:AlternateContent xmlns:mc="http://schemas.openxmlformats.org/markup-compatibility/2006">
          <mc:Choice Requires="x14">
            <control shapeId="641045" r:id="rId24" name="Check Box 21">
              <controlPr locked="0" defaultSize="0" autoFill="0" autoLine="0" autoPict="0">
                <anchor moveWithCells="1">
                  <from>
                    <xdr:col>2</xdr:col>
                    <xdr:colOff>180975</xdr:colOff>
                    <xdr:row>34</xdr:row>
                    <xdr:rowOff>171450</xdr:rowOff>
                  </from>
                  <to>
                    <xdr:col>2</xdr:col>
                    <xdr:colOff>495300</xdr:colOff>
                    <xdr:row>34</xdr:row>
                    <xdr:rowOff>390525</xdr:rowOff>
                  </to>
                </anchor>
              </controlPr>
            </control>
          </mc:Choice>
        </mc:AlternateContent>
        <mc:AlternateContent xmlns:mc="http://schemas.openxmlformats.org/markup-compatibility/2006">
          <mc:Choice Requires="x14">
            <control shapeId="641046" r:id="rId25" name="Check Box 22">
              <controlPr locked="0" defaultSize="0" autoFill="0" autoLine="0" autoPict="0">
                <anchor moveWithCells="1">
                  <from>
                    <xdr:col>2</xdr:col>
                    <xdr:colOff>180975</xdr:colOff>
                    <xdr:row>35</xdr:row>
                    <xdr:rowOff>152400</xdr:rowOff>
                  </from>
                  <to>
                    <xdr:col>2</xdr:col>
                    <xdr:colOff>495300</xdr:colOff>
                    <xdr:row>35</xdr:row>
                    <xdr:rowOff>371475</xdr:rowOff>
                  </to>
                </anchor>
              </controlPr>
            </control>
          </mc:Choice>
        </mc:AlternateContent>
        <mc:AlternateContent xmlns:mc="http://schemas.openxmlformats.org/markup-compatibility/2006">
          <mc:Choice Requires="x14">
            <control shapeId="641047" r:id="rId26" name="Check Box 23">
              <controlPr locked="0" defaultSize="0" autoFill="0" autoLine="0" autoPict="0">
                <anchor moveWithCells="1">
                  <from>
                    <xdr:col>4</xdr:col>
                    <xdr:colOff>228600</xdr:colOff>
                    <xdr:row>3</xdr:row>
                    <xdr:rowOff>180975</xdr:rowOff>
                  </from>
                  <to>
                    <xdr:col>7</xdr:col>
                    <xdr:colOff>409575</xdr:colOff>
                    <xdr:row>5</xdr:row>
                    <xdr:rowOff>9525</xdr:rowOff>
                  </to>
                </anchor>
              </controlPr>
            </control>
          </mc:Choice>
        </mc:AlternateContent>
        <mc:AlternateContent xmlns:mc="http://schemas.openxmlformats.org/markup-compatibility/2006">
          <mc:Choice Requires="x14">
            <control shapeId="641048" r:id="rId27" name="Check Box 24">
              <controlPr locked="0" defaultSize="0" autoFill="0" autoLine="0" autoPict="0">
                <anchor moveWithCells="1">
                  <from>
                    <xdr:col>11</xdr:col>
                    <xdr:colOff>9525</xdr:colOff>
                    <xdr:row>3</xdr:row>
                    <xdr:rowOff>180975</xdr:rowOff>
                  </from>
                  <to>
                    <xdr:col>13</xdr:col>
                    <xdr:colOff>457200</xdr:colOff>
                    <xdr:row>5</xdr:row>
                    <xdr:rowOff>9525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AK148"/>
  <sheetViews>
    <sheetView showGridLines="0" view="pageBreakPreview" topLeftCell="A59" zoomScale="85" zoomScaleSheetLayoutView="85" workbookViewId="0">
      <selection activeCell="U64" sqref="U64"/>
    </sheetView>
  </sheetViews>
  <sheetFormatPr defaultColWidth="10.42578125" defaultRowHeight="12.75" x14ac:dyDescent="0.25"/>
  <cols>
    <col min="1" max="1" width="1.28515625" style="377" customWidth="1"/>
    <col min="2" max="2" width="3.28515625" style="377" customWidth="1"/>
    <col min="3" max="4" width="3.42578125" style="377" customWidth="1"/>
    <col min="5" max="5" width="9.5703125" style="377" customWidth="1"/>
    <col min="6" max="8" width="5.28515625" style="377" customWidth="1"/>
    <col min="9" max="9" width="3.42578125" style="377" customWidth="1"/>
    <col min="10" max="10" width="2.7109375" style="377" customWidth="1"/>
    <col min="11" max="12" width="3.42578125" style="377" customWidth="1"/>
    <col min="13" max="13" width="18" style="377" customWidth="1"/>
    <col min="14" max="18" width="3.42578125" style="377" customWidth="1"/>
    <col min="19" max="19" width="5.42578125" style="377" customWidth="1"/>
    <col min="20" max="25" width="3.85546875" style="377" customWidth="1"/>
    <col min="26" max="26" width="1.5703125" style="377" customWidth="1"/>
    <col min="27" max="29" width="3.85546875" style="377" customWidth="1"/>
    <col min="30" max="30" width="10.42578125" style="377" customWidth="1"/>
    <col min="31" max="31" width="10.42578125" style="377"/>
    <col min="32" max="32" width="10.42578125" style="1351" hidden="1" customWidth="1"/>
    <col min="33" max="33" width="10.42578125" style="377"/>
    <col min="34" max="16384" width="10.42578125" style="19"/>
  </cols>
  <sheetData>
    <row r="1" spans="1:33" ht="15.75" thickBot="1" x14ac:dyDescent="0.3">
      <c r="A1" s="1301"/>
      <c r="B1" s="270"/>
      <c r="C1" s="270"/>
      <c r="D1" s="270"/>
      <c r="E1" s="270"/>
      <c r="F1" s="270"/>
      <c r="G1" s="270"/>
      <c r="H1" s="270"/>
      <c r="I1" s="270"/>
      <c r="J1" s="270"/>
      <c r="K1" s="270"/>
      <c r="L1" s="270"/>
      <c r="M1" s="270"/>
      <c r="N1" s="270"/>
      <c r="O1" s="270"/>
      <c r="P1" s="270"/>
      <c r="Q1" s="270"/>
      <c r="R1" s="270"/>
      <c r="S1" s="270"/>
      <c r="T1" s="270"/>
      <c r="U1" s="270"/>
      <c r="V1" s="270"/>
      <c r="W1" s="270"/>
      <c r="X1" s="270"/>
      <c r="Y1" s="270"/>
      <c r="Z1" s="1302"/>
      <c r="AA1" s="376"/>
    </row>
    <row r="2" spans="1:33" s="10" customFormat="1" ht="15" x14ac:dyDescent="0.25">
      <c r="A2" s="3177" t="s">
        <v>366</v>
      </c>
      <c r="B2" s="3178"/>
      <c r="C2" s="3178"/>
      <c r="D2" s="3178"/>
      <c r="E2" s="3178"/>
      <c r="F2" s="3178"/>
      <c r="G2" s="3178"/>
      <c r="H2" s="3178"/>
      <c r="I2" s="3178"/>
      <c r="J2" s="3178"/>
      <c r="K2" s="3178"/>
      <c r="L2" s="3178"/>
      <c r="M2" s="3178"/>
      <c r="N2" s="3178"/>
      <c r="O2" s="3178"/>
      <c r="P2" s="3178"/>
      <c r="Q2" s="3178"/>
      <c r="R2" s="3178"/>
      <c r="S2" s="3178"/>
      <c r="T2" s="3178"/>
      <c r="U2" s="3178"/>
      <c r="V2" s="3178"/>
      <c r="W2" s="3178"/>
      <c r="X2" s="3178"/>
      <c r="Y2" s="3178"/>
      <c r="Z2" s="3179"/>
      <c r="AA2" s="1288"/>
      <c r="AB2" s="1289"/>
      <c r="AC2" s="1289"/>
      <c r="AD2" s="1290"/>
      <c r="AE2" s="1289"/>
      <c r="AF2" s="1352"/>
      <c r="AG2" s="1289"/>
    </row>
    <row r="3" spans="1:33" s="10" customFormat="1" ht="15.75" thickBot="1" x14ac:dyDescent="0.3">
      <c r="A3" s="3180" t="s">
        <v>16</v>
      </c>
      <c r="B3" s="3181"/>
      <c r="C3" s="3181"/>
      <c r="D3" s="3181"/>
      <c r="E3" s="3181"/>
      <c r="F3" s="3181"/>
      <c r="G3" s="3181"/>
      <c r="H3" s="3181"/>
      <c r="I3" s="3181"/>
      <c r="J3" s="3181"/>
      <c r="K3" s="3181"/>
      <c r="L3" s="3181"/>
      <c r="M3" s="3181"/>
      <c r="N3" s="3181"/>
      <c r="O3" s="3181"/>
      <c r="P3" s="3181"/>
      <c r="Q3" s="3181"/>
      <c r="R3" s="3181"/>
      <c r="S3" s="3181"/>
      <c r="T3" s="3181"/>
      <c r="U3" s="3181"/>
      <c r="V3" s="3181"/>
      <c r="W3" s="3181"/>
      <c r="X3" s="3181"/>
      <c r="Y3" s="3181"/>
      <c r="Z3" s="3182"/>
      <c r="AA3" s="1288"/>
      <c r="AB3" s="1289"/>
      <c r="AC3" s="1289"/>
      <c r="AD3" s="1290"/>
      <c r="AE3" s="1289"/>
      <c r="AF3" s="1352"/>
      <c r="AG3" s="1289"/>
    </row>
    <row r="4" spans="1:33" s="24" customFormat="1" ht="15" x14ac:dyDescent="0.25">
      <c r="A4" s="1303"/>
      <c r="B4" s="1304"/>
      <c r="C4" s="1304"/>
      <c r="D4" s="1304"/>
      <c r="E4" s="1304"/>
      <c r="F4" s="1304"/>
      <c r="G4" s="1304"/>
      <c r="H4" s="1304"/>
      <c r="I4" s="1304"/>
      <c r="J4" s="1304"/>
      <c r="K4" s="1304"/>
      <c r="L4" s="1304"/>
      <c r="M4" s="1304"/>
      <c r="N4" s="1304"/>
      <c r="O4" s="1304"/>
      <c r="P4" s="1304"/>
      <c r="Q4" s="1304"/>
      <c r="R4" s="1304"/>
      <c r="S4" s="1304"/>
      <c r="T4" s="1304"/>
      <c r="U4" s="1304"/>
      <c r="V4" s="1304"/>
      <c r="W4" s="1304"/>
      <c r="X4" s="1304"/>
      <c r="Y4" s="1304"/>
      <c r="Z4" s="1305"/>
      <c r="AA4" s="1291"/>
      <c r="AB4" s="1292"/>
      <c r="AC4" s="1292"/>
      <c r="AD4" s="1290"/>
      <c r="AE4" s="1292"/>
      <c r="AF4" s="1353"/>
      <c r="AG4" s="1292"/>
    </row>
    <row r="5" spans="1:33" s="24" customFormat="1" ht="15" customHeight="1" x14ac:dyDescent="0.25">
      <c r="A5" s="1303"/>
      <c r="B5" s="1304"/>
      <c r="C5" s="3193" t="s">
        <v>828</v>
      </c>
      <c r="D5" s="3193"/>
      <c r="E5" s="3193"/>
      <c r="F5" s="3193"/>
      <c r="G5" s="3193"/>
      <c r="H5" s="3193"/>
      <c r="I5" s="3194">
        <f>'CEKLIST 002 (BIO DATA)'!D5</f>
        <v>43374</v>
      </c>
      <c r="J5" s="3194"/>
      <c r="K5" s="3194"/>
      <c r="L5" s="3194"/>
      <c r="M5" s="3194"/>
      <c r="N5" s="3194"/>
      <c r="O5" s="3194"/>
      <c r="P5" s="3194"/>
      <c r="Q5" s="3194"/>
      <c r="R5" s="3194"/>
      <c r="S5" s="3194"/>
      <c r="T5" s="3194"/>
      <c r="U5" s="3194"/>
      <c r="V5" s="3194"/>
      <c r="W5" s="3194"/>
      <c r="X5" s="3194"/>
      <c r="Y5" s="3194"/>
      <c r="Z5" s="1305"/>
      <c r="AA5" s="1291"/>
      <c r="AB5" s="1292"/>
      <c r="AC5" s="1292"/>
      <c r="AD5" s="1290"/>
      <c r="AE5" s="1292"/>
      <c r="AF5" s="1353"/>
      <c r="AG5" s="1292"/>
    </row>
    <row r="6" spans="1:33" s="10" customFormat="1" ht="18" customHeight="1" x14ac:dyDescent="0.25">
      <c r="A6" s="1306"/>
      <c r="B6" s="1307"/>
      <c r="C6" s="1307"/>
      <c r="D6" s="1307"/>
      <c r="E6" s="1307"/>
      <c r="F6" s="1307"/>
      <c r="G6" s="1307"/>
      <c r="H6" s="1307"/>
      <c r="I6" s="1307"/>
      <c r="J6" s="1307"/>
      <c r="K6" s="1307"/>
      <c r="L6" s="1307"/>
      <c r="M6" s="1307"/>
      <c r="N6" s="1307"/>
      <c r="O6" s="1307"/>
      <c r="P6" s="1307"/>
      <c r="Q6" s="1307"/>
      <c r="R6" s="1307"/>
      <c r="S6" s="1307"/>
      <c r="T6" s="1307"/>
      <c r="U6" s="1307"/>
      <c r="V6" s="1307"/>
      <c r="W6" s="1307"/>
      <c r="X6" s="1307"/>
      <c r="Y6" s="1307"/>
      <c r="Z6" s="1308"/>
      <c r="AA6" s="1288"/>
      <c r="AB6" s="1289"/>
      <c r="AC6" s="1289"/>
      <c r="AD6" s="1290"/>
      <c r="AE6" s="1289"/>
      <c r="AF6" s="1352"/>
      <c r="AG6" s="1289"/>
    </row>
    <row r="7" spans="1:33" s="10" customFormat="1" ht="15" x14ac:dyDescent="0.25">
      <c r="A7" s="1309"/>
      <c r="B7" s="1255">
        <v>1</v>
      </c>
      <c r="C7" s="3183" t="s">
        <v>17</v>
      </c>
      <c r="D7" s="3183"/>
      <c r="E7" s="3183"/>
      <c r="F7" s="3183"/>
      <c r="G7" s="3183"/>
      <c r="H7" s="3183"/>
      <c r="I7" s="3183"/>
      <c r="J7" s="3183"/>
      <c r="K7" s="3183"/>
      <c r="L7" s="3183"/>
      <c r="M7" s="3183"/>
      <c r="N7" s="3183"/>
      <c r="O7" s="3183"/>
      <c r="P7" s="3183"/>
      <c r="Q7" s="3183"/>
      <c r="R7" s="3183"/>
      <c r="S7" s="3183"/>
      <c r="T7" s="3183"/>
      <c r="U7" s="3183"/>
      <c r="V7" s="3183"/>
      <c r="W7" s="3183"/>
      <c r="X7" s="3183"/>
      <c r="Y7" s="3183"/>
      <c r="Z7" s="1310"/>
      <c r="AA7" s="1289"/>
      <c r="AB7" s="1289"/>
      <c r="AC7" s="1289"/>
      <c r="AD7" s="1290"/>
      <c r="AE7" s="1289"/>
      <c r="AF7" s="1352"/>
      <c r="AG7" s="1289"/>
    </row>
    <row r="8" spans="1:33" s="10" customFormat="1" ht="16.5" customHeight="1" x14ac:dyDescent="0.35">
      <c r="A8" s="1309"/>
      <c r="B8" s="278"/>
      <c r="C8" s="1311" t="s">
        <v>55</v>
      </c>
      <c r="D8" s="3184" t="s">
        <v>18</v>
      </c>
      <c r="E8" s="3185"/>
      <c r="F8" s="3185"/>
      <c r="G8" s="3185"/>
      <c r="H8" s="3185"/>
      <c r="I8" s="3185"/>
      <c r="J8" s="1311" t="s">
        <v>0</v>
      </c>
      <c r="K8" s="3186" t="str">
        <f>'CEKLIST 002 (BIO DATA)'!D15</f>
        <v>PD. BPR DOMPU</v>
      </c>
      <c r="L8" s="3187"/>
      <c r="M8" s="3187"/>
      <c r="N8" s="3187"/>
      <c r="O8" s="3187"/>
      <c r="P8" s="3187"/>
      <c r="Q8" s="3187"/>
      <c r="R8" s="3187"/>
      <c r="S8" s="3187"/>
      <c r="T8" s="3187"/>
      <c r="U8" s="3187"/>
      <c r="V8" s="3187"/>
      <c r="W8" s="3187"/>
      <c r="X8" s="3187"/>
      <c r="Y8" s="3187"/>
      <c r="Z8" s="1310"/>
      <c r="AA8" s="1289"/>
      <c r="AB8" s="1289"/>
      <c r="AC8" s="1289"/>
      <c r="AD8" s="1290"/>
      <c r="AE8" s="1289"/>
      <c r="AF8" s="1352"/>
      <c r="AG8" s="1289"/>
    </row>
    <row r="9" spans="1:33" s="10" customFormat="1" ht="30.2" customHeight="1" thickBot="1" x14ac:dyDescent="0.3">
      <c r="A9" s="1309"/>
      <c r="B9" s="278"/>
      <c r="C9" s="1311" t="s">
        <v>56</v>
      </c>
      <c r="D9" s="3192" t="s">
        <v>19</v>
      </c>
      <c r="E9" s="3192"/>
      <c r="F9" s="3192"/>
      <c r="G9" s="3192"/>
      <c r="H9" s="3192"/>
      <c r="I9" s="3192"/>
      <c r="J9" s="1311" t="s">
        <v>0</v>
      </c>
      <c r="K9" s="3191" t="str">
        <f>'CEKLIST 002 (BIO DATA)'!D21</f>
        <v xml:space="preserve">Jl. Nusantara No. 04 </v>
      </c>
      <c r="L9" s="3191"/>
      <c r="M9" s="3191"/>
      <c r="N9" s="3191" t="str">
        <f>'CEKLIST 002 (BIO DATA)'!D24</f>
        <v>Dompu</v>
      </c>
      <c r="O9" s="3191"/>
      <c r="P9" s="3191"/>
      <c r="Q9" s="3191"/>
      <c r="R9" s="3191"/>
      <c r="S9" s="3191"/>
      <c r="T9" s="3191" t="str">
        <f>'CEKLIST 002 (BIO DATA)'!D25</f>
        <v>Nusa Tenggara Barat</v>
      </c>
      <c r="U9" s="3191"/>
      <c r="V9" s="3191"/>
      <c r="W9" s="3191"/>
      <c r="X9" s="3191"/>
      <c r="Y9" s="3191"/>
      <c r="Z9" s="1310"/>
      <c r="AA9" s="1289"/>
      <c r="AB9" s="1289"/>
      <c r="AC9" s="1289"/>
      <c r="AD9" s="1290"/>
      <c r="AE9" s="1289"/>
      <c r="AF9" s="1352"/>
      <c r="AG9" s="1289"/>
    </row>
    <row r="10" spans="1:33" s="10" customFormat="1" ht="30.2" customHeight="1" thickBot="1" x14ac:dyDescent="0.3">
      <c r="A10" s="1309"/>
      <c r="B10" s="278"/>
      <c r="C10" s="3159" t="s">
        <v>368</v>
      </c>
      <c r="D10" s="3160"/>
      <c r="E10" s="3160"/>
      <c r="F10" s="3160"/>
      <c r="G10" s="3160"/>
      <c r="H10" s="3160"/>
      <c r="I10" s="3160"/>
      <c r="J10" s="1312" t="s">
        <v>0</v>
      </c>
      <c r="K10" s="3161">
        <f>'CEKLIST 002 (BIO DATA)'!D19</f>
        <v>7000000000</v>
      </c>
      <c r="L10" s="3162"/>
      <c r="M10" s="3162"/>
      <c r="N10" s="3162"/>
      <c r="O10" s="3162"/>
      <c r="P10" s="3162"/>
      <c r="Q10" s="3163"/>
      <c r="R10" s="3164"/>
      <c r="S10" s="3164"/>
      <c r="T10" s="3164"/>
      <c r="U10" s="3164"/>
      <c r="V10" s="3164"/>
      <c r="W10" s="3164"/>
      <c r="X10" s="3164"/>
      <c r="Y10" s="3165"/>
      <c r="Z10" s="1313"/>
      <c r="AA10" s="1289"/>
      <c r="AB10" s="1289"/>
      <c r="AC10" s="1289"/>
      <c r="AD10" s="1290"/>
      <c r="AE10" s="1289"/>
      <c r="AF10" s="1352"/>
      <c r="AG10" s="1289"/>
    </row>
    <row r="11" spans="1:33" s="10" customFormat="1" ht="19.5" customHeight="1" x14ac:dyDescent="0.25">
      <c r="A11" s="1287"/>
      <c r="B11" s="1281"/>
      <c r="C11" s="1314" t="s">
        <v>57</v>
      </c>
      <c r="D11" s="3169" t="s">
        <v>20</v>
      </c>
      <c r="E11" s="3170"/>
      <c r="F11" s="3170"/>
      <c r="G11" s="3170"/>
      <c r="H11" s="3170"/>
      <c r="I11" s="3170"/>
      <c r="J11" s="1314" t="s">
        <v>0</v>
      </c>
      <c r="K11" s="3175" t="s">
        <v>1566</v>
      </c>
      <c r="L11" s="3176"/>
      <c r="M11" s="3176"/>
      <c r="N11" s="3176"/>
      <c r="O11" s="3176"/>
      <c r="P11" s="3176"/>
      <c r="Q11" s="3176"/>
      <c r="R11" s="3176"/>
      <c r="S11" s="3176"/>
      <c r="T11" s="3176"/>
      <c r="U11" s="3176"/>
      <c r="V11" s="3176"/>
      <c r="W11" s="3176"/>
      <c r="X11" s="3176"/>
      <c r="Y11" s="3176"/>
      <c r="Z11" s="379"/>
      <c r="AA11" s="1289"/>
      <c r="AB11" s="1289"/>
      <c r="AC11" s="1289"/>
      <c r="AD11" s="1290"/>
      <c r="AE11" s="1289"/>
      <c r="AF11" s="1352"/>
      <c r="AG11" s="1289"/>
    </row>
    <row r="12" spans="1:33" s="10" customFormat="1" ht="15" x14ac:dyDescent="0.25">
      <c r="A12" s="1287"/>
      <c r="B12" s="1281"/>
      <c r="C12" s="3049" t="s">
        <v>58</v>
      </c>
      <c r="D12" s="3049" t="s">
        <v>21</v>
      </c>
      <c r="E12" s="3049"/>
      <c r="F12" s="3049"/>
      <c r="G12" s="3049"/>
      <c r="H12" s="3049"/>
      <c r="I12" s="3049"/>
      <c r="J12" s="3049"/>
      <c r="K12" s="3068" t="s">
        <v>195</v>
      </c>
      <c r="L12" s="3068"/>
      <c r="M12" s="3068"/>
      <c r="N12" s="3068" t="s">
        <v>1</v>
      </c>
      <c r="O12" s="3068"/>
      <c r="P12" s="3068"/>
      <c r="Q12" s="3068" t="s">
        <v>196</v>
      </c>
      <c r="R12" s="3068"/>
      <c r="S12" s="3068"/>
      <c r="T12" s="3028" t="s">
        <v>345</v>
      </c>
      <c r="U12" s="3028"/>
      <c r="V12" s="3028"/>
      <c r="W12" s="3028"/>
      <c r="X12" s="3028"/>
      <c r="Y12" s="1266"/>
      <c r="Z12" s="379"/>
      <c r="AA12" s="1289"/>
      <c r="AB12" s="1289"/>
      <c r="AC12" s="1289"/>
      <c r="AD12" s="1290"/>
      <c r="AE12" s="1289"/>
      <c r="AF12" s="1352"/>
      <c r="AG12" s="1289"/>
    </row>
    <row r="13" spans="1:33" s="31" customFormat="1" ht="16.5" customHeight="1" x14ac:dyDescent="0.25">
      <c r="A13" s="1269"/>
      <c r="B13" s="1264"/>
      <c r="C13" s="3049"/>
      <c r="D13" s="3049"/>
      <c r="E13" s="3049"/>
      <c r="F13" s="3049"/>
      <c r="G13" s="3049"/>
      <c r="H13" s="3049"/>
      <c r="I13" s="3049"/>
      <c r="J13" s="3049"/>
      <c r="K13" s="3068"/>
      <c r="L13" s="3068"/>
      <c r="M13" s="3068"/>
      <c r="N13" s="3068"/>
      <c r="O13" s="3068"/>
      <c r="P13" s="3068"/>
      <c r="Q13" s="3068"/>
      <c r="R13" s="3068"/>
      <c r="S13" s="3068"/>
      <c r="T13" s="1276">
        <v>1</v>
      </c>
      <c r="U13" s="1276">
        <v>2</v>
      </c>
      <c r="V13" s="1276">
        <v>3</v>
      </c>
      <c r="W13" s="1276">
        <v>4</v>
      </c>
      <c r="X13" s="1276">
        <v>5</v>
      </c>
      <c r="Y13" s="1270"/>
      <c r="Z13" s="1271"/>
      <c r="AA13" s="1293"/>
      <c r="AB13" s="1293"/>
      <c r="AC13" s="1293"/>
      <c r="AD13" s="1290"/>
      <c r="AE13" s="1293"/>
      <c r="AF13" s="1354"/>
      <c r="AG13" s="1293"/>
    </row>
    <row r="14" spans="1:33" s="10" customFormat="1" ht="22.5" customHeight="1" x14ac:dyDescent="0.25">
      <c r="A14" s="1287"/>
      <c r="B14" s="1281"/>
      <c r="C14" s="3166"/>
      <c r="D14" s="1315">
        <v>1</v>
      </c>
      <c r="E14" s="3151" t="s">
        <v>23</v>
      </c>
      <c r="F14" s="3152"/>
      <c r="G14" s="3152"/>
      <c r="H14" s="3152"/>
      <c r="I14" s="3152"/>
      <c r="J14" s="1316" t="s">
        <v>0</v>
      </c>
      <c r="K14" s="3188" t="str">
        <f>'CEKLIST 002 (BIO DATA)'!D17</f>
        <v>PD NO.90</v>
      </c>
      <c r="L14" s="3189"/>
      <c r="M14" s="3189"/>
      <c r="N14" s="3154">
        <v>40224</v>
      </c>
      <c r="O14" s="3154"/>
      <c r="P14" s="3154"/>
      <c r="Q14" s="3154" t="s">
        <v>22</v>
      </c>
      <c r="R14" s="3154"/>
      <c r="S14" s="3154"/>
      <c r="T14" s="1260"/>
      <c r="U14" s="1260"/>
      <c r="V14" s="1260"/>
      <c r="W14" s="1260"/>
      <c r="X14" s="1260"/>
      <c r="Y14" s="1268"/>
      <c r="Z14" s="379"/>
      <c r="AA14" s="1289"/>
      <c r="AB14" s="1289"/>
      <c r="AC14" s="1289"/>
      <c r="AD14" s="1290">
        <v>5</v>
      </c>
      <c r="AE14" s="1289"/>
      <c r="AF14" s="1352"/>
      <c r="AG14" s="1289"/>
    </row>
    <row r="15" spans="1:33" s="10" customFormat="1" ht="22.5" customHeight="1" x14ac:dyDescent="0.25">
      <c r="A15" s="1287"/>
      <c r="B15" s="1281"/>
      <c r="C15" s="3167"/>
      <c r="D15" s="1315">
        <v>2</v>
      </c>
      <c r="E15" s="3151" t="s">
        <v>197</v>
      </c>
      <c r="F15" s="3152"/>
      <c r="G15" s="3152"/>
      <c r="H15" s="3152"/>
      <c r="I15" s="3152"/>
      <c r="J15" s="1316" t="s">
        <v>0</v>
      </c>
      <c r="K15" s="3153" t="s">
        <v>1764</v>
      </c>
      <c r="L15" s="3153"/>
      <c r="M15" s="3153"/>
      <c r="N15" s="3154">
        <v>42572</v>
      </c>
      <c r="O15" s="3154"/>
      <c r="P15" s="3154"/>
      <c r="Q15" s="3154">
        <v>42937</v>
      </c>
      <c r="R15" s="3154"/>
      <c r="S15" s="3154"/>
      <c r="T15" s="1260"/>
      <c r="U15" s="1260"/>
      <c r="V15" s="1260"/>
      <c r="W15" s="1260"/>
      <c r="X15" s="1260"/>
      <c r="Y15" s="1268"/>
      <c r="Z15" s="379"/>
      <c r="AA15" s="1289"/>
      <c r="AB15" s="1289"/>
      <c r="AC15" s="1289"/>
      <c r="AD15" s="1290">
        <v>3</v>
      </c>
      <c r="AE15" s="1289"/>
      <c r="AF15" s="1352"/>
      <c r="AG15" s="1289"/>
    </row>
    <row r="16" spans="1:33" s="10" customFormat="1" ht="22.5" customHeight="1" x14ac:dyDescent="0.25">
      <c r="A16" s="1287"/>
      <c r="B16" s="1281"/>
      <c r="C16" s="3167"/>
      <c r="D16" s="1315">
        <v>3</v>
      </c>
      <c r="E16" s="3151" t="s">
        <v>1547</v>
      </c>
      <c r="F16" s="3152"/>
      <c r="G16" s="3152"/>
      <c r="H16" s="3152"/>
      <c r="I16" s="3152"/>
      <c r="J16" s="1316" t="s">
        <v>0</v>
      </c>
      <c r="K16" s="3153" t="s">
        <v>1765</v>
      </c>
      <c r="L16" s="3153"/>
      <c r="M16" s="3153"/>
      <c r="N16" s="3154">
        <v>42572</v>
      </c>
      <c r="O16" s="3154"/>
      <c r="P16" s="3154"/>
      <c r="Q16" s="3154">
        <v>44414</v>
      </c>
      <c r="R16" s="3154"/>
      <c r="S16" s="3154"/>
      <c r="T16" s="1260"/>
      <c r="U16" s="1260"/>
      <c r="V16" s="1260"/>
      <c r="W16" s="1260"/>
      <c r="X16" s="1260"/>
      <c r="Y16" s="1268"/>
      <c r="Z16" s="379"/>
      <c r="AA16" s="1289"/>
      <c r="AB16" s="1289"/>
      <c r="AC16" s="1289"/>
      <c r="AD16" s="1290">
        <v>4</v>
      </c>
      <c r="AE16" s="1289"/>
      <c r="AF16" s="1352"/>
      <c r="AG16" s="1289"/>
    </row>
    <row r="17" spans="1:36" s="10" customFormat="1" ht="22.5" customHeight="1" x14ac:dyDescent="0.25">
      <c r="A17" s="1287"/>
      <c r="B17" s="1281"/>
      <c r="C17" s="3167"/>
      <c r="D17" s="1315">
        <v>4</v>
      </c>
      <c r="E17" s="3151" t="s">
        <v>198</v>
      </c>
      <c r="F17" s="3152"/>
      <c r="G17" s="3152"/>
      <c r="H17" s="3152"/>
      <c r="I17" s="3152"/>
      <c r="J17" s="1316" t="s">
        <v>0</v>
      </c>
      <c r="K17" s="3190" t="s">
        <v>1748</v>
      </c>
      <c r="L17" s="3153"/>
      <c r="M17" s="3153"/>
      <c r="N17" s="3154">
        <v>42572</v>
      </c>
      <c r="O17" s="3154"/>
      <c r="P17" s="3154"/>
      <c r="Q17" s="3154">
        <v>44414</v>
      </c>
      <c r="R17" s="3154"/>
      <c r="S17" s="3154"/>
      <c r="T17" s="1260"/>
      <c r="U17" s="1260"/>
      <c r="V17" s="1260"/>
      <c r="W17" s="1260"/>
      <c r="X17" s="1260"/>
      <c r="Y17" s="1268"/>
      <c r="Z17" s="379"/>
      <c r="AA17" s="1289"/>
      <c r="AB17" s="1289"/>
      <c r="AC17" s="1289"/>
      <c r="AD17" s="1290">
        <v>3</v>
      </c>
      <c r="AE17" s="1289"/>
      <c r="AF17" s="1352"/>
      <c r="AG17" s="1289"/>
    </row>
    <row r="18" spans="1:36" s="10" customFormat="1" ht="22.5" customHeight="1" x14ac:dyDescent="0.25">
      <c r="A18" s="1287"/>
      <c r="B18" s="1281"/>
      <c r="C18" s="3167"/>
      <c r="D18" s="1315">
        <v>5</v>
      </c>
      <c r="E18" s="3151" t="s">
        <v>199</v>
      </c>
      <c r="F18" s="3152"/>
      <c r="G18" s="3152"/>
      <c r="H18" s="3152"/>
      <c r="I18" s="3152"/>
      <c r="J18" s="1316" t="s">
        <v>0</v>
      </c>
      <c r="K18" s="3189" t="str">
        <f>'CEKLIST 002 (BIO DATA)'!D51</f>
        <v>02.972.760.9-912.000</v>
      </c>
      <c r="L18" s="3189"/>
      <c r="M18" s="3189"/>
      <c r="N18" s="3154">
        <v>40599</v>
      </c>
      <c r="O18" s="3154"/>
      <c r="P18" s="3154"/>
      <c r="Q18" s="3154" t="s">
        <v>291</v>
      </c>
      <c r="R18" s="3154"/>
      <c r="S18" s="3154"/>
      <c r="T18" s="1260"/>
      <c r="U18" s="1260"/>
      <c r="V18" s="1260"/>
      <c r="W18" s="1260"/>
      <c r="X18" s="1260"/>
      <c r="Y18" s="1268"/>
      <c r="Z18" s="379"/>
      <c r="AA18" s="1289"/>
      <c r="AB18" s="1289"/>
      <c r="AC18" s="1289"/>
      <c r="AD18" s="1290">
        <v>5</v>
      </c>
      <c r="AE18" s="1289"/>
      <c r="AF18" s="1352"/>
      <c r="AG18" s="1289"/>
    </row>
    <row r="19" spans="1:36" s="10" customFormat="1" ht="22.5" customHeight="1" x14ac:dyDescent="0.25">
      <c r="A19" s="1287"/>
      <c r="B19" s="1281"/>
      <c r="C19" s="3167"/>
      <c r="D19" s="1315">
        <v>6</v>
      </c>
      <c r="E19" s="3129" t="s">
        <v>1548</v>
      </c>
      <c r="F19" s="3130"/>
      <c r="G19" s="3130"/>
      <c r="H19" s="3130"/>
      <c r="I19" s="3155"/>
      <c r="J19" s="1316" t="s">
        <v>0</v>
      </c>
      <c r="K19" s="3174" t="s">
        <v>1767</v>
      </c>
      <c r="L19" s="3138"/>
      <c r="M19" s="3139"/>
      <c r="N19" s="3156">
        <v>41319</v>
      </c>
      <c r="O19" s="3157"/>
      <c r="P19" s="3158"/>
      <c r="Q19" s="3156">
        <v>43465</v>
      </c>
      <c r="R19" s="3157"/>
      <c r="S19" s="3158"/>
      <c r="T19" s="1260"/>
      <c r="U19" s="1260"/>
      <c r="V19" s="1260"/>
      <c r="W19" s="1260"/>
      <c r="X19" s="1260"/>
      <c r="Y19" s="1268"/>
      <c r="Z19" s="379"/>
      <c r="AA19" s="1289"/>
      <c r="AB19" s="1289"/>
      <c r="AC19" s="1289"/>
      <c r="AD19" s="1290">
        <v>3</v>
      </c>
      <c r="AE19" s="1289"/>
      <c r="AF19" s="1352"/>
      <c r="AG19" s="1289"/>
    </row>
    <row r="20" spans="1:36" s="10" customFormat="1" ht="22.5" customHeight="1" x14ac:dyDescent="0.25">
      <c r="A20" s="1287"/>
      <c r="B20" s="1281"/>
      <c r="C20" s="3167"/>
      <c r="D20" s="1315">
        <v>7</v>
      </c>
      <c r="E20" s="3129" t="s">
        <v>292</v>
      </c>
      <c r="F20" s="3130"/>
      <c r="G20" s="3130"/>
      <c r="H20" s="3130"/>
      <c r="I20" s="3155"/>
      <c r="J20" s="1316" t="s">
        <v>0</v>
      </c>
      <c r="K20" s="3137" t="s">
        <v>1768</v>
      </c>
      <c r="L20" s="3138"/>
      <c r="M20" s="3139"/>
      <c r="N20" s="3156">
        <v>40306</v>
      </c>
      <c r="O20" s="3157"/>
      <c r="P20" s="3158"/>
      <c r="Q20" s="3156" t="s">
        <v>22</v>
      </c>
      <c r="R20" s="3157"/>
      <c r="S20" s="3158"/>
      <c r="T20" s="1260"/>
      <c r="U20" s="1260"/>
      <c r="V20" s="1260"/>
      <c r="W20" s="1260"/>
      <c r="X20" s="1260"/>
      <c r="Y20" s="1268"/>
      <c r="Z20" s="379"/>
      <c r="AA20" s="1289"/>
      <c r="AB20" s="1289"/>
      <c r="AC20" s="1289"/>
      <c r="AD20" s="1290">
        <v>5</v>
      </c>
      <c r="AE20" s="1289"/>
      <c r="AF20" s="1355"/>
      <c r="AG20" s="1294"/>
      <c r="AH20" s="32"/>
      <c r="AI20" s="32"/>
      <c r="AJ20" s="32"/>
    </row>
    <row r="21" spans="1:36" s="10" customFormat="1" ht="22.5" customHeight="1" x14ac:dyDescent="0.25">
      <c r="A21" s="1287"/>
      <c r="B21" s="1281"/>
      <c r="C21" s="3167"/>
      <c r="D21" s="1315">
        <v>8</v>
      </c>
      <c r="E21" s="2982" t="s">
        <v>1549</v>
      </c>
      <c r="F21" s="2983"/>
      <c r="G21" s="2983"/>
      <c r="H21" s="2983"/>
      <c r="I21" s="2984"/>
      <c r="J21" s="1316" t="s">
        <v>0</v>
      </c>
      <c r="K21" s="3137" t="s">
        <v>22</v>
      </c>
      <c r="L21" s="3138"/>
      <c r="M21" s="3139"/>
      <c r="N21" s="3156" t="s">
        <v>22</v>
      </c>
      <c r="O21" s="3157"/>
      <c r="P21" s="3158"/>
      <c r="Q21" s="3156" t="s">
        <v>22</v>
      </c>
      <c r="R21" s="3157"/>
      <c r="S21" s="3158"/>
      <c r="T21" s="1260"/>
      <c r="U21" s="1260"/>
      <c r="V21" s="1260"/>
      <c r="W21" s="1260"/>
      <c r="X21" s="1260"/>
      <c r="Y21" s="1268"/>
      <c r="Z21" s="379"/>
      <c r="AA21" s="1289"/>
      <c r="AB21" s="1289"/>
      <c r="AC21" s="1289"/>
      <c r="AD21" s="1290">
        <v>0</v>
      </c>
      <c r="AE21" s="1289"/>
      <c r="AF21" s="1355"/>
      <c r="AG21" s="1294"/>
      <c r="AH21" s="32"/>
      <c r="AI21" s="32"/>
      <c r="AJ21" s="32"/>
    </row>
    <row r="22" spans="1:36" s="10" customFormat="1" ht="22.5" customHeight="1" x14ac:dyDescent="0.25">
      <c r="A22" s="1287"/>
      <c r="B22" s="1281"/>
      <c r="C22" s="3167"/>
      <c r="D22" s="1315">
        <v>9</v>
      </c>
      <c r="E22" s="3129" t="s">
        <v>1550</v>
      </c>
      <c r="F22" s="3130"/>
      <c r="G22" s="3130"/>
      <c r="H22" s="3130"/>
      <c r="I22" s="3155"/>
      <c r="J22" s="1316" t="s">
        <v>0</v>
      </c>
      <c r="K22" s="3174" t="s">
        <v>1769</v>
      </c>
      <c r="L22" s="3138"/>
      <c r="M22" s="3139"/>
      <c r="N22" s="3156">
        <v>42956</v>
      </c>
      <c r="O22" s="3157"/>
      <c r="P22" s="3158"/>
      <c r="Q22" s="3154" t="s">
        <v>291</v>
      </c>
      <c r="R22" s="3154"/>
      <c r="S22" s="3154"/>
      <c r="T22" s="1260"/>
      <c r="U22" s="1260"/>
      <c r="V22" s="1260"/>
      <c r="W22" s="1260"/>
      <c r="X22" s="1260"/>
      <c r="Y22" s="1268"/>
      <c r="Z22" s="379"/>
      <c r="AA22" s="1289"/>
      <c r="AB22" s="1289"/>
      <c r="AC22" s="1289"/>
      <c r="AD22" s="1290">
        <v>5</v>
      </c>
      <c r="AE22" s="1289"/>
      <c r="AF22" s="1355"/>
      <c r="AG22" s="1294"/>
      <c r="AH22" s="32"/>
      <c r="AI22" s="32"/>
      <c r="AJ22" s="32"/>
    </row>
    <row r="23" spans="1:36" s="10" customFormat="1" ht="30" customHeight="1" x14ac:dyDescent="0.25">
      <c r="A23" s="1287"/>
      <c r="B23" s="1281"/>
      <c r="C23" s="3167"/>
      <c r="D23" s="1315">
        <v>10</v>
      </c>
      <c r="E23" s="3129" t="s">
        <v>1551</v>
      </c>
      <c r="F23" s="3130"/>
      <c r="G23" s="3130"/>
      <c r="H23" s="3130"/>
      <c r="I23" s="3155"/>
      <c r="J23" s="1316" t="s">
        <v>0</v>
      </c>
      <c r="K23" s="3174" t="s">
        <v>1770</v>
      </c>
      <c r="L23" s="3138"/>
      <c r="M23" s="3139"/>
      <c r="N23" s="3156">
        <v>41500</v>
      </c>
      <c r="O23" s="3157"/>
      <c r="P23" s="3158"/>
      <c r="Q23" s="3156">
        <v>43337</v>
      </c>
      <c r="R23" s="3157"/>
      <c r="S23" s="3158"/>
      <c r="T23" s="1260"/>
      <c r="U23" s="1260"/>
      <c r="V23" s="1260"/>
      <c r="W23" s="1260"/>
      <c r="X23" s="1260"/>
      <c r="Y23" s="1268"/>
      <c r="Z23" s="379"/>
      <c r="AA23" s="1289"/>
      <c r="AB23" s="1289"/>
      <c r="AC23" s="1289"/>
      <c r="AD23" s="1290">
        <v>4</v>
      </c>
      <c r="AE23" s="1289"/>
      <c r="AF23" s="1355"/>
      <c r="AG23" s="1294"/>
      <c r="AH23" s="32"/>
      <c r="AI23" s="32"/>
      <c r="AJ23" s="32"/>
    </row>
    <row r="24" spans="1:36" s="10" customFormat="1" ht="22.5" customHeight="1" x14ac:dyDescent="0.25">
      <c r="A24" s="1287"/>
      <c r="B24" s="1281"/>
      <c r="C24" s="3167"/>
      <c r="D24" s="1315">
        <v>11</v>
      </c>
      <c r="E24" s="3129" t="s">
        <v>491</v>
      </c>
      <c r="F24" s="3130"/>
      <c r="G24" s="3130"/>
      <c r="H24" s="3130"/>
      <c r="I24" s="3155"/>
      <c r="J24" s="1316" t="s">
        <v>0</v>
      </c>
      <c r="K24" s="3137"/>
      <c r="L24" s="3138"/>
      <c r="M24" s="3139"/>
      <c r="N24" s="3171"/>
      <c r="O24" s="3172"/>
      <c r="P24" s="3173"/>
      <c r="Q24" s="3171"/>
      <c r="R24" s="3172"/>
      <c r="S24" s="3173"/>
      <c r="T24" s="1260"/>
      <c r="U24" s="1260"/>
      <c r="V24" s="1260"/>
      <c r="W24" s="1260"/>
      <c r="X24" s="1260"/>
      <c r="Y24" s="1268"/>
      <c r="Z24" s="379"/>
      <c r="AA24" s="1289"/>
      <c r="AB24" s="1289"/>
      <c r="AC24" s="1289"/>
      <c r="AD24" s="1290">
        <v>0</v>
      </c>
      <c r="AE24" s="1289"/>
      <c r="AF24" s="1355"/>
      <c r="AG24" s="1294"/>
      <c r="AH24" s="32"/>
      <c r="AI24" s="32"/>
      <c r="AJ24" s="32"/>
    </row>
    <row r="25" spans="1:36" s="10" customFormat="1" ht="22.5" customHeight="1" x14ac:dyDescent="0.25">
      <c r="A25" s="1287"/>
      <c r="B25" s="1281"/>
      <c r="C25" s="3167"/>
      <c r="D25" s="1315">
        <v>12</v>
      </c>
      <c r="E25" s="3129" t="s">
        <v>491</v>
      </c>
      <c r="F25" s="3130"/>
      <c r="G25" s="3130"/>
      <c r="H25" s="3130"/>
      <c r="I25" s="3155"/>
      <c r="J25" s="1316" t="s">
        <v>0</v>
      </c>
      <c r="K25" s="3137"/>
      <c r="L25" s="3138"/>
      <c r="M25" s="3139"/>
      <c r="N25" s="3171"/>
      <c r="O25" s="3172"/>
      <c r="P25" s="3173"/>
      <c r="Q25" s="3171"/>
      <c r="R25" s="3172"/>
      <c r="S25" s="3173"/>
      <c r="T25" s="1260"/>
      <c r="U25" s="1260"/>
      <c r="V25" s="1260"/>
      <c r="W25" s="1260"/>
      <c r="X25" s="1260"/>
      <c r="Y25" s="1268"/>
      <c r="Z25" s="379"/>
      <c r="AA25" s="1289"/>
      <c r="AB25" s="1289"/>
      <c r="AC25" s="1289"/>
      <c r="AD25" s="1290">
        <v>0</v>
      </c>
      <c r="AE25" s="1289"/>
      <c r="AF25" s="1355"/>
      <c r="AG25" s="1294"/>
      <c r="AH25" s="32"/>
      <c r="AI25" s="32"/>
      <c r="AJ25" s="32"/>
    </row>
    <row r="26" spans="1:36" s="10" customFormat="1" ht="22.5" customHeight="1" x14ac:dyDescent="0.25">
      <c r="A26" s="1287"/>
      <c r="B26" s="1281"/>
      <c r="C26" s="3167"/>
      <c r="D26" s="1315">
        <v>13</v>
      </c>
      <c r="E26" s="3129" t="s">
        <v>491</v>
      </c>
      <c r="F26" s="3130"/>
      <c r="G26" s="3130"/>
      <c r="H26" s="3130"/>
      <c r="I26" s="3155"/>
      <c r="J26" s="1316" t="s">
        <v>0</v>
      </c>
      <c r="K26" s="3137"/>
      <c r="L26" s="3138"/>
      <c r="M26" s="3139"/>
      <c r="N26" s="3171"/>
      <c r="O26" s="3172"/>
      <c r="P26" s="3173"/>
      <c r="Q26" s="3171"/>
      <c r="R26" s="3172"/>
      <c r="S26" s="3173"/>
      <c r="T26" s="1260"/>
      <c r="U26" s="1260"/>
      <c r="V26" s="1260"/>
      <c r="W26" s="1260"/>
      <c r="X26" s="1260"/>
      <c r="Y26" s="1268"/>
      <c r="Z26" s="379"/>
      <c r="AA26" s="1289"/>
      <c r="AB26" s="1289"/>
      <c r="AC26" s="1289"/>
      <c r="AD26" s="1290">
        <v>0</v>
      </c>
      <c r="AE26" s="1289"/>
      <c r="AF26" s="1355"/>
      <c r="AG26" s="1294"/>
      <c r="AH26" s="32"/>
      <c r="AI26" s="32"/>
      <c r="AJ26" s="32"/>
    </row>
    <row r="27" spans="1:36" s="10" customFormat="1" ht="22.5" customHeight="1" x14ac:dyDescent="0.25">
      <c r="A27" s="1287"/>
      <c r="B27" s="1281"/>
      <c r="C27" s="3168"/>
      <c r="D27" s="1258">
        <v>14</v>
      </c>
      <c r="E27" s="2982" t="s">
        <v>293</v>
      </c>
      <c r="F27" s="2983"/>
      <c r="G27" s="2983"/>
      <c r="H27" s="2983"/>
      <c r="I27" s="2984"/>
      <c r="J27" s="1316" t="s">
        <v>0</v>
      </c>
      <c r="K27" s="3220">
        <f>'CEKLIST 002 (BIO DATA)'!D16</f>
        <v>2010</v>
      </c>
      <c r="L27" s="3221"/>
      <c r="M27" s="3221"/>
      <c r="N27" s="3221"/>
      <c r="O27" s="3221"/>
      <c r="P27" s="3221"/>
      <c r="Q27" s="3221"/>
      <c r="R27" s="3221"/>
      <c r="S27" s="3222"/>
      <c r="T27" s="1260"/>
      <c r="U27" s="1260"/>
      <c r="V27" s="1260"/>
      <c r="W27" s="1260"/>
      <c r="X27" s="1260"/>
      <c r="Y27" s="1268"/>
      <c r="Z27" s="379"/>
      <c r="AA27" s="1289"/>
      <c r="AB27" s="1289"/>
      <c r="AC27" s="1289"/>
      <c r="AD27" s="1290">
        <v>4</v>
      </c>
      <c r="AE27" s="1289"/>
      <c r="AF27" s="1355"/>
      <c r="AG27" s="1294"/>
      <c r="AH27" s="32"/>
      <c r="AI27" s="32"/>
      <c r="AJ27" s="32"/>
    </row>
    <row r="28" spans="1:36" s="10" customFormat="1" ht="91.5" customHeight="1" x14ac:dyDescent="0.25">
      <c r="A28" s="1287"/>
      <c r="B28" s="1281"/>
      <c r="C28" s="2982" t="s">
        <v>951</v>
      </c>
      <c r="D28" s="2983"/>
      <c r="E28" s="2983"/>
      <c r="F28" s="2983"/>
      <c r="G28" s="2983"/>
      <c r="H28" s="2983"/>
      <c r="I28" s="2983"/>
      <c r="J28" s="2983"/>
      <c r="K28" s="2983"/>
      <c r="L28" s="2983"/>
      <c r="M28" s="2983"/>
      <c r="N28" s="2983"/>
      <c r="O28" s="2983" t="s">
        <v>952</v>
      </c>
      <c r="P28" s="2983"/>
      <c r="Q28" s="2983"/>
      <c r="R28" s="2983"/>
      <c r="S28" s="2983"/>
      <c r="T28" s="2983"/>
      <c r="U28" s="2983"/>
      <c r="V28" s="2983"/>
      <c r="W28" s="2983"/>
      <c r="X28" s="2984"/>
      <c r="Y28" s="1268"/>
      <c r="Z28" s="379"/>
      <c r="AA28" s="1289"/>
      <c r="AB28" s="1289"/>
      <c r="AC28" s="1289"/>
      <c r="AD28" s="1290"/>
      <c r="AE28" s="1289"/>
      <c r="AF28" s="1355"/>
      <c r="AG28" s="1294"/>
      <c r="AH28" s="32"/>
      <c r="AI28" s="32"/>
      <c r="AJ28" s="32"/>
    </row>
    <row r="29" spans="1:36" s="10" customFormat="1" ht="21.75" customHeight="1" x14ac:dyDescent="0.25">
      <c r="A29" s="1287"/>
      <c r="B29" s="1281"/>
      <c r="C29" s="3012" t="s">
        <v>1790</v>
      </c>
      <c r="D29" s="3013"/>
      <c r="E29" s="3013"/>
      <c r="F29" s="3013"/>
      <c r="G29" s="3013"/>
      <c r="H29" s="3013"/>
      <c r="I29" s="3013"/>
      <c r="J29" s="3013"/>
      <c r="K29" s="3013"/>
      <c r="L29" s="3013"/>
      <c r="M29" s="3013"/>
      <c r="N29" s="3013"/>
      <c r="O29" s="3014"/>
      <c r="P29" s="3210" t="s">
        <v>184</v>
      </c>
      <c r="Q29" s="3211"/>
      <c r="R29" s="3211"/>
      <c r="S29" s="3223"/>
      <c r="T29" s="1272">
        <f>COUNTIF(AD14:AD27,"1")*T13</f>
        <v>0</v>
      </c>
      <c r="U29" s="1272">
        <f>COUNTIF(AD14:AD27,"2")*U13</f>
        <v>0</v>
      </c>
      <c r="V29" s="1272">
        <f>COUNTIF(AD14:AD27,"3")*V13</f>
        <v>9</v>
      </c>
      <c r="W29" s="1272">
        <f>COUNTIF(AD14:AD27,"4")*W13</f>
        <v>12</v>
      </c>
      <c r="X29" s="1272">
        <f>COUNTIF(AD14:AD27,"5")*X13</f>
        <v>20</v>
      </c>
      <c r="Y29" s="1268"/>
      <c r="Z29" s="379"/>
      <c r="AA29" s="1289"/>
      <c r="AB29" s="1289"/>
      <c r="AC29" s="1289"/>
      <c r="AD29" s="1290"/>
      <c r="AE29" s="1289"/>
      <c r="AF29" s="1355"/>
      <c r="AG29" s="1294"/>
      <c r="AH29" s="32"/>
      <c r="AI29" s="32"/>
      <c r="AJ29" s="32"/>
    </row>
    <row r="30" spans="1:36" s="10" customFormat="1" ht="21.75" customHeight="1" x14ac:dyDescent="0.25">
      <c r="A30" s="1287"/>
      <c r="B30" s="1281"/>
      <c r="C30" s="3015"/>
      <c r="D30" s="3016"/>
      <c r="E30" s="3016"/>
      <c r="F30" s="3016"/>
      <c r="G30" s="3016"/>
      <c r="H30" s="3016"/>
      <c r="I30" s="3016"/>
      <c r="J30" s="3016"/>
      <c r="K30" s="3016"/>
      <c r="L30" s="3016"/>
      <c r="M30" s="3016"/>
      <c r="N30" s="3016"/>
      <c r="O30" s="3017"/>
      <c r="P30" s="3212"/>
      <c r="Q30" s="3213"/>
      <c r="R30" s="3213"/>
      <c r="S30" s="3224"/>
      <c r="T30" s="3124">
        <f>SUM(T29:X29)</f>
        <v>41</v>
      </c>
      <c r="U30" s="3124"/>
      <c r="V30" s="3124"/>
      <c r="W30" s="3124"/>
      <c r="X30" s="3124"/>
      <c r="Y30" s="1268"/>
      <c r="Z30" s="379"/>
      <c r="AA30" s="1289"/>
      <c r="AB30" s="1289"/>
      <c r="AC30" s="1289"/>
      <c r="AD30" s="1290"/>
      <c r="AE30" s="1289"/>
      <c r="AF30" s="1355"/>
      <c r="AG30" s="1294"/>
      <c r="AH30" s="32"/>
      <c r="AI30" s="32"/>
      <c r="AJ30" s="32"/>
    </row>
    <row r="31" spans="1:36" s="10" customFormat="1" ht="47.25" customHeight="1" x14ac:dyDescent="0.25">
      <c r="A31" s="1287"/>
      <c r="B31" s="1281"/>
      <c r="C31" s="3018"/>
      <c r="D31" s="3019"/>
      <c r="E31" s="3019"/>
      <c r="F31" s="3019"/>
      <c r="G31" s="3019"/>
      <c r="H31" s="3019"/>
      <c r="I31" s="3019"/>
      <c r="J31" s="3019"/>
      <c r="K31" s="3019"/>
      <c r="L31" s="3019"/>
      <c r="M31" s="3019"/>
      <c r="N31" s="3019"/>
      <c r="O31" s="3020"/>
      <c r="P31" s="3207" t="s">
        <v>182</v>
      </c>
      <c r="Q31" s="3208"/>
      <c r="R31" s="3208"/>
      <c r="S31" s="3209"/>
      <c r="T31" s="3125">
        <f>T30/AF31</f>
        <v>4.0999999999999996</v>
      </c>
      <c r="U31" s="3125"/>
      <c r="V31" s="2995" t="str">
        <f>IF(ROUND(T31,0)=1,"Sangat Tidak Memenuhi Syarat",IF(ROUND(T31,0)=2,"Tidak Memenuhi Syarat",IF(ROUND(T31,0)=3,"Cukup Memenuhi Syarat",IF(ROUND(T31,0)=4,"Memenuhi Syarat",IF(ROUND(T31,0)&gt;=5,"Sangat Memenuhi Syarat")))))</f>
        <v>Memenuhi Syarat</v>
      </c>
      <c r="W31" s="2995"/>
      <c r="X31" s="2995"/>
      <c r="Y31" s="1268"/>
      <c r="Z31" s="379"/>
      <c r="AA31" s="1289"/>
      <c r="AB31" s="1289"/>
      <c r="AC31" s="1289"/>
      <c r="AD31" s="1290"/>
      <c r="AE31" s="1289"/>
      <c r="AF31" s="1352">
        <f>COUNTIF(AD14:AD27,"&gt;0")</f>
        <v>10</v>
      </c>
      <c r="AG31" s="1294"/>
      <c r="AH31" s="32"/>
      <c r="AI31" s="32"/>
      <c r="AJ31" s="32"/>
    </row>
    <row r="32" spans="1:36" s="10" customFormat="1" ht="27.75" customHeight="1" x14ac:dyDescent="0.25">
      <c r="A32" s="1287"/>
      <c r="B32" s="1281"/>
      <c r="C32" s="1314" t="s">
        <v>67</v>
      </c>
      <c r="D32" s="3169" t="s">
        <v>1552</v>
      </c>
      <c r="E32" s="3170"/>
      <c r="F32" s="3170"/>
      <c r="G32" s="3170"/>
      <c r="H32" s="3170"/>
      <c r="I32" s="3170"/>
      <c r="J32" s="1317" t="s">
        <v>0</v>
      </c>
      <c r="K32" s="3202" t="str">
        <f>'CEKLIST 002 (BIO DATA)'!D27</f>
        <v>Jufrin H. Abdullah, S.Sos</v>
      </c>
      <c r="L32" s="3203"/>
      <c r="M32" s="3203"/>
      <c r="N32" s="3203"/>
      <c r="O32" s="3203"/>
      <c r="P32" s="3203"/>
      <c r="Q32" s="3203"/>
      <c r="R32" s="3203"/>
      <c r="S32" s="3203"/>
      <c r="T32" s="3203"/>
      <c r="U32" s="3203"/>
      <c r="V32" s="3203"/>
      <c r="W32" s="3203"/>
      <c r="X32" s="3203"/>
      <c r="Y32" s="3203"/>
      <c r="Z32" s="379"/>
      <c r="AA32" s="1289"/>
      <c r="AB32" s="1289"/>
      <c r="AC32" s="1289"/>
      <c r="AD32" s="1290"/>
      <c r="AE32" s="1289"/>
      <c r="AF32" s="1355"/>
      <c r="AG32" s="1294"/>
      <c r="AH32" s="32"/>
      <c r="AI32" s="32"/>
      <c r="AJ32" s="32"/>
    </row>
    <row r="33" spans="1:36" s="10" customFormat="1" ht="16.5" customHeight="1" x14ac:dyDescent="0.25">
      <c r="A33" s="1287"/>
      <c r="B33" s="1281"/>
      <c r="C33" s="1314" t="s">
        <v>95</v>
      </c>
      <c r="D33" s="3129" t="s">
        <v>935</v>
      </c>
      <c r="E33" s="3130"/>
      <c r="F33" s="3130"/>
      <c r="G33" s="3130"/>
      <c r="H33" s="3130"/>
      <c r="I33" s="3130"/>
      <c r="J33" s="3130"/>
      <c r="K33" s="3131" t="s">
        <v>825</v>
      </c>
      <c r="L33" s="3131"/>
      <c r="M33" s="3132">
        <f>'CEKLIST 002 (BIO DATA)'!D53</f>
        <v>42005</v>
      </c>
      <c r="N33" s="3132"/>
      <c r="O33" s="3132"/>
      <c r="P33" s="3132"/>
      <c r="Q33" s="3132"/>
      <c r="R33" s="3132"/>
      <c r="S33" s="3133"/>
      <c r="T33" s="3204" t="s">
        <v>345</v>
      </c>
      <c r="U33" s="3205"/>
      <c r="V33" s="3205"/>
      <c r="W33" s="3205"/>
      <c r="X33" s="3206"/>
      <c r="Y33" s="1268"/>
      <c r="Z33" s="379"/>
      <c r="AA33" s="1289"/>
      <c r="AB33" s="1289"/>
      <c r="AC33" s="1289"/>
      <c r="AD33" s="1290"/>
      <c r="AE33" s="1289"/>
      <c r="AF33" s="1356"/>
      <c r="AG33" s="1295"/>
      <c r="AH33" s="28"/>
      <c r="AI33" s="28"/>
      <c r="AJ33" s="28"/>
    </row>
    <row r="34" spans="1:36" s="10" customFormat="1" ht="16.5" customHeight="1" x14ac:dyDescent="0.25">
      <c r="A34" s="1287"/>
      <c r="B34" s="1281"/>
      <c r="C34" s="1317"/>
      <c r="D34" s="3134" t="s">
        <v>370</v>
      </c>
      <c r="E34" s="3135"/>
      <c r="F34" s="3135"/>
      <c r="G34" s="3135"/>
      <c r="H34" s="3135"/>
      <c r="I34" s="3135"/>
      <c r="J34" s="3136"/>
      <c r="K34" s="3134" t="s">
        <v>358</v>
      </c>
      <c r="L34" s="3135"/>
      <c r="M34" s="3136"/>
      <c r="N34" s="3137" t="s">
        <v>40</v>
      </c>
      <c r="O34" s="3138"/>
      <c r="P34" s="3138"/>
      <c r="Q34" s="3138"/>
      <c r="R34" s="3138"/>
      <c r="S34" s="3139"/>
      <c r="T34" s="1319">
        <v>1</v>
      </c>
      <c r="U34" s="1319">
        <v>2</v>
      </c>
      <c r="V34" s="1319">
        <v>3</v>
      </c>
      <c r="W34" s="1319">
        <v>4</v>
      </c>
      <c r="X34" s="1319">
        <v>5</v>
      </c>
      <c r="Y34" s="381"/>
      <c r="Z34" s="382"/>
      <c r="AA34" s="1289"/>
      <c r="AB34" s="1289"/>
      <c r="AC34" s="1289"/>
      <c r="AD34" s="1290"/>
      <c r="AE34" s="1289"/>
      <c r="AF34" s="1352"/>
      <c r="AG34" s="1289"/>
    </row>
    <row r="35" spans="1:36" s="10" customFormat="1" ht="40.5" customHeight="1" x14ac:dyDescent="0.25">
      <c r="A35" s="1287"/>
      <c r="B35" s="1281"/>
      <c r="C35" s="1318"/>
      <c r="D35" s="3134" t="s">
        <v>294</v>
      </c>
      <c r="E35" s="3135"/>
      <c r="F35" s="3135"/>
      <c r="G35" s="3135"/>
      <c r="H35" s="3135"/>
      <c r="I35" s="3135"/>
      <c r="J35" s="1277" t="s">
        <v>0</v>
      </c>
      <c r="K35" s="3214" t="s">
        <v>371</v>
      </c>
      <c r="L35" s="3215"/>
      <c r="M35" s="3216"/>
      <c r="N35" s="3196" t="s">
        <v>372</v>
      </c>
      <c r="O35" s="3197"/>
      <c r="P35" s="3197"/>
      <c r="Q35" s="3197"/>
      <c r="R35" s="3197"/>
      <c r="S35" s="3198"/>
      <c r="T35" s="1260"/>
      <c r="U35" s="383"/>
      <c r="V35" s="384"/>
      <c r="W35" s="384"/>
      <c r="X35" s="384"/>
      <c r="Y35" s="381"/>
      <c r="Z35" s="382"/>
      <c r="AA35" s="1289"/>
      <c r="AB35" s="1289"/>
      <c r="AC35" s="1289"/>
      <c r="AD35" s="67">
        <v>4</v>
      </c>
      <c r="AE35" s="1289"/>
      <c r="AF35" s="1352"/>
      <c r="AG35" s="1289"/>
    </row>
    <row r="36" spans="1:36" s="10" customFormat="1" ht="40.5" customHeight="1" x14ac:dyDescent="0.25">
      <c r="A36" s="1287"/>
      <c r="B36" s="1281"/>
      <c r="C36" s="1318"/>
      <c r="D36" s="3134" t="s">
        <v>295</v>
      </c>
      <c r="E36" s="3135"/>
      <c r="F36" s="3135"/>
      <c r="G36" s="3135"/>
      <c r="H36" s="3135"/>
      <c r="I36" s="3135"/>
      <c r="J36" s="1277" t="s">
        <v>0</v>
      </c>
      <c r="K36" s="3217"/>
      <c r="L36" s="3218"/>
      <c r="M36" s="3219"/>
      <c r="N36" s="3196" t="s">
        <v>372</v>
      </c>
      <c r="O36" s="3197"/>
      <c r="P36" s="3197"/>
      <c r="Q36" s="3197"/>
      <c r="R36" s="3197"/>
      <c r="S36" s="3198"/>
      <c r="T36" s="1260"/>
      <c r="U36" s="383"/>
      <c r="V36" s="384"/>
      <c r="W36" s="384"/>
      <c r="X36" s="384"/>
      <c r="Y36" s="381"/>
      <c r="Z36" s="382"/>
      <c r="AA36" s="1289"/>
      <c r="AB36" s="1289"/>
      <c r="AC36" s="1289"/>
      <c r="AD36" s="67">
        <v>3</v>
      </c>
      <c r="AE36" s="1289"/>
      <c r="AF36" s="1352"/>
      <c r="AG36" s="1289"/>
    </row>
    <row r="37" spans="1:36" s="10" customFormat="1" ht="40.5" customHeight="1" x14ac:dyDescent="0.25">
      <c r="A37" s="1287"/>
      <c r="B37" s="1281"/>
      <c r="C37" s="1318"/>
      <c r="D37" s="3067"/>
      <c r="E37" s="2999"/>
      <c r="F37" s="2999"/>
      <c r="G37" s="2999"/>
      <c r="H37" s="2999"/>
      <c r="I37" s="2999"/>
      <c r="J37" s="1277" t="s">
        <v>0</v>
      </c>
      <c r="K37" s="3217"/>
      <c r="L37" s="3218"/>
      <c r="M37" s="3219"/>
      <c r="N37" s="3196"/>
      <c r="O37" s="3197"/>
      <c r="P37" s="3197"/>
      <c r="Q37" s="3197"/>
      <c r="R37" s="3197"/>
      <c r="S37" s="3198"/>
      <c r="T37" s="1260"/>
      <c r="U37" s="383"/>
      <c r="V37" s="384"/>
      <c r="W37" s="384"/>
      <c r="X37" s="384"/>
      <c r="Y37" s="381"/>
      <c r="Z37" s="382"/>
      <c r="AA37" s="1289"/>
      <c r="AB37" s="1289"/>
      <c r="AC37" s="1289"/>
      <c r="AD37" s="67">
        <v>0</v>
      </c>
      <c r="AE37" s="1289"/>
      <c r="AF37" s="1352"/>
      <c r="AG37" s="1289"/>
    </row>
    <row r="38" spans="1:36" s="10" customFormat="1" ht="40.5" customHeight="1" x14ac:dyDescent="0.25">
      <c r="A38" s="1287"/>
      <c r="B38" s="1281"/>
      <c r="C38" s="1318"/>
      <c r="D38" s="3140"/>
      <c r="E38" s="3141"/>
      <c r="F38" s="3141"/>
      <c r="G38" s="3141"/>
      <c r="H38" s="3141"/>
      <c r="I38" s="3141"/>
      <c r="J38" s="1285" t="s">
        <v>0</v>
      </c>
      <c r="K38" s="3217"/>
      <c r="L38" s="3218"/>
      <c r="M38" s="3219"/>
      <c r="N38" s="3199"/>
      <c r="O38" s="3200"/>
      <c r="P38" s="3200"/>
      <c r="Q38" s="3200"/>
      <c r="R38" s="3200"/>
      <c r="S38" s="3201"/>
      <c r="T38" s="1267"/>
      <c r="U38" s="386"/>
      <c r="V38" s="387"/>
      <c r="W38" s="387"/>
      <c r="X38" s="387"/>
      <c r="Y38" s="381"/>
      <c r="Z38" s="382"/>
      <c r="AA38" s="1289"/>
      <c r="AB38" s="1289"/>
      <c r="AC38" s="1289"/>
      <c r="AD38" s="67">
        <v>0</v>
      </c>
      <c r="AE38" s="1289"/>
      <c r="AF38" s="1352"/>
      <c r="AG38" s="1289"/>
    </row>
    <row r="39" spans="1:36" s="10" customFormat="1" ht="16.5" customHeight="1" x14ac:dyDescent="0.25">
      <c r="A39" s="1287"/>
      <c r="B39" s="1281"/>
      <c r="C39" s="1318"/>
      <c r="D39" s="3012" t="s">
        <v>1771</v>
      </c>
      <c r="E39" s="3013"/>
      <c r="F39" s="3013"/>
      <c r="G39" s="3013"/>
      <c r="H39" s="3013"/>
      <c r="I39" s="3013"/>
      <c r="J39" s="3013"/>
      <c r="K39" s="3013"/>
      <c r="L39" s="3013"/>
      <c r="M39" s="3013"/>
      <c r="N39" s="3013"/>
      <c r="O39" s="3013"/>
      <c r="P39" s="3014"/>
      <c r="Q39" s="3210" t="s">
        <v>184</v>
      </c>
      <c r="R39" s="3211"/>
      <c r="S39" s="3211"/>
      <c r="T39" s="1272">
        <f>COUNTIF(AD35:AD38,"1")*T34</f>
        <v>0</v>
      </c>
      <c r="U39" s="1272">
        <f>COUNTIF(AD35:AD38,"2")*U34</f>
        <v>0</v>
      </c>
      <c r="V39" s="1272">
        <f>COUNTIF(AD35:AD38,"3")*V34</f>
        <v>3</v>
      </c>
      <c r="W39" s="1272">
        <f>COUNTIF(AD35:AD38,"4")*W34</f>
        <v>4</v>
      </c>
      <c r="X39" s="1272">
        <f>COUNTIF(AD35:AD38,"5")*X34</f>
        <v>0</v>
      </c>
      <c r="Y39" s="381"/>
      <c r="Z39" s="382"/>
      <c r="AA39" s="1289"/>
      <c r="AB39" s="1289"/>
      <c r="AC39" s="1289"/>
      <c r="AD39" s="1290"/>
      <c r="AE39" s="1289"/>
      <c r="AF39" s="1352"/>
      <c r="AG39" s="1289"/>
    </row>
    <row r="40" spans="1:36" s="10" customFormat="1" ht="25.5" customHeight="1" x14ac:dyDescent="0.25">
      <c r="A40" s="1287"/>
      <c r="B40" s="1281"/>
      <c r="C40" s="1318"/>
      <c r="D40" s="3015"/>
      <c r="E40" s="3016"/>
      <c r="F40" s="3016"/>
      <c r="G40" s="3016"/>
      <c r="H40" s="3016"/>
      <c r="I40" s="3016"/>
      <c r="J40" s="3016"/>
      <c r="K40" s="3016"/>
      <c r="L40" s="3016"/>
      <c r="M40" s="3016"/>
      <c r="N40" s="3016"/>
      <c r="O40" s="3016"/>
      <c r="P40" s="3017"/>
      <c r="Q40" s="3212"/>
      <c r="R40" s="3213"/>
      <c r="S40" s="3213"/>
      <c r="T40" s="3124">
        <f>SUM(U39:Y39)</f>
        <v>7</v>
      </c>
      <c r="U40" s="3124"/>
      <c r="V40" s="3124"/>
      <c r="W40" s="3124"/>
      <c r="X40" s="3124"/>
      <c r="Y40" s="388"/>
      <c r="Z40" s="379"/>
      <c r="AA40" s="1289"/>
      <c r="AB40" s="1289"/>
      <c r="AC40" s="1289"/>
      <c r="AD40" s="1290"/>
      <c r="AE40" s="1289"/>
      <c r="AF40" s="1352"/>
      <c r="AG40" s="1289"/>
    </row>
    <row r="41" spans="1:36" s="10" customFormat="1" ht="84.75" customHeight="1" x14ac:dyDescent="0.25">
      <c r="A41" s="1287"/>
      <c r="B41" s="1281"/>
      <c r="C41" s="1318"/>
      <c r="D41" s="3018"/>
      <c r="E41" s="3019"/>
      <c r="F41" s="3019"/>
      <c r="G41" s="3019"/>
      <c r="H41" s="3019"/>
      <c r="I41" s="3019"/>
      <c r="J41" s="3019"/>
      <c r="K41" s="3019"/>
      <c r="L41" s="3019"/>
      <c r="M41" s="3019"/>
      <c r="N41" s="3019"/>
      <c r="O41" s="3019"/>
      <c r="P41" s="3020"/>
      <c r="Q41" s="3207" t="s">
        <v>182</v>
      </c>
      <c r="R41" s="3208"/>
      <c r="S41" s="3209"/>
      <c r="T41" s="3125">
        <f>T40/AF41</f>
        <v>3.5</v>
      </c>
      <c r="U41" s="3125"/>
      <c r="V41" s="2995" t="str">
        <f>IF(ROUND(T41,0)=1,"Sangat Tidak Baik",IF(ROUND(T41,0)=2,"Tidak Baik",IF(ROUND(T41,0)=3,"Cukup Baik",IF(ROUND(T41,0)=4,"Baik",IF(ROUND(T41,0)&gt;=5,"Sangat Baik Memenuhi Syarat")))))</f>
        <v>Baik</v>
      </c>
      <c r="W41" s="2995"/>
      <c r="X41" s="2995"/>
      <c r="Y41" s="389"/>
      <c r="Z41" s="379"/>
      <c r="AA41" s="1289"/>
      <c r="AB41" s="1289"/>
      <c r="AC41" s="1289"/>
      <c r="AD41" s="1290"/>
      <c r="AE41" s="1289"/>
      <c r="AF41" s="1352">
        <f>COUNTIF(AD35:AD38,"&gt;0")</f>
        <v>2</v>
      </c>
      <c r="AG41" s="1289"/>
    </row>
    <row r="42" spans="1:36" s="10" customFormat="1" ht="16.5" customHeight="1" x14ac:dyDescent="0.25">
      <c r="A42" s="1287"/>
      <c r="B42" s="1281"/>
      <c r="C42" s="1318"/>
      <c r="D42" s="1320"/>
      <c r="E42" s="1320"/>
      <c r="F42" s="1320"/>
      <c r="G42" s="1320"/>
      <c r="H42" s="1320"/>
      <c r="I42" s="1320"/>
      <c r="J42" s="1320"/>
      <c r="K42" s="1320"/>
      <c r="L42" s="1320"/>
      <c r="M42" s="1320"/>
      <c r="N42" s="1320"/>
      <c r="O42" s="1320"/>
      <c r="P42" s="1320"/>
      <c r="Q42" s="1318"/>
      <c r="R42" s="1318"/>
      <c r="S42" s="1318"/>
      <c r="T42" s="1318"/>
      <c r="U42" s="1321"/>
      <c r="V42" s="1321"/>
      <c r="W42" s="1322"/>
      <c r="X42" s="1322"/>
      <c r="Y42" s="1323"/>
      <c r="Z42" s="379"/>
      <c r="AA42" s="1289"/>
      <c r="AB42" s="1289"/>
      <c r="AC42" s="1289"/>
      <c r="AD42" s="1290"/>
      <c r="AE42" s="1289"/>
      <c r="AF42" s="1352"/>
      <c r="AG42" s="1289"/>
    </row>
    <row r="43" spans="1:36" s="10" customFormat="1" ht="19.5" customHeight="1" x14ac:dyDescent="0.25">
      <c r="A43" s="1287"/>
      <c r="B43" s="1266"/>
      <c r="C43" s="390" t="s">
        <v>373</v>
      </c>
      <c r="D43" s="3142" t="s">
        <v>1555</v>
      </c>
      <c r="E43" s="3143"/>
      <c r="F43" s="3143"/>
      <c r="G43" s="3143"/>
      <c r="H43" s="3143"/>
      <c r="I43" s="3143"/>
      <c r="J43" s="3143"/>
      <c r="K43" s="3143"/>
      <c r="L43" s="3143"/>
      <c r="M43" s="3143"/>
      <c r="N43" s="3143"/>
      <c r="O43" s="3143"/>
      <c r="P43" s="3143"/>
      <c r="Q43" s="3143"/>
      <c r="R43" s="3143"/>
      <c r="S43" s="3143"/>
      <c r="T43" s="3143"/>
      <c r="U43" s="3143"/>
      <c r="V43" s="3143"/>
      <c r="W43" s="3143"/>
      <c r="X43" s="3143"/>
      <c r="Y43" s="3143"/>
      <c r="Z43" s="379"/>
      <c r="AA43" s="1289"/>
      <c r="AB43" s="1289"/>
      <c r="AC43" s="1289"/>
      <c r="AD43" s="1290"/>
      <c r="AE43" s="1289"/>
      <c r="AF43" s="1352"/>
      <c r="AG43" s="1289"/>
    </row>
    <row r="44" spans="1:36" s="10" customFormat="1" ht="16.5" customHeight="1" x14ac:dyDescent="0.25">
      <c r="A44" s="1287"/>
      <c r="B44" s="1266"/>
      <c r="C44" s="3144" t="s">
        <v>24</v>
      </c>
      <c r="D44" s="3145"/>
      <c r="E44" s="3146"/>
      <c r="F44" s="3234" t="s">
        <v>359</v>
      </c>
      <c r="G44" s="3235"/>
      <c r="H44" s="3236"/>
      <c r="I44" s="3105" t="s">
        <v>492</v>
      </c>
      <c r="J44" s="3106"/>
      <c r="K44" s="3106"/>
      <c r="L44" s="3106"/>
      <c r="M44" s="3150"/>
      <c r="N44" s="3144" t="s">
        <v>358</v>
      </c>
      <c r="O44" s="3145"/>
      <c r="P44" s="3145"/>
      <c r="Q44" s="3146"/>
      <c r="R44" s="3144" t="s">
        <v>40</v>
      </c>
      <c r="S44" s="3145"/>
      <c r="T44" s="3146"/>
      <c r="U44" s="3105" t="s">
        <v>345</v>
      </c>
      <c r="V44" s="3106"/>
      <c r="W44" s="3106"/>
      <c r="X44" s="3106"/>
      <c r="Y44" s="3150"/>
      <c r="Z44" s="379"/>
      <c r="AA44" s="1289"/>
      <c r="AB44" s="1289"/>
      <c r="AC44" s="1289"/>
      <c r="AD44" s="67"/>
      <c r="AE44" s="1289"/>
      <c r="AF44" s="1352"/>
      <c r="AG44" s="1289"/>
    </row>
    <row r="45" spans="1:36" s="10" customFormat="1" ht="16.5" customHeight="1" x14ac:dyDescent="0.25">
      <c r="A45" s="1287"/>
      <c r="B45" s="1266"/>
      <c r="C45" s="3147"/>
      <c r="D45" s="3148"/>
      <c r="E45" s="3149"/>
      <c r="F45" s="3237"/>
      <c r="G45" s="3238"/>
      <c r="H45" s="3239"/>
      <c r="I45" s="3105" t="s">
        <v>25</v>
      </c>
      <c r="J45" s="3106"/>
      <c r="K45" s="3150"/>
      <c r="L45" s="3105" t="s">
        <v>26</v>
      </c>
      <c r="M45" s="3106"/>
      <c r="N45" s="3147"/>
      <c r="O45" s="3148"/>
      <c r="P45" s="3148"/>
      <c r="Q45" s="3149"/>
      <c r="R45" s="3147"/>
      <c r="S45" s="3148"/>
      <c r="T45" s="3149"/>
      <c r="U45" s="1259">
        <v>1</v>
      </c>
      <c r="V45" s="1263">
        <v>2</v>
      </c>
      <c r="W45" s="1259">
        <v>3</v>
      </c>
      <c r="X45" s="1259">
        <v>4</v>
      </c>
      <c r="Y45" s="1259">
        <v>5</v>
      </c>
      <c r="Z45" s="379"/>
      <c r="AA45" s="1289"/>
      <c r="AB45" s="1289"/>
      <c r="AC45" s="1289"/>
      <c r="AD45" s="1290"/>
      <c r="AE45" s="1289"/>
      <c r="AF45" s="1352"/>
      <c r="AG45" s="1289"/>
    </row>
    <row r="46" spans="1:36" s="10" customFormat="1" ht="84" customHeight="1" x14ac:dyDescent="0.25">
      <c r="A46" s="1287"/>
      <c r="B46" s="1266"/>
      <c r="C46" s="3109" t="s">
        <v>1772</v>
      </c>
      <c r="D46" s="3110"/>
      <c r="E46" s="3111"/>
      <c r="F46" s="3109" t="s">
        <v>22</v>
      </c>
      <c r="G46" s="3110"/>
      <c r="H46" s="3111"/>
      <c r="I46" s="3099">
        <v>10200</v>
      </c>
      <c r="J46" s="3100"/>
      <c r="K46" s="3101"/>
      <c r="L46" s="3107">
        <f>I46/I49</f>
        <v>0.51</v>
      </c>
      <c r="M46" s="3108"/>
      <c r="N46" s="3225" t="s">
        <v>360</v>
      </c>
      <c r="O46" s="3226"/>
      <c r="P46" s="3226"/>
      <c r="Q46" s="3227"/>
      <c r="R46" s="3085" t="s">
        <v>1774</v>
      </c>
      <c r="S46" s="3085"/>
      <c r="T46" s="3085"/>
      <c r="U46" s="1262"/>
      <c r="V46" s="391"/>
      <c r="W46" s="1262"/>
      <c r="X46" s="1262"/>
      <c r="Y46" s="1262"/>
      <c r="Z46" s="379"/>
      <c r="AA46" s="1289"/>
      <c r="AB46" s="1289"/>
      <c r="AC46" s="1289"/>
      <c r="AD46" s="1290">
        <v>4</v>
      </c>
      <c r="AE46" s="1289"/>
      <c r="AF46" s="1352"/>
      <c r="AG46" s="1289"/>
    </row>
    <row r="47" spans="1:36" s="10" customFormat="1" ht="84" customHeight="1" x14ac:dyDescent="0.25">
      <c r="A47" s="1287"/>
      <c r="B47" s="1266"/>
      <c r="C47" s="3109" t="s">
        <v>1773</v>
      </c>
      <c r="D47" s="3110"/>
      <c r="E47" s="3111"/>
      <c r="F47" s="3109" t="s">
        <v>22</v>
      </c>
      <c r="G47" s="3110"/>
      <c r="H47" s="3111"/>
      <c r="I47" s="3102">
        <v>9800</v>
      </c>
      <c r="J47" s="3103"/>
      <c r="K47" s="3104"/>
      <c r="L47" s="3107">
        <f>I47/I49</f>
        <v>0.49</v>
      </c>
      <c r="M47" s="3108"/>
      <c r="N47" s="3228"/>
      <c r="O47" s="3229"/>
      <c r="P47" s="3229"/>
      <c r="Q47" s="3230"/>
      <c r="R47" s="3085" t="s">
        <v>1774</v>
      </c>
      <c r="S47" s="3085"/>
      <c r="T47" s="3085"/>
      <c r="U47" s="1262"/>
      <c r="V47" s="391"/>
      <c r="W47" s="1262"/>
      <c r="X47" s="1262"/>
      <c r="Y47" s="1262"/>
      <c r="Z47" s="379"/>
      <c r="AA47" s="1289"/>
      <c r="AB47" s="1289"/>
      <c r="AC47" s="1289"/>
      <c r="AD47" s="1290">
        <v>4</v>
      </c>
      <c r="AE47" s="1289"/>
      <c r="AF47" s="1352"/>
      <c r="AG47" s="1289"/>
    </row>
    <row r="48" spans="1:36" s="10" customFormat="1" ht="84" customHeight="1" x14ac:dyDescent="0.25">
      <c r="A48" s="1287"/>
      <c r="B48" s="1266"/>
      <c r="C48" s="3112"/>
      <c r="D48" s="3113"/>
      <c r="E48" s="3114"/>
      <c r="F48" s="3121"/>
      <c r="G48" s="3122"/>
      <c r="H48" s="3123"/>
      <c r="I48" s="3099"/>
      <c r="J48" s="3100"/>
      <c r="K48" s="3101"/>
      <c r="L48" s="3107"/>
      <c r="M48" s="3108"/>
      <c r="N48" s="3228"/>
      <c r="O48" s="3229"/>
      <c r="P48" s="3229"/>
      <c r="Q48" s="3230"/>
      <c r="R48" s="3085"/>
      <c r="S48" s="3085"/>
      <c r="T48" s="3085"/>
      <c r="U48" s="1262"/>
      <c r="V48" s="391"/>
      <c r="W48" s="1262"/>
      <c r="X48" s="1262"/>
      <c r="Y48" s="1262"/>
      <c r="Z48" s="379"/>
      <c r="AA48" s="1289"/>
      <c r="AB48" s="1289"/>
      <c r="AC48" s="1289"/>
      <c r="AD48" s="1290">
        <v>0</v>
      </c>
      <c r="AE48" s="1289"/>
      <c r="AF48" s="1352"/>
      <c r="AG48" s="1289"/>
    </row>
    <row r="49" spans="1:33" s="10" customFormat="1" ht="19.5" customHeight="1" x14ac:dyDescent="0.25">
      <c r="A49" s="1287"/>
      <c r="B49" s="379"/>
      <c r="C49" s="3117" t="s">
        <v>14</v>
      </c>
      <c r="D49" s="3117"/>
      <c r="E49" s="3117"/>
      <c r="F49" s="3117"/>
      <c r="G49" s="3117"/>
      <c r="H49" s="3117"/>
      <c r="I49" s="3118">
        <f>SUM(I46:K48)</f>
        <v>20000</v>
      </c>
      <c r="J49" s="3119"/>
      <c r="K49" s="3120"/>
      <c r="L49" s="3127">
        <f>SUM(L46:M48)</f>
        <v>1</v>
      </c>
      <c r="M49" s="3128"/>
      <c r="N49" s="3231"/>
      <c r="O49" s="3232"/>
      <c r="P49" s="3232"/>
      <c r="Q49" s="3233"/>
      <c r="R49" s="3085"/>
      <c r="S49" s="3085"/>
      <c r="T49" s="3085"/>
      <c r="U49" s="392"/>
      <c r="V49" s="393"/>
      <c r="W49" s="393"/>
      <c r="X49" s="393"/>
      <c r="Y49" s="394"/>
      <c r="Z49" s="379"/>
      <c r="AA49" s="1289"/>
      <c r="AB49" s="1289"/>
      <c r="AC49" s="1289"/>
      <c r="AD49" s="1290"/>
      <c r="AE49" s="1289"/>
      <c r="AF49" s="1352"/>
      <c r="AG49" s="1289"/>
    </row>
    <row r="50" spans="1:33" s="10" customFormat="1" ht="19.5" customHeight="1" x14ac:dyDescent="0.25">
      <c r="A50" s="1287"/>
      <c r="B50" s="1266"/>
      <c r="C50" s="3012" t="s">
        <v>1775</v>
      </c>
      <c r="D50" s="3013"/>
      <c r="E50" s="3013"/>
      <c r="F50" s="3013"/>
      <c r="G50" s="3013"/>
      <c r="H50" s="3013"/>
      <c r="I50" s="3013"/>
      <c r="J50" s="3013"/>
      <c r="K50" s="3013"/>
      <c r="L50" s="3013"/>
      <c r="M50" s="3013"/>
      <c r="N50" s="3013"/>
      <c r="O50" s="3014"/>
      <c r="P50" s="3126" t="s">
        <v>184</v>
      </c>
      <c r="Q50" s="3126"/>
      <c r="R50" s="3126"/>
      <c r="S50" s="3126"/>
      <c r="T50" s="3126"/>
      <c r="U50" s="1272">
        <f>COUNTIF(AD46:AD49,"1")*U45</f>
        <v>0</v>
      </c>
      <c r="V50" s="1272">
        <f>COUNTIF(AD46:AD49,"2")*V45</f>
        <v>0</v>
      </c>
      <c r="W50" s="1272">
        <f>COUNTIF(AD46:AD49,"3")*W45</f>
        <v>0</v>
      </c>
      <c r="X50" s="1272">
        <f>COUNTIF(AD46:AD49,"4")*X45</f>
        <v>8</v>
      </c>
      <c r="Y50" s="1272">
        <f>COUNTIF(AD46:AD49,"5")*Y45</f>
        <v>0</v>
      </c>
      <c r="Z50" s="395"/>
      <c r="AA50" s="1289"/>
      <c r="AB50" s="1289"/>
      <c r="AC50" s="1289"/>
      <c r="AD50" s="1290"/>
      <c r="AE50" s="1289"/>
      <c r="AF50" s="1352"/>
      <c r="AG50" s="1289"/>
    </row>
    <row r="51" spans="1:33" s="10" customFormat="1" ht="19.5" customHeight="1" x14ac:dyDescent="0.25">
      <c r="A51" s="1287"/>
      <c r="B51" s="1266"/>
      <c r="C51" s="3015"/>
      <c r="D51" s="3016"/>
      <c r="E51" s="3016"/>
      <c r="F51" s="3016"/>
      <c r="G51" s="3016"/>
      <c r="H51" s="3016"/>
      <c r="I51" s="3016"/>
      <c r="J51" s="3016"/>
      <c r="K51" s="3016"/>
      <c r="L51" s="3016"/>
      <c r="M51" s="3016"/>
      <c r="N51" s="3016"/>
      <c r="O51" s="3017"/>
      <c r="P51" s="3126"/>
      <c r="Q51" s="3126"/>
      <c r="R51" s="3126"/>
      <c r="S51" s="3126"/>
      <c r="T51" s="3126"/>
      <c r="U51" s="3124">
        <f>SUM(U50:Y50)</f>
        <v>8</v>
      </c>
      <c r="V51" s="3124"/>
      <c r="W51" s="3124"/>
      <c r="X51" s="3124"/>
      <c r="Y51" s="3124"/>
      <c r="Z51" s="396"/>
      <c r="AA51" s="1289"/>
      <c r="AB51" s="1289"/>
      <c r="AC51" s="1289"/>
      <c r="AD51" s="1290"/>
      <c r="AE51" s="1289"/>
      <c r="AF51" s="1352"/>
      <c r="AG51" s="1289"/>
    </row>
    <row r="52" spans="1:33" s="10" customFormat="1" ht="85.5" customHeight="1" x14ac:dyDescent="0.25">
      <c r="A52" s="1287"/>
      <c r="B52" s="1266"/>
      <c r="C52" s="3018"/>
      <c r="D52" s="3019"/>
      <c r="E52" s="3019"/>
      <c r="F52" s="3019"/>
      <c r="G52" s="3019"/>
      <c r="H52" s="3019"/>
      <c r="I52" s="3019"/>
      <c r="J52" s="3019"/>
      <c r="K52" s="3019"/>
      <c r="L52" s="3019"/>
      <c r="M52" s="3019"/>
      <c r="N52" s="3019"/>
      <c r="O52" s="3020"/>
      <c r="P52" s="3126" t="s">
        <v>182</v>
      </c>
      <c r="Q52" s="3126"/>
      <c r="R52" s="3126"/>
      <c r="S52" s="3126"/>
      <c r="T52" s="3126"/>
      <c r="U52" s="3125">
        <f>U51/AF52</f>
        <v>4</v>
      </c>
      <c r="V52" s="3125"/>
      <c r="W52" s="2995" t="str">
        <f>IF(ROUND(U52,0)=1,"Sangat Tidak Baik",IF(ROUND(U52,0)=2,"Tidak Baik",IF(ROUND(U52,0)=3,"Cukup Baik",IF(ROUND(U52,0)=4,"Baik",IF(ROUND(U52,0)&gt;=5,"Sangat Baik Memenuhi Syarat")))))</f>
        <v>Baik</v>
      </c>
      <c r="X52" s="2995"/>
      <c r="Y52" s="2995"/>
      <c r="Z52" s="395"/>
      <c r="AA52" s="1289"/>
      <c r="AB52" s="1289"/>
      <c r="AC52" s="1289"/>
      <c r="AD52" s="1290"/>
      <c r="AE52" s="1289"/>
      <c r="AF52" s="1352">
        <f>COUNTIF(AD46:AD48,"&gt;0")</f>
        <v>2</v>
      </c>
      <c r="AG52" s="1289"/>
    </row>
    <row r="53" spans="1:33" s="24" customFormat="1" ht="19.5" customHeight="1" x14ac:dyDescent="0.25">
      <c r="A53" s="397"/>
      <c r="B53" s="398"/>
      <c r="C53" s="1275"/>
      <c r="D53" s="1275"/>
      <c r="E53" s="1275"/>
      <c r="F53" s="1275"/>
      <c r="G53" s="1275"/>
      <c r="H53" s="1275"/>
      <c r="I53" s="1275"/>
      <c r="J53" s="1275"/>
      <c r="K53" s="1275"/>
      <c r="L53" s="1275"/>
      <c r="M53" s="1275"/>
      <c r="N53" s="1275"/>
      <c r="O53" s="1275"/>
      <c r="P53" s="390"/>
      <c r="Q53" s="390"/>
      <c r="R53" s="390"/>
      <c r="S53" s="390"/>
      <c r="T53" s="390"/>
      <c r="U53" s="399"/>
      <c r="V53" s="399"/>
      <c r="W53" s="400"/>
      <c r="X53" s="400"/>
      <c r="Y53" s="400"/>
      <c r="Z53" s="401"/>
      <c r="AA53" s="1292"/>
      <c r="AB53" s="1292"/>
      <c r="AC53" s="1292"/>
      <c r="AD53" s="1290"/>
      <c r="AE53" s="1292"/>
      <c r="AF53" s="1353"/>
      <c r="AG53" s="1292"/>
    </row>
    <row r="54" spans="1:33" s="10" customFormat="1" ht="19.5" customHeight="1" x14ac:dyDescent="0.25">
      <c r="A54" s="1287"/>
      <c r="B54" s="1281"/>
      <c r="C54" s="602" t="s">
        <v>111</v>
      </c>
      <c r="D54" s="3115" t="s">
        <v>1556</v>
      </c>
      <c r="E54" s="3116"/>
      <c r="F54" s="3116"/>
      <c r="G54" s="3116"/>
      <c r="H54" s="3116"/>
      <c r="I54" s="3116"/>
      <c r="J54" s="3116"/>
      <c r="K54" s="3116"/>
      <c r="L54" s="3116"/>
      <c r="M54" s="3116"/>
      <c r="N54" s="3116"/>
      <c r="O54" s="3116"/>
      <c r="P54" s="3116"/>
      <c r="Q54" s="3116"/>
      <c r="R54" s="3116"/>
      <c r="S54" s="3116"/>
      <c r="T54" s="3116"/>
      <c r="U54" s="3116"/>
      <c r="V54" s="3116"/>
      <c r="W54" s="3116"/>
      <c r="X54" s="3116"/>
      <c r="Y54" s="3116"/>
      <c r="Z54" s="379"/>
      <c r="AA54" s="1289"/>
      <c r="AB54" s="1289"/>
      <c r="AC54" s="1289"/>
      <c r="AD54" s="1290"/>
      <c r="AE54" s="1289"/>
      <c r="AF54" s="1352"/>
      <c r="AG54" s="1289"/>
    </row>
    <row r="55" spans="1:33" s="10" customFormat="1" ht="19.5" customHeight="1" x14ac:dyDescent="0.25">
      <c r="A55" s="1287"/>
      <c r="B55" s="1281"/>
      <c r="C55" s="3028" t="s">
        <v>27</v>
      </c>
      <c r="D55" s="3028"/>
      <c r="E55" s="3028"/>
      <c r="F55" s="3028"/>
      <c r="G55" s="3028"/>
      <c r="H55" s="3028"/>
      <c r="I55" s="3028"/>
      <c r="J55" s="3082" t="s">
        <v>239</v>
      </c>
      <c r="K55" s="3083"/>
      <c r="L55" s="3083"/>
      <c r="M55" s="3084"/>
      <c r="N55" s="3042" t="s">
        <v>358</v>
      </c>
      <c r="O55" s="3043"/>
      <c r="P55" s="3043"/>
      <c r="Q55" s="3044"/>
      <c r="R55" s="3028" t="s">
        <v>40</v>
      </c>
      <c r="S55" s="3028"/>
      <c r="T55" s="3028"/>
      <c r="U55" s="3082" t="s">
        <v>345</v>
      </c>
      <c r="V55" s="3083"/>
      <c r="W55" s="3083"/>
      <c r="X55" s="3083"/>
      <c r="Y55" s="3084"/>
      <c r="Z55" s="379"/>
      <c r="AA55" s="1289"/>
      <c r="AB55" s="1289"/>
      <c r="AC55" s="1289"/>
      <c r="AD55" s="1290"/>
      <c r="AE55" s="1289"/>
      <c r="AF55" s="1352"/>
      <c r="AG55" s="1289"/>
    </row>
    <row r="56" spans="1:33" s="10" customFormat="1" ht="33.75" customHeight="1" x14ac:dyDescent="0.25">
      <c r="A56" s="1287"/>
      <c r="B56" s="1281"/>
      <c r="C56" s="3028"/>
      <c r="D56" s="3028"/>
      <c r="E56" s="3028"/>
      <c r="F56" s="3028"/>
      <c r="G56" s="3028"/>
      <c r="H56" s="3028"/>
      <c r="I56" s="3028"/>
      <c r="J56" s="3082" t="s">
        <v>28</v>
      </c>
      <c r="K56" s="3083"/>
      <c r="L56" s="3084"/>
      <c r="M56" s="1276" t="s">
        <v>937</v>
      </c>
      <c r="N56" s="3045"/>
      <c r="O56" s="3046"/>
      <c r="P56" s="3046"/>
      <c r="Q56" s="3047"/>
      <c r="R56" s="3028"/>
      <c r="S56" s="3028"/>
      <c r="T56" s="3028"/>
      <c r="U56" s="1276">
        <v>1</v>
      </c>
      <c r="V56" s="1276">
        <v>2</v>
      </c>
      <c r="W56" s="1276">
        <v>3</v>
      </c>
      <c r="X56" s="1276">
        <v>4</v>
      </c>
      <c r="Y56" s="1276">
        <v>5</v>
      </c>
      <c r="Z56" s="379"/>
      <c r="AA56" s="1289"/>
      <c r="AB56" s="1289"/>
      <c r="AC56" s="1289"/>
      <c r="AD56" s="1290"/>
      <c r="AE56" s="1289"/>
      <c r="AF56" s="1352"/>
      <c r="AG56" s="1289"/>
    </row>
    <row r="57" spans="1:33" s="10" customFormat="1" ht="142.5" customHeight="1" x14ac:dyDescent="0.25">
      <c r="A57" s="1287"/>
      <c r="B57" s="398"/>
      <c r="C57" s="3095"/>
      <c r="D57" s="3095"/>
      <c r="E57" s="3095"/>
      <c r="F57" s="3095"/>
      <c r="G57" s="3095"/>
      <c r="H57" s="3095"/>
      <c r="I57" s="3095"/>
      <c r="J57" s="2996"/>
      <c r="K57" s="2997"/>
      <c r="L57" s="2998"/>
      <c r="M57" s="402"/>
      <c r="N57" s="3086" t="s">
        <v>360</v>
      </c>
      <c r="O57" s="3087"/>
      <c r="P57" s="3087"/>
      <c r="Q57" s="3088"/>
      <c r="R57" s="3085" t="s">
        <v>493</v>
      </c>
      <c r="S57" s="3085"/>
      <c r="T57" s="3085"/>
      <c r="U57" s="403"/>
      <c r="V57" s="403"/>
      <c r="W57" s="404"/>
      <c r="X57" s="404"/>
      <c r="Y57" s="404"/>
      <c r="Z57" s="379"/>
      <c r="AA57" s="1289"/>
      <c r="AB57" s="1289"/>
      <c r="AC57" s="1289"/>
      <c r="AD57" s="1290">
        <v>0</v>
      </c>
      <c r="AE57" s="1289"/>
      <c r="AF57" s="1352"/>
      <c r="AG57" s="1289"/>
    </row>
    <row r="58" spans="1:33" s="10" customFormat="1" ht="142.5" customHeight="1" x14ac:dyDescent="0.25">
      <c r="A58" s="1287"/>
      <c r="B58" s="398"/>
      <c r="C58" s="3095"/>
      <c r="D58" s="3095"/>
      <c r="E58" s="3095"/>
      <c r="F58" s="3095"/>
      <c r="G58" s="3095"/>
      <c r="H58" s="3095"/>
      <c r="I58" s="3095"/>
      <c r="J58" s="2996"/>
      <c r="K58" s="2997"/>
      <c r="L58" s="2998"/>
      <c r="M58" s="402"/>
      <c r="N58" s="3089"/>
      <c r="O58" s="3090"/>
      <c r="P58" s="3090"/>
      <c r="Q58" s="3091"/>
      <c r="R58" s="3085" t="s">
        <v>494</v>
      </c>
      <c r="S58" s="3085"/>
      <c r="T58" s="3085"/>
      <c r="U58" s="403"/>
      <c r="V58" s="403"/>
      <c r="W58" s="404"/>
      <c r="X58" s="404"/>
      <c r="Y58" s="404"/>
      <c r="Z58" s="379"/>
      <c r="AA58" s="1289"/>
      <c r="AB58" s="1289"/>
      <c r="AC58" s="1289"/>
      <c r="AD58" s="1290">
        <v>0</v>
      </c>
      <c r="AE58" s="1289"/>
      <c r="AF58" s="1352"/>
      <c r="AG58" s="1289"/>
    </row>
    <row r="59" spans="1:33" s="10" customFormat="1" ht="142.5" customHeight="1" x14ac:dyDescent="0.25">
      <c r="A59" s="1287"/>
      <c r="B59" s="398"/>
      <c r="C59" s="3095"/>
      <c r="D59" s="3095"/>
      <c r="E59" s="3095"/>
      <c r="F59" s="3095"/>
      <c r="G59" s="3095"/>
      <c r="H59" s="3095"/>
      <c r="I59" s="3095"/>
      <c r="J59" s="2996"/>
      <c r="K59" s="2997"/>
      <c r="L59" s="2998"/>
      <c r="M59" s="402"/>
      <c r="N59" s="3089"/>
      <c r="O59" s="3090"/>
      <c r="P59" s="3090"/>
      <c r="Q59" s="3091"/>
      <c r="R59" s="3085" t="s">
        <v>493</v>
      </c>
      <c r="S59" s="3085"/>
      <c r="T59" s="3085"/>
      <c r="U59" s="403"/>
      <c r="V59" s="404"/>
      <c r="W59" s="404"/>
      <c r="X59" s="404"/>
      <c r="Y59" s="404"/>
      <c r="Z59" s="379"/>
      <c r="AA59" s="1289"/>
      <c r="AB59" s="1289"/>
      <c r="AC59" s="1289"/>
      <c r="AD59" s="1290">
        <v>0</v>
      </c>
      <c r="AE59" s="1289"/>
      <c r="AF59" s="1352"/>
      <c r="AG59" s="1289"/>
    </row>
    <row r="60" spans="1:33" s="10" customFormat="1" ht="23.25" customHeight="1" x14ac:dyDescent="0.25">
      <c r="A60" s="1287"/>
      <c r="B60" s="398"/>
      <c r="C60" s="3081" t="s">
        <v>14</v>
      </c>
      <c r="D60" s="3081"/>
      <c r="E60" s="3081"/>
      <c r="F60" s="3081"/>
      <c r="G60" s="3081"/>
      <c r="H60" s="3081"/>
      <c r="I60" s="3081"/>
      <c r="J60" s="3082"/>
      <c r="K60" s="3083"/>
      <c r="L60" s="3084"/>
      <c r="M60" s="1324">
        <f>SUM(M57:M59)</f>
        <v>0</v>
      </c>
      <c r="N60" s="3092"/>
      <c r="O60" s="3093"/>
      <c r="P60" s="3093"/>
      <c r="Q60" s="3094"/>
      <c r="R60" s="3096"/>
      <c r="S60" s="3097"/>
      <c r="T60" s="3097"/>
      <c r="U60" s="3097"/>
      <c r="V60" s="3097"/>
      <c r="W60" s="3097"/>
      <c r="X60" s="3097"/>
      <c r="Y60" s="3098"/>
      <c r="Z60" s="379"/>
      <c r="AA60" s="1289"/>
      <c r="AB60" s="1289"/>
      <c r="AC60" s="1289"/>
      <c r="AD60" s="1290"/>
      <c r="AE60" s="1289"/>
      <c r="AF60" s="1352"/>
      <c r="AG60" s="1289"/>
    </row>
    <row r="61" spans="1:33" s="10" customFormat="1" ht="23.25" customHeight="1" x14ac:dyDescent="0.25">
      <c r="A61" s="1287"/>
      <c r="B61" s="398"/>
      <c r="C61" s="3012" t="s">
        <v>1776</v>
      </c>
      <c r="D61" s="3013"/>
      <c r="E61" s="3013"/>
      <c r="F61" s="3013"/>
      <c r="G61" s="3013"/>
      <c r="H61" s="3013"/>
      <c r="I61" s="3013"/>
      <c r="J61" s="3013"/>
      <c r="K61" s="3013"/>
      <c r="L61" s="3013"/>
      <c r="M61" s="3013"/>
      <c r="N61" s="3013"/>
      <c r="O61" s="3014"/>
      <c r="P61" s="3210" t="s">
        <v>184</v>
      </c>
      <c r="Q61" s="3211"/>
      <c r="R61" s="3211"/>
      <c r="S61" s="3211"/>
      <c r="T61" s="3223"/>
      <c r="U61" s="1272">
        <f>COUNTIF(AD57:AD60,"1")*U56</f>
        <v>0</v>
      </c>
      <c r="V61" s="1272">
        <f>COUNTIF(AD57:AD60,"2")*V56</f>
        <v>0</v>
      </c>
      <c r="W61" s="1272">
        <f>COUNTIF(AD57:AD60,"3")*W56</f>
        <v>0</v>
      </c>
      <c r="X61" s="1272">
        <f>COUNTIF(AD57:AD60,"4")*X56</f>
        <v>0</v>
      </c>
      <c r="Y61" s="1272">
        <f>COUNTIF(AD57:AD60,"5")*Y56</f>
        <v>0</v>
      </c>
      <c r="Z61" s="379"/>
      <c r="AA61" s="1289"/>
      <c r="AB61" s="1289"/>
      <c r="AC61" s="1289"/>
      <c r="AD61" s="1290"/>
      <c r="AE61" s="1289"/>
      <c r="AF61" s="1352"/>
      <c r="AG61" s="1289"/>
    </row>
    <row r="62" spans="1:33" s="10" customFormat="1" ht="23.25" customHeight="1" x14ac:dyDescent="0.25">
      <c r="A62" s="1287"/>
      <c r="B62" s="398"/>
      <c r="C62" s="3015"/>
      <c r="D62" s="3016"/>
      <c r="E62" s="3016"/>
      <c r="F62" s="3016"/>
      <c r="G62" s="3016"/>
      <c r="H62" s="3016"/>
      <c r="I62" s="3016"/>
      <c r="J62" s="3016"/>
      <c r="K62" s="3016"/>
      <c r="L62" s="3016"/>
      <c r="M62" s="3016"/>
      <c r="N62" s="3016"/>
      <c r="O62" s="3017"/>
      <c r="P62" s="3212"/>
      <c r="Q62" s="3213"/>
      <c r="R62" s="3213"/>
      <c r="S62" s="3213"/>
      <c r="T62" s="3224"/>
      <c r="U62" s="3240">
        <f>SUM(U61:Y61)</f>
        <v>0</v>
      </c>
      <c r="V62" s="3241"/>
      <c r="W62" s="3241"/>
      <c r="X62" s="3241"/>
      <c r="Y62" s="3242"/>
      <c r="Z62" s="379"/>
      <c r="AA62" s="1289"/>
      <c r="AB62" s="1289"/>
      <c r="AC62" s="1289"/>
      <c r="AD62" s="1290"/>
      <c r="AE62" s="1289"/>
      <c r="AF62" s="1352"/>
      <c r="AG62" s="1289"/>
    </row>
    <row r="63" spans="1:33" s="10" customFormat="1" ht="102.75" customHeight="1" x14ac:dyDescent="0.25">
      <c r="A63" s="1287"/>
      <c r="B63" s="398"/>
      <c r="C63" s="3018"/>
      <c r="D63" s="3019"/>
      <c r="E63" s="3019"/>
      <c r="F63" s="3019"/>
      <c r="G63" s="3019"/>
      <c r="H63" s="3019"/>
      <c r="I63" s="3019"/>
      <c r="J63" s="3019"/>
      <c r="K63" s="3019"/>
      <c r="L63" s="3019"/>
      <c r="M63" s="3019"/>
      <c r="N63" s="3019"/>
      <c r="O63" s="3020"/>
      <c r="P63" s="3126" t="s">
        <v>182</v>
      </c>
      <c r="Q63" s="3126"/>
      <c r="R63" s="3126"/>
      <c r="S63" s="3126"/>
      <c r="T63" s="3126"/>
      <c r="U63" s="3125">
        <v>0</v>
      </c>
      <c r="V63" s="3125"/>
      <c r="W63" s="2995" t="b">
        <f>IF(ROUND(U63,0)=1,"Sangat Tidak Baik",IF(ROUND(U63,0)=2,"Tidak Baik",IF(ROUND(U63,0)=3,"Cukup Baik",IF(ROUND(U63,0)=4,"Baik",IF(ROUND(U63,0)&gt;=5,"Sangat Baik Memenuhi Syarat")))))</f>
        <v>0</v>
      </c>
      <c r="X63" s="2995"/>
      <c r="Y63" s="2995"/>
      <c r="Z63" s="379"/>
      <c r="AA63" s="1289"/>
      <c r="AB63" s="1289"/>
      <c r="AC63" s="1289"/>
      <c r="AD63" s="1290"/>
      <c r="AE63" s="1289"/>
      <c r="AF63" s="1352">
        <f>COUNTIF(AD57:AD59,"&gt;0")</f>
        <v>0</v>
      </c>
      <c r="AG63" s="1289"/>
    </row>
    <row r="64" spans="1:33" s="10" customFormat="1" ht="10.5" customHeight="1" x14ac:dyDescent="0.25">
      <c r="A64" s="126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6"/>
      <c r="AA64" s="1289"/>
      <c r="AB64" s="1289"/>
      <c r="AC64" s="1289"/>
      <c r="AD64" s="1290"/>
      <c r="AE64" s="1289"/>
      <c r="AF64" s="1352"/>
      <c r="AG64" s="1289"/>
    </row>
    <row r="65" spans="1:33" s="30" customFormat="1" ht="15" x14ac:dyDescent="0.25">
      <c r="A65" s="407"/>
      <c r="B65" s="1265">
        <v>2</v>
      </c>
      <c r="C65" s="3195" t="s">
        <v>1557</v>
      </c>
      <c r="D65" s="3195"/>
      <c r="E65" s="3195"/>
      <c r="F65" s="3195"/>
      <c r="G65" s="3195"/>
      <c r="H65" s="3195"/>
      <c r="I65" s="3195"/>
      <c r="J65" s="3195"/>
      <c r="K65" s="3195"/>
      <c r="L65" s="3195"/>
      <c r="M65" s="3195"/>
      <c r="N65" s="3195"/>
      <c r="O65" s="3195"/>
      <c r="P65" s="3195"/>
      <c r="Q65" s="3195"/>
      <c r="R65" s="3195"/>
      <c r="S65" s="3195"/>
      <c r="T65" s="3195"/>
      <c r="U65" s="3195"/>
      <c r="V65" s="3195"/>
      <c r="W65" s="3195"/>
      <c r="X65" s="3195"/>
      <c r="Y65" s="3195"/>
      <c r="Z65" s="408"/>
      <c r="AA65" s="1296"/>
      <c r="AB65" s="1296"/>
      <c r="AC65" s="1296"/>
      <c r="AD65" s="1290"/>
      <c r="AE65" s="1296"/>
      <c r="AF65" s="1357"/>
      <c r="AG65" s="1296"/>
    </row>
    <row r="66" spans="1:33" s="23" customFormat="1" ht="12" customHeight="1" x14ac:dyDescent="0.25">
      <c r="A66" s="1287"/>
      <c r="B66" s="1281"/>
      <c r="C66" s="1281"/>
      <c r="D66" s="1281"/>
      <c r="E66" s="1281"/>
      <c r="F66" s="1281"/>
      <c r="G66" s="1281"/>
      <c r="H66" s="1281"/>
      <c r="I66" s="1281"/>
      <c r="J66" s="1281"/>
      <c r="K66" s="1281"/>
      <c r="L66" s="1281"/>
      <c r="M66" s="1281"/>
      <c r="N66" s="1281"/>
      <c r="O66" s="1281"/>
      <c r="P66" s="1281"/>
      <c r="Q66" s="1281"/>
      <c r="R66" s="1281"/>
      <c r="S66" s="1281"/>
      <c r="T66" s="1281"/>
      <c r="U66" s="1281"/>
      <c r="V66" s="1281"/>
      <c r="W66" s="1281"/>
      <c r="X66" s="1281"/>
      <c r="Y66" s="1281"/>
      <c r="Z66" s="379"/>
      <c r="AA66" s="1297"/>
      <c r="AB66" s="1297"/>
      <c r="AC66" s="1297"/>
      <c r="AD66" s="1290"/>
      <c r="AE66" s="1297"/>
      <c r="AF66" s="1358"/>
      <c r="AG66" s="1297"/>
    </row>
    <row r="67" spans="1:33" s="23" customFormat="1" ht="25.9" customHeight="1" x14ac:dyDescent="0.25">
      <c r="A67" s="1287"/>
      <c r="B67" s="1281"/>
      <c r="C67" s="3067" t="s">
        <v>30</v>
      </c>
      <c r="D67" s="2999"/>
      <c r="E67" s="2999"/>
      <c r="F67" s="2999"/>
      <c r="G67" s="2999"/>
      <c r="H67" s="2999"/>
      <c r="I67" s="2999"/>
      <c r="J67" s="2999"/>
      <c r="K67" s="3000"/>
      <c r="L67" s="3068" t="s">
        <v>31</v>
      </c>
      <c r="M67" s="3068"/>
      <c r="N67" s="3068"/>
      <c r="O67" s="3068"/>
      <c r="P67" s="3068"/>
      <c r="Q67" s="3068" t="s">
        <v>32</v>
      </c>
      <c r="R67" s="3078"/>
      <c r="S67" s="3078"/>
      <c r="T67" s="3078"/>
      <c r="U67" s="3078"/>
      <c r="V67" s="3078"/>
      <c r="W67" s="3078"/>
      <c r="X67" s="3078"/>
      <c r="Y67" s="3078"/>
      <c r="Z67" s="379"/>
      <c r="AA67" s="1297"/>
      <c r="AB67" s="1297"/>
      <c r="AC67" s="1297"/>
      <c r="AD67" s="1290"/>
      <c r="AE67" s="1297"/>
      <c r="AF67" s="1358"/>
      <c r="AG67" s="1297"/>
    </row>
    <row r="68" spans="1:33" s="23" customFormat="1" ht="18" customHeight="1" x14ac:dyDescent="0.25">
      <c r="A68" s="1287"/>
      <c r="B68" s="1266"/>
      <c r="C68" s="3079" t="str">
        <f>'CEKLIST 002 (BIO DATA)'!D27</f>
        <v>Jufrin H. Abdullah, S.Sos</v>
      </c>
      <c r="D68" s="3080"/>
      <c r="E68" s="3080"/>
      <c r="F68" s="3080"/>
      <c r="G68" s="3080"/>
      <c r="H68" s="3080"/>
      <c r="I68" s="3080"/>
      <c r="J68" s="3080"/>
      <c r="K68" s="3080"/>
      <c r="L68" s="3079" t="str">
        <f>'CEKLIST 002 (BIO DATA)'!B27</f>
        <v>Direktur Utama</v>
      </c>
      <c r="M68" s="3080"/>
      <c r="N68" s="3080"/>
      <c r="O68" s="3080"/>
      <c r="P68" s="3080"/>
      <c r="Q68" s="3055" t="s">
        <v>852</v>
      </c>
      <c r="R68" s="3056"/>
      <c r="S68" s="3056"/>
      <c r="T68" s="3056"/>
      <c r="U68" s="3056"/>
      <c r="V68" s="3056"/>
      <c r="W68" s="3056"/>
      <c r="X68" s="3056"/>
      <c r="Y68" s="3056"/>
      <c r="Z68" s="379"/>
      <c r="AA68" s="1297"/>
      <c r="AB68" s="1297"/>
      <c r="AC68" s="1297"/>
      <c r="AD68" s="1290"/>
      <c r="AE68" s="1297"/>
      <c r="AF68" s="1358"/>
      <c r="AG68" s="1297"/>
    </row>
    <row r="69" spans="1:33" s="23" customFormat="1" ht="13.5" customHeight="1" x14ac:dyDescent="0.25">
      <c r="A69" s="1287"/>
      <c r="B69" s="1266"/>
      <c r="C69" s="3079" t="str">
        <f>'CEKLIST 002 (BIO DATA)'!D31</f>
        <v>-</v>
      </c>
      <c r="D69" s="3080"/>
      <c r="E69" s="3080"/>
      <c r="F69" s="3080"/>
      <c r="G69" s="3080"/>
      <c r="H69" s="3080"/>
      <c r="I69" s="3080"/>
      <c r="J69" s="3080"/>
      <c r="K69" s="3080"/>
      <c r="L69" s="3079" t="str">
        <f>'CEKLIST 002 (BIO DATA)'!B31</f>
        <v>Direktur I</v>
      </c>
      <c r="M69" s="3080"/>
      <c r="N69" s="3080"/>
      <c r="O69" s="3080"/>
      <c r="P69" s="3080"/>
      <c r="Q69" s="3055" t="s">
        <v>852</v>
      </c>
      <c r="R69" s="3056"/>
      <c r="S69" s="3056"/>
      <c r="T69" s="3056"/>
      <c r="U69" s="3056"/>
      <c r="V69" s="3056"/>
      <c r="W69" s="3056"/>
      <c r="X69" s="3056"/>
      <c r="Y69" s="3056"/>
      <c r="Z69" s="379"/>
      <c r="AA69" s="1297"/>
      <c r="AB69" s="1297"/>
      <c r="AC69" s="1297"/>
      <c r="AD69" s="1290"/>
      <c r="AE69" s="1297"/>
      <c r="AF69" s="1358"/>
      <c r="AG69" s="1297"/>
    </row>
    <row r="70" spans="1:33" s="23" customFormat="1" ht="13.5" customHeight="1" x14ac:dyDescent="0.25">
      <c r="A70" s="1287"/>
      <c r="B70" s="1266"/>
      <c r="C70" s="3073" t="str">
        <f>'CEKLIST 002 (BIO DATA)'!D35</f>
        <v>-</v>
      </c>
      <c r="D70" s="3074"/>
      <c r="E70" s="3074"/>
      <c r="F70" s="3074"/>
      <c r="G70" s="3074"/>
      <c r="H70" s="3074"/>
      <c r="I70" s="3074"/>
      <c r="J70" s="3074"/>
      <c r="K70" s="3075"/>
      <c r="L70" s="3076" t="str">
        <f>'CEKLIST 002 (BIO DATA)'!B35</f>
        <v>Direktur Keuangan</v>
      </c>
      <c r="M70" s="3077"/>
      <c r="N70" s="3077"/>
      <c r="O70" s="3077"/>
      <c r="P70" s="3077"/>
      <c r="Q70" s="3055" t="s">
        <v>852</v>
      </c>
      <c r="R70" s="3056"/>
      <c r="S70" s="3056"/>
      <c r="T70" s="3056"/>
      <c r="U70" s="3056"/>
      <c r="V70" s="3056"/>
      <c r="W70" s="3056"/>
      <c r="X70" s="3056"/>
      <c r="Y70" s="3056"/>
      <c r="Z70" s="379"/>
      <c r="AA70" s="1297"/>
      <c r="AB70" s="1297"/>
      <c r="AC70" s="1297"/>
      <c r="AD70" s="1290"/>
      <c r="AE70" s="1297"/>
      <c r="AF70" s="1358"/>
      <c r="AG70" s="1297"/>
    </row>
    <row r="71" spans="1:33" s="23" customFormat="1" ht="13.5" customHeight="1" x14ac:dyDescent="0.25">
      <c r="A71" s="1287"/>
      <c r="B71" s="1266"/>
      <c r="C71" s="3057"/>
      <c r="D71" s="3058"/>
      <c r="E71" s="3058"/>
      <c r="F71" s="3058"/>
      <c r="G71" s="3058"/>
      <c r="H71" s="3058"/>
      <c r="I71" s="3058"/>
      <c r="J71" s="3058"/>
      <c r="K71" s="3059"/>
      <c r="L71" s="3060"/>
      <c r="M71" s="3061"/>
      <c r="N71" s="3061"/>
      <c r="O71" s="3061"/>
      <c r="P71" s="3061"/>
      <c r="Q71" s="3062"/>
      <c r="R71" s="3063"/>
      <c r="S71" s="3063"/>
      <c r="T71" s="3063"/>
      <c r="U71" s="3063"/>
      <c r="V71" s="3063"/>
      <c r="W71" s="3063"/>
      <c r="X71" s="3063"/>
      <c r="Y71" s="3063"/>
      <c r="Z71" s="379"/>
      <c r="AA71" s="1297"/>
      <c r="AB71" s="1297"/>
      <c r="AC71" s="1297"/>
      <c r="AD71" s="1290"/>
      <c r="AE71" s="1297"/>
      <c r="AF71" s="1358"/>
      <c r="AG71" s="1297"/>
    </row>
    <row r="72" spans="1:33" s="23" customFormat="1" ht="13.5" customHeight="1" x14ac:dyDescent="0.25">
      <c r="A72" s="1287"/>
      <c r="B72" s="1266"/>
      <c r="C72" s="3057"/>
      <c r="D72" s="3058"/>
      <c r="E72" s="3058"/>
      <c r="F72" s="3058"/>
      <c r="G72" s="3058"/>
      <c r="H72" s="3058"/>
      <c r="I72" s="3058"/>
      <c r="J72" s="3058"/>
      <c r="K72" s="3059"/>
      <c r="L72" s="3060"/>
      <c r="M72" s="3061"/>
      <c r="N72" s="3061"/>
      <c r="O72" s="3061"/>
      <c r="P72" s="3061"/>
      <c r="Q72" s="3062"/>
      <c r="R72" s="3063"/>
      <c r="S72" s="3063"/>
      <c r="T72" s="3063"/>
      <c r="U72" s="3063"/>
      <c r="V72" s="3063"/>
      <c r="W72" s="3063"/>
      <c r="X72" s="3063"/>
      <c r="Y72" s="3063"/>
      <c r="Z72" s="379"/>
      <c r="AA72" s="1297"/>
      <c r="AB72" s="1297"/>
      <c r="AC72" s="1297"/>
      <c r="AD72" s="1290"/>
      <c r="AE72" s="1297"/>
      <c r="AF72" s="1358"/>
      <c r="AG72" s="1297"/>
    </row>
    <row r="73" spans="1:33" s="23" customFormat="1" ht="15" x14ac:dyDescent="0.25">
      <c r="A73" s="1287"/>
      <c r="B73" s="1266"/>
      <c r="C73" s="3069"/>
      <c r="D73" s="3070"/>
      <c r="E73" s="3070"/>
      <c r="F73" s="3070"/>
      <c r="G73" s="3070"/>
      <c r="H73" s="3070"/>
      <c r="I73" s="3070"/>
      <c r="J73" s="3070"/>
      <c r="K73" s="3070"/>
      <c r="L73" s="3071"/>
      <c r="M73" s="3072"/>
      <c r="N73" s="3072"/>
      <c r="O73" s="3072"/>
      <c r="P73" s="3072"/>
      <c r="Q73" s="3055"/>
      <c r="R73" s="3056"/>
      <c r="S73" s="3056"/>
      <c r="T73" s="3056"/>
      <c r="U73" s="3056"/>
      <c r="V73" s="3056"/>
      <c r="W73" s="3056"/>
      <c r="X73" s="3056"/>
      <c r="Y73" s="3056"/>
      <c r="Z73" s="379"/>
      <c r="AA73" s="1297"/>
      <c r="AB73" s="1297"/>
      <c r="AC73" s="1297"/>
      <c r="AD73" s="1290"/>
      <c r="AE73" s="1297"/>
      <c r="AF73" s="1358"/>
      <c r="AG73" s="1297"/>
    </row>
    <row r="74" spans="1:33" s="10" customFormat="1" ht="11.25" customHeight="1" x14ac:dyDescent="0.25">
      <c r="A74" s="1287"/>
      <c r="B74" s="1266"/>
      <c r="C74" s="1266"/>
      <c r="D74" s="1266"/>
      <c r="E74" s="1266"/>
      <c r="F74" s="1266"/>
      <c r="G74" s="1266"/>
      <c r="H74" s="1266"/>
      <c r="I74" s="1266"/>
      <c r="J74" s="1266"/>
      <c r="K74" s="1266"/>
      <c r="L74" s="1266"/>
      <c r="M74" s="1266"/>
      <c r="N74" s="1266"/>
      <c r="O74" s="1266"/>
      <c r="P74" s="1266"/>
      <c r="Q74" s="1266"/>
      <c r="R74" s="1266"/>
      <c r="S74" s="1266"/>
      <c r="T74" s="1266"/>
      <c r="U74" s="1266"/>
      <c r="V74" s="1266"/>
      <c r="W74" s="1266"/>
      <c r="X74" s="1266"/>
      <c r="Y74" s="1266"/>
      <c r="Z74" s="379"/>
      <c r="AA74" s="1289"/>
      <c r="AB74" s="1289"/>
      <c r="AC74" s="1289"/>
      <c r="AD74" s="1290"/>
      <c r="AE74" s="1289"/>
      <c r="AF74" s="1352"/>
      <c r="AG74" s="1289"/>
    </row>
    <row r="75" spans="1:33" s="10" customFormat="1" ht="15" x14ac:dyDescent="0.25">
      <c r="A75" s="1287"/>
      <c r="B75" s="1281"/>
      <c r="C75" s="3034" t="s">
        <v>33</v>
      </c>
      <c r="D75" s="3034"/>
      <c r="E75" s="3034"/>
      <c r="F75" s="3034"/>
      <c r="G75" s="3034"/>
      <c r="H75" s="3034"/>
      <c r="I75" s="3034"/>
      <c r="J75" s="3034"/>
      <c r="K75" s="3034"/>
      <c r="L75" s="3034"/>
      <c r="M75" s="3034"/>
      <c r="N75" s="3034"/>
      <c r="O75" s="3034"/>
      <c r="P75" s="3034"/>
      <c r="Q75" s="3034"/>
      <c r="R75" s="3034"/>
      <c r="S75" s="3034"/>
      <c r="T75" s="3034"/>
      <c r="U75" s="3034"/>
      <c r="V75" s="3034"/>
      <c r="W75" s="3034"/>
      <c r="X75" s="3034"/>
      <c r="Y75" s="3034"/>
      <c r="Z75" s="379"/>
      <c r="AA75" s="1289"/>
      <c r="AB75" s="1289"/>
      <c r="AC75" s="1289"/>
      <c r="AD75" s="1290"/>
      <c r="AE75" s="1289"/>
      <c r="AF75" s="1352"/>
      <c r="AG75" s="1289"/>
    </row>
    <row r="76" spans="1:33" s="10" customFormat="1" ht="15" x14ac:dyDescent="0.25">
      <c r="A76" s="1287"/>
      <c r="B76" s="1281"/>
      <c r="C76" s="3042"/>
      <c r="D76" s="3043"/>
      <c r="E76" s="3043"/>
      <c r="F76" s="3043"/>
      <c r="G76" s="3043"/>
      <c r="H76" s="3043"/>
      <c r="I76" s="3043"/>
      <c r="J76" s="3043"/>
      <c r="K76" s="3043"/>
      <c r="L76" s="3043"/>
      <c r="M76" s="3043"/>
      <c r="N76" s="3043"/>
      <c r="O76" s="3043"/>
      <c r="P76" s="3043"/>
      <c r="Q76" s="3043"/>
      <c r="R76" s="3043"/>
      <c r="S76" s="3043"/>
      <c r="T76" s="3044"/>
      <c r="U76" s="3028" t="s">
        <v>345</v>
      </c>
      <c r="V76" s="3028"/>
      <c r="W76" s="3028"/>
      <c r="X76" s="3028"/>
      <c r="Y76" s="3028"/>
      <c r="Z76" s="379"/>
      <c r="AA76" s="1289"/>
      <c r="AB76" s="1289"/>
      <c r="AC76" s="1289"/>
      <c r="AD76" s="1290"/>
      <c r="AE76" s="1289"/>
      <c r="AF76" s="1352"/>
      <c r="AG76" s="1289"/>
    </row>
    <row r="77" spans="1:33" s="23" customFormat="1" ht="13.7" customHeight="1" x14ac:dyDescent="0.25">
      <c r="A77" s="1287"/>
      <c r="B77" s="1281"/>
      <c r="C77" s="3045"/>
      <c r="D77" s="3046"/>
      <c r="E77" s="3046"/>
      <c r="F77" s="3046"/>
      <c r="G77" s="3046"/>
      <c r="H77" s="3046"/>
      <c r="I77" s="3046"/>
      <c r="J77" s="3046"/>
      <c r="K77" s="3046"/>
      <c r="L77" s="3046"/>
      <c r="M77" s="3046"/>
      <c r="N77" s="3046"/>
      <c r="O77" s="3046"/>
      <c r="P77" s="3046"/>
      <c r="Q77" s="3046"/>
      <c r="R77" s="3046"/>
      <c r="S77" s="3046"/>
      <c r="T77" s="3047"/>
      <c r="U77" s="1276">
        <v>1</v>
      </c>
      <c r="V77" s="1276">
        <v>2</v>
      </c>
      <c r="W77" s="1276">
        <v>3</v>
      </c>
      <c r="X77" s="1276">
        <v>4</v>
      </c>
      <c r="Y77" s="1276">
        <v>5</v>
      </c>
      <c r="Z77" s="379"/>
      <c r="AA77" s="1297"/>
      <c r="AB77" s="1297"/>
      <c r="AC77" s="1297"/>
      <c r="AD77" s="1290"/>
      <c r="AE77" s="1297"/>
      <c r="AF77" s="1358"/>
      <c r="AG77" s="1297"/>
    </row>
    <row r="78" spans="1:33" s="23" customFormat="1" ht="159" customHeight="1" x14ac:dyDescent="0.25">
      <c r="A78" s="1287"/>
      <c r="B78" s="1281"/>
      <c r="C78" s="1325"/>
      <c r="D78" s="1326" t="s">
        <v>34</v>
      </c>
      <c r="E78" s="3023" t="s">
        <v>953</v>
      </c>
      <c r="F78" s="3024"/>
      <c r="G78" s="3024"/>
      <c r="H78" s="3024"/>
      <c r="I78" s="3024"/>
      <c r="J78" s="3024"/>
      <c r="K78" s="3024"/>
      <c r="L78" s="3024"/>
      <c r="M78" s="3024"/>
      <c r="N78" s="3024"/>
      <c r="O78" s="3025"/>
      <c r="P78" s="2982" t="s">
        <v>367</v>
      </c>
      <c r="Q78" s="2983"/>
      <c r="R78" s="2983"/>
      <c r="S78" s="2983"/>
      <c r="T78" s="2984"/>
      <c r="U78" s="1256"/>
      <c r="V78" s="1256"/>
      <c r="W78" s="1256"/>
      <c r="X78" s="1256"/>
      <c r="Y78" s="1256"/>
      <c r="Z78" s="379"/>
      <c r="AA78" s="1297"/>
      <c r="AB78" s="1297"/>
      <c r="AC78" s="1297"/>
      <c r="AD78" s="1290">
        <v>3</v>
      </c>
      <c r="AE78" s="1297"/>
      <c r="AF78" s="1358"/>
      <c r="AG78" s="1297"/>
    </row>
    <row r="79" spans="1:33" s="23" customFormat="1" ht="159" customHeight="1" x14ac:dyDescent="0.25">
      <c r="A79" s="1287"/>
      <c r="B79" s="1281"/>
      <c r="C79" s="1274"/>
      <c r="D79" s="1326" t="s">
        <v>35</v>
      </c>
      <c r="E79" s="3023" t="s">
        <v>954</v>
      </c>
      <c r="F79" s="3024"/>
      <c r="G79" s="3024"/>
      <c r="H79" s="3024"/>
      <c r="I79" s="3024"/>
      <c r="J79" s="3024"/>
      <c r="K79" s="3024"/>
      <c r="L79" s="3024"/>
      <c r="M79" s="3024"/>
      <c r="N79" s="3024"/>
      <c r="O79" s="3025"/>
      <c r="P79" s="2982" t="s">
        <v>281</v>
      </c>
      <c r="Q79" s="2983"/>
      <c r="R79" s="2983"/>
      <c r="S79" s="2983"/>
      <c r="T79" s="2984"/>
      <c r="U79" s="1256"/>
      <c r="V79" s="1256"/>
      <c r="W79" s="1256"/>
      <c r="X79" s="1256"/>
      <c r="Y79" s="1256"/>
      <c r="Z79" s="379"/>
      <c r="AA79" s="1297"/>
      <c r="AB79" s="1297"/>
      <c r="AC79" s="1297"/>
      <c r="AD79" s="1290">
        <v>3</v>
      </c>
      <c r="AE79" s="1297"/>
      <c r="AF79" s="1358"/>
      <c r="AG79" s="1297"/>
    </row>
    <row r="80" spans="1:33" s="23" customFormat="1" ht="159" customHeight="1" x14ac:dyDescent="0.25">
      <c r="A80" s="1287"/>
      <c r="B80" s="1281"/>
      <c r="C80" s="1274"/>
      <c r="D80" s="1326" t="s">
        <v>36</v>
      </c>
      <c r="E80" s="3023" t="s">
        <v>1558</v>
      </c>
      <c r="F80" s="3024"/>
      <c r="G80" s="3024"/>
      <c r="H80" s="3024"/>
      <c r="I80" s="3024"/>
      <c r="J80" s="3024"/>
      <c r="K80" s="3024"/>
      <c r="L80" s="3024"/>
      <c r="M80" s="3024"/>
      <c r="N80" s="3024"/>
      <c r="O80" s="3025"/>
      <c r="P80" s="2982" t="s">
        <v>1559</v>
      </c>
      <c r="Q80" s="2983"/>
      <c r="R80" s="2983"/>
      <c r="S80" s="2983"/>
      <c r="T80" s="2984"/>
      <c r="U80" s="1256"/>
      <c r="V80" s="1256"/>
      <c r="W80" s="1256"/>
      <c r="X80" s="1256"/>
      <c r="Y80" s="1256"/>
      <c r="Z80" s="379"/>
      <c r="AA80" s="1297"/>
      <c r="AB80" s="1297"/>
      <c r="AC80" s="1297"/>
      <c r="AD80" s="1290">
        <v>4</v>
      </c>
      <c r="AE80" s="1297"/>
      <c r="AF80" s="1358"/>
      <c r="AG80" s="1297"/>
    </row>
    <row r="81" spans="1:37" s="23" customFormat="1" ht="15" customHeight="1" x14ac:dyDescent="0.25">
      <c r="A81" s="1287"/>
      <c r="B81" s="1266"/>
      <c r="C81" s="3012" t="s">
        <v>469</v>
      </c>
      <c r="D81" s="3013"/>
      <c r="E81" s="3013"/>
      <c r="F81" s="3013"/>
      <c r="G81" s="3013"/>
      <c r="H81" s="3013"/>
      <c r="I81" s="3013"/>
      <c r="J81" s="3013"/>
      <c r="K81" s="3013"/>
      <c r="L81" s="3013"/>
      <c r="M81" s="3013"/>
      <c r="N81" s="3013"/>
      <c r="O81" s="3014"/>
      <c r="P81" s="2994" t="s">
        <v>37</v>
      </c>
      <c r="Q81" s="2994"/>
      <c r="R81" s="2994"/>
      <c r="S81" s="2994"/>
      <c r="T81" s="2994"/>
      <c r="U81" s="1272">
        <f>COUNTIF(AD77:AD80,"1")*U77</f>
        <v>0</v>
      </c>
      <c r="V81" s="1272">
        <f>COUNTIF(AD77:AD80,"2")*V77</f>
        <v>0</v>
      </c>
      <c r="W81" s="1272">
        <f>COUNTIF(AD77:AD80,"3")*W77</f>
        <v>6</v>
      </c>
      <c r="X81" s="1272">
        <f>COUNTIF(AD77:AD80,"4")*X77</f>
        <v>4</v>
      </c>
      <c r="Y81" s="1272">
        <f>COUNTIF(AD77:AD80,"5")*Y77</f>
        <v>0</v>
      </c>
      <c r="Z81" s="379"/>
      <c r="AA81" s="1297"/>
      <c r="AB81" s="1297"/>
      <c r="AC81" s="1297"/>
      <c r="AD81" s="1290"/>
      <c r="AE81" s="1297"/>
      <c r="AF81" s="1358"/>
      <c r="AG81" s="1297"/>
    </row>
    <row r="82" spans="1:37" s="23" customFormat="1" ht="13.7" customHeight="1" x14ac:dyDescent="0.25">
      <c r="A82" s="1287"/>
      <c r="B82" s="1266"/>
      <c r="C82" s="3015"/>
      <c r="D82" s="3016"/>
      <c r="E82" s="3016"/>
      <c r="F82" s="3016"/>
      <c r="G82" s="3016"/>
      <c r="H82" s="3016"/>
      <c r="I82" s="3016"/>
      <c r="J82" s="3016"/>
      <c r="K82" s="3016"/>
      <c r="L82" s="3016"/>
      <c r="M82" s="3016"/>
      <c r="N82" s="3016"/>
      <c r="O82" s="3017"/>
      <c r="P82" s="2994"/>
      <c r="Q82" s="2994"/>
      <c r="R82" s="2994"/>
      <c r="S82" s="2994"/>
      <c r="T82" s="2994"/>
      <c r="U82" s="2991">
        <f>SUM(U81:Y81)</f>
        <v>10</v>
      </c>
      <c r="V82" s="2991"/>
      <c r="W82" s="2991"/>
      <c r="X82" s="2991"/>
      <c r="Y82" s="2991"/>
      <c r="Z82" s="379"/>
      <c r="AA82" s="1297"/>
      <c r="AB82" s="1297"/>
      <c r="AC82" s="1297"/>
      <c r="AD82" s="1290"/>
      <c r="AE82" s="1297"/>
      <c r="AF82" s="1358"/>
      <c r="AG82" s="1297"/>
    </row>
    <row r="83" spans="1:37" s="23" customFormat="1" ht="13.7" customHeight="1" x14ac:dyDescent="0.25">
      <c r="A83" s="1287"/>
      <c r="B83" s="1266"/>
      <c r="C83" s="3015"/>
      <c r="D83" s="3016"/>
      <c r="E83" s="3016"/>
      <c r="F83" s="3016"/>
      <c r="G83" s="3016"/>
      <c r="H83" s="3016"/>
      <c r="I83" s="3016"/>
      <c r="J83" s="3016"/>
      <c r="K83" s="3016"/>
      <c r="L83" s="3016"/>
      <c r="M83" s="3016"/>
      <c r="N83" s="3016"/>
      <c r="O83" s="3017"/>
      <c r="P83" s="2994" t="s">
        <v>38</v>
      </c>
      <c r="Q83" s="2994"/>
      <c r="R83" s="2994"/>
      <c r="S83" s="2994"/>
      <c r="T83" s="2994"/>
      <c r="U83" s="2995">
        <f>U82/AF84</f>
        <v>3.3333333333333335</v>
      </c>
      <c r="V83" s="2995"/>
      <c r="W83" s="2995" t="str">
        <f>IF(ROUND(U83,0)=1,"Sangat Tidak Memenuhi Syarat",IF(ROUND(U83,0)=2,"Kurang Memenuhi Syarat",IF(ROUND(U83,0)=3,"Cukup Memenuhi Syarat",IF(ROUND(U83,0)=4,"Memenuhi Syarat",IF(ROUND(U83,0)=5,"Sangat Memenuhi Syarat")))))</f>
        <v>Cukup Memenuhi Syarat</v>
      </c>
      <c r="X83" s="2995"/>
      <c r="Y83" s="2995"/>
      <c r="Z83" s="379"/>
      <c r="AA83" s="1297"/>
      <c r="AB83" s="1297"/>
      <c r="AC83" s="1297"/>
      <c r="AD83" s="1290"/>
      <c r="AE83" s="1297"/>
      <c r="AF83" s="1358"/>
      <c r="AG83" s="1297"/>
    </row>
    <row r="84" spans="1:37" s="10" customFormat="1" ht="114.75" customHeight="1" x14ac:dyDescent="0.25">
      <c r="A84" s="1287"/>
      <c r="B84" s="1266"/>
      <c r="C84" s="3018"/>
      <c r="D84" s="3019"/>
      <c r="E84" s="3019"/>
      <c r="F84" s="3019"/>
      <c r="G84" s="3019"/>
      <c r="H84" s="3019"/>
      <c r="I84" s="3019"/>
      <c r="J84" s="3019"/>
      <c r="K84" s="3019"/>
      <c r="L84" s="3019"/>
      <c r="M84" s="3019"/>
      <c r="N84" s="3019"/>
      <c r="O84" s="3020"/>
      <c r="P84" s="2994"/>
      <c r="Q84" s="2994"/>
      <c r="R84" s="2994"/>
      <c r="S84" s="2994"/>
      <c r="T84" s="2994"/>
      <c r="U84" s="2995"/>
      <c r="V84" s="2995"/>
      <c r="W84" s="2995" t="b">
        <f>IF(ROUND(U84,0)=1,"Sangat Tidak Memenuhi Syarat",IF(ROUND(U84,0)=2,"Kurang Memenuhi Syarat",IF(ROUND(U84,0)=3,"Cukup Memenuhi Syarat",IF(ROUND(U84,0)=4,"Memenuhi Syarat",IF(ROUND(U84,0)=5,"Sangat Memenuhi Syarat")))))</f>
        <v>0</v>
      </c>
      <c r="X84" s="2995"/>
      <c r="Y84" s="2995"/>
      <c r="Z84" s="379"/>
      <c r="AA84" s="1289"/>
      <c r="AB84" s="1289"/>
      <c r="AC84" s="1289"/>
      <c r="AD84" s="1290"/>
      <c r="AE84" s="1289"/>
      <c r="AF84" s="1352">
        <f>COUNTIF(AD78:AD80,"&gt;0")</f>
        <v>3</v>
      </c>
      <c r="AG84" s="1289"/>
    </row>
    <row r="85" spans="1:37" s="10" customFormat="1" ht="15" x14ac:dyDescent="0.25">
      <c r="A85" s="3064"/>
      <c r="B85" s="3065"/>
      <c r="C85" s="3065"/>
      <c r="D85" s="3065"/>
      <c r="E85" s="3065"/>
      <c r="F85" s="3065"/>
      <c r="G85" s="3065"/>
      <c r="H85" s="3065"/>
      <c r="I85" s="3065"/>
      <c r="J85" s="3065"/>
      <c r="K85" s="3065"/>
      <c r="L85" s="3065"/>
      <c r="M85" s="3065"/>
      <c r="N85" s="3065"/>
      <c r="O85" s="3065"/>
      <c r="P85" s="3065"/>
      <c r="Q85" s="1278"/>
      <c r="R85" s="1278"/>
      <c r="S85" s="1278"/>
      <c r="T85" s="1278"/>
      <c r="U85" s="3066"/>
      <c r="V85" s="3066"/>
      <c r="W85" s="3066"/>
      <c r="X85" s="3066"/>
      <c r="Y85" s="1278"/>
      <c r="Z85" s="1279"/>
      <c r="AA85" s="1289"/>
      <c r="AB85" s="1289"/>
      <c r="AC85" s="1289"/>
      <c r="AD85" s="1290"/>
      <c r="AE85" s="1289"/>
      <c r="AF85" s="1352"/>
      <c r="AG85" s="1289"/>
    </row>
    <row r="86" spans="1:37" s="20" customFormat="1" ht="15" x14ac:dyDescent="0.25">
      <c r="A86" s="3052" t="s">
        <v>41</v>
      </c>
      <c r="B86" s="3053"/>
      <c r="C86" s="3053"/>
      <c r="D86" s="3053"/>
      <c r="E86" s="3053"/>
      <c r="F86" s="3053"/>
      <c r="G86" s="3053"/>
      <c r="H86" s="3053"/>
      <c r="I86" s="3053"/>
      <c r="J86" s="3053"/>
      <c r="K86" s="3053"/>
      <c r="L86" s="3053"/>
      <c r="M86" s="3053"/>
      <c r="N86" s="3053"/>
      <c r="O86" s="3053"/>
      <c r="P86" s="3053"/>
      <c r="Q86" s="3053"/>
      <c r="R86" s="3053"/>
      <c r="S86" s="3053"/>
      <c r="T86" s="3053"/>
      <c r="U86" s="3053"/>
      <c r="V86" s="3053"/>
      <c r="W86" s="3053"/>
      <c r="X86" s="3053"/>
      <c r="Y86" s="3053"/>
      <c r="Z86" s="3053"/>
      <c r="AA86" s="1292"/>
      <c r="AB86" s="1292"/>
      <c r="AC86" s="1292"/>
      <c r="AD86" s="1290"/>
      <c r="AE86" s="1292"/>
      <c r="AF86" s="1353"/>
      <c r="AG86" s="1292"/>
      <c r="AH86" s="24"/>
      <c r="AI86" s="24"/>
      <c r="AJ86" s="24"/>
      <c r="AK86" s="24"/>
    </row>
    <row r="87" spans="1:37" s="24" customFormat="1" ht="15" x14ac:dyDescent="0.25">
      <c r="A87" s="1327"/>
      <c r="B87" s="1320"/>
      <c r="C87" s="1320"/>
      <c r="D87" s="1320"/>
      <c r="E87" s="1320"/>
      <c r="F87" s="1320"/>
      <c r="G87" s="1320"/>
      <c r="H87" s="1320"/>
      <c r="I87" s="1320"/>
      <c r="J87" s="1320"/>
      <c r="K87" s="1320"/>
      <c r="L87" s="1320"/>
      <c r="M87" s="1320"/>
      <c r="N87" s="1320"/>
      <c r="O87" s="1320"/>
      <c r="P87" s="1320"/>
      <c r="Q87" s="1320"/>
      <c r="R87" s="1320"/>
      <c r="S87" s="1320"/>
      <c r="T87" s="1320"/>
      <c r="U87" s="1320"/>
      <c r="V87" s="1320"/>
      <c r="W87" s="1320"/>
      <c r="X87" s="1320"/>
      <c r="Y87" s="1320"/>
      <c r="Z87" s="1328"/>
      <c r="AA87" s="1292"/>
      <c r="AB87" s="1292"/>
      <c r="AC87" s="1292"/>
      <c r="AD87" s="1290"/>
      <c r="AE87" s="1292"/>
      <c r="AF87" s="1353"/>
      <c r="AG87" s="1292"/>
    </row>
    <row r="88" spans="1:37" s="30" customFormat="1" ht="15" x14ac:dyDescent="0.25">
      <c r="A88" s="1329"/>
      <c r="B88" s="1330">
        <v>1</v>
      </c>
      <c r="C88" s="3054" t="s">
        <v>1723</v>
      </c>
      <c r="D88" s="3054"/>
      <c r="E88" s="3054"/>
      <c r="F88" s="3054"/>
      <c r="G88" s="3054"/>
      <c r="H88" s="3054"/>
      <c r="I88" s="3054"/>
      <c r="J88" s="3054"/>
      <c r="K88" s="3054"/>
      <c r="L88" s="3054"/>
      <c r="M88" s="3054"/>
      <c r="N88" s="3054"/>
      <c r="O88" s="3054"/>
      <c r="P88" s="3054"/>
      <c r="Q88" s="3054"/>
      <c r="R88" s="3054"/>
      <c r="S88" s="3054"/>
      <c r="T88" s="3054"/>
      <c r="U88" s="3054"/>
      <c r="V88" s="3054"/>
      <c r="W88" s="3054"/>
      <c r="X88" s="3054"/>
      <c r="Y88" s="3054"/>
      <c r="Z88" s="1331"/>
      <c r="AA88" s="1296"/>
      <c r="AB88" s="1296"/>
      <c r="AC88" s="1296"/>
      <c r="AD88" s="1290"/>
      <c r="AE88" s="1296"/>
      <c r="AF88" s="1357"/>
      <c r="AG88" s="1296"/>
    </row>
    <row r="89" spans="1:37" s="30" customFormat="1" ht="15" x14ac:dyDescent="0.25">
      <c r="A89" s="1329"/>
      <c r="B89" s="1332"/>
      <c r="C89" s="178"/>
      <c r="D89" s="178"/>
      <c r="E89" s="178"/>
      <c r="F89" s="178"/>
      <c r="G89" s="178"/>
      <c r="H89" s="178"/>
      <c r="I89" s="178"/>
      <c r="J89" s="178"/>
      <c r="K89" s="178"/>
      <c r="L89" s="178"/>
      <c r="M89" s="178"/>
      <c r="N89" s="178"/>
      <c r="O89" s="178"/>
      <c r="P89" s="178"/>
      <c r="Q89" s="178"/>
      <c r="R89" s="178"/>
      <c r="S89" s="178"/>
      <c r="T89" s="178"/>
      <c r="U89" s="2992" t="s">
        <v>181</v>
      </c>
      <c r="V89" s="2992"/>
      <c r="W89" s="2992"/>
      <c r="X89" s="2992"/>
      <c r="Y89" s="2992"/>
      <c r="Z89" s="1331"/>
      <c r="AA89" s="1296"/>
      <c r="AB89" s="1296"/>
      <c r="AC89" s="1296"/>
      <c r="AD89" s="1290"/>
      <c r="AE89" s="1296"/>
      <c r="AF89" s="1357"/>
      <c r="AG89" s="1296"/>
    </row>
    <row r="90" spans="1:37" s="10" customFormat="1" ht="43.5" customHeight="1" x14ac:dyDescent="0.25">
      <c r="A90" s="1280"/>
      <c r="B90" s="1325"/>
      <c r="C90" s="3028" t="s">
        <v>42</v>
      </c>
      <c r="D90" s="3028"/>
      <c r="E90" s="3028"/>
      <c r="F90" s="3028" t="s">
        <v>43</v>
      </c>
      <c r="G90" s="3028"/>
      <c r="H90" s="3028"/>
      <c r="I90" s="3028"/>
      <c r="J90" s="3028"/>
      <c r="K90" s="3028" t="s">
        <v>44</v>
      </c>
      <c r="L90" s="3028"/>
      <c r="M90" s="3028"/>
      <c r="N90" s="3028"/>
      <c r="O90" s="3028"/>
      <c r="P90" s="3028"/>
      <c r="Q90" s="3028"/>
      <c r="R90" s="3028"/>
      <c r="S90" s="3028"/>
      <c r="T90" s="3028"/>
      <c r="U90" s="1273">
        <v>1</v>
      </c>
      <c r="V90" s="1273">
        <v>2</v>
      </c>
      <c r="W90" s="1273">
        <v>3</v>
      </c>
      <c r="X90" s="1273">
        <v>4</v>
      </c>
      <c r="Y90" s="1273">
        <v>5</v>
      </c>
      <c r="Z90" s="1282"/>
      <c r="AA90" s="1289"/>
      <c r="AB90" s="1289"/>
      <c r="AC90" s="1289"/>
      <c r="AD90" s="1290"/>
      <c r="AE90" s="1289"/>
      <c r="AF90" s="1352"/>
      <c r="AG90" s="1289"/>
    </row>
    <row r="91" spans="1:37" s="10" customFormat="1" ht="230.25" customHeight="1" x14ac:dyDescent="0.25">
      <c r="A91" s="1280"/>
      <c r="B91" s="1333"/>
      <c r="C91" s="3026" t="s">
        <v>656</v>
      </c>
      <c r="D91" s="3026"/>
      <c r="E91" s="3026"/>
      <c r="F91" s="3026" t="s">
        <v>200</v>
      </c>
      <c r="G91" s="3026"/>
      <c r="H91" s="3026"/>
      <c r="I91" s="3026"/>
      <c r="J91" s="3026"/>
      <c r="K91" s="2996" t="s">
        <v>1554</v>
      </c>
      <c r="L91" s="2997"/>
      <c r="M91" s="2997"/>
      <c r="N91" s="2997"/>
      <c r="O91" s="3001" t="s">
        <v>346</v>
      </c>
      <c r="P91" s="3001"/>
      <c r="Q91" s="3001"/>
      <c r="R91" s="3001"/>
      <c r="S91" s="3001"/>
      <c r="T91" s="3001"/>
      <c r="U91" s="1256"/>
      <c r="V91" s="1256"/>
      <c r="W91" s="1256"/>
      <c r="X91" s="1256"/>
      <c r="Y91" s="1256"/>
      <c r="Z91" s="379"/>
      <c r="AA91" s="1289"/>
      <c r="AB91" s="1289"/>
      <c r="AC91" s="1289"/>
      <c r="AD91" s="1290">
        <v>5</v>
      </c>
      <c r="AE91" s="1289"/>
      <c r="AF91" s="1352"/>
      <c r="AG91" s="1289"/>
    </row>
    <row r="92" spans="1:37" s="10" customFormat="1" ht="230.25" customHeight="1" x14ac:dyDescent="0.25">
      <c r="A92" s="1280"/>
      <c r="B92" s="1333"/>
      <c r="C92" s="3003" t="s">
        <v>1560</v>
      </c>
      <c r="D92" s="3003"/>
      <c r="E92" s="3003"/>
      <c r="F92" s="3003" t="s">
        <v>52</v>
      </c>
      <c r="G92" s="3003"/>
      <c r="H92" s="3003"/>
      <c r="I92" s="3003"/>
      <c r="J92" s="3003"/>
      <c r="K92" s="3050" t="s">
        <v>1561</v>
      </c>
      <c r="L92" s="3051"/>
      <c r="M92" s="3051"/>
      <c r="N92" s="3051"/>
      <c r="O92" s="3001" t="s">
        <v>1562</v>
      </c>
      <c r="P92" s="3001"/>
      <c r="Q92" s="3001"/>
      <c r="R92" s="3001"/>
      <c r="S92" s="3001"/>
      <c r="T92" s="3001"/>
      <c r="U92" s="1262"/>
      <c r="V92" s="1256"/>
      <c r="W92" s="1256"/>
      <c r="X92" s="1256"/>
      <c r="Y92" s="1256"/>
      <c r="Z92" s="379"/>
      <c r="AA92" s="1289"/>
      <c r="AB92" s="1289"/>
      <c r="AC92" s="1289"/>
      <c r="AD92" s="1290">
        <v>0</v>
      </c>
      <c r="AE92" s="1289"/>
      <c r="AF92" s="1352"/>
      <c r="AG92" s="1289"/>
    </row>
    <row r="93" spans="1:37" s="10" customFormat="1" ht="230.25" customHeight="1" x14ac:dyDescent="0.25">
      <c r="A93" s="1280"/>
      <c r="B93" s="1333"/>
      <c r="C93" s="3003" t="s">
        <v>498</v>
      </c>
      <c r="D93" s="3003"/>
      <c r="E93" s="3003"/>
      <c r="F93" s="3003" t="s">
        <v>53</v>
      </c>
      <c r="G93" s="3003"/>
      <c r="H93" s="3003"/>
      <c r="I93" s="3003"/>
      <c r="J93" s="3003"/>
      <c r="K93" s="3050" t="s">
        <v>499</v>
      </c>
      <c r="L93" s="3051"/>
      <c r="M93" s="3051"/>
      <c r="N93" s="3051"/>
      <c r="O93" s="3001" t="s">
        <v>500</v>
      </c>
      <c r="P93" s="3001"/>
      <c r="Q93" s="3001"/>
      <c r="R93" s="3001"/>
      <c r="S93" s="3001"/>
      <c r="T93" s="3001"/>
      <c r="U93" s="1262"/>
      <c r="V93" s="1256"/>
      <c r="W93" s="1256"/>
      <c r="X93" s="1256"/>
      <c r="Y93" s="1256"/>
      <c r="Z93" s="379"/>
      <c r="AA93" s="1289"/>
      <c r="AB93" s="1289"/>
      <c r="AC93" s="1289"/>
      <c r="AD93" s="1290">
        <v>0</v>
      </c>
      <c r="AE93" s="1289"/>
      <c r="AF93" s="1352"/>
      <c r="AG93" s="1289"/>
    </row>
    <row r="94" spans="1:37" s="40" customFormat="1" ht="230.25" customHeight="1" x14ac:dyDescent="0.25">
      <c r="A94" s="1280"/>
      <c r="B94" s="1333"/>
      <c r="C94" s="3003" t="s">
        <v>495</v>
      </c>
      <c r="D94" s="3003"/>
      <c r="E94" s="3003"/>
      <c r="F94" s="3003" t="s">
        <v>496</v>
      </c>
      <c r="G94" s="3003"/>
      <c r="H94" s="3003"/>
      <c r="I94" s="3003"/>
      <c r="J94" s="3003"/>
      <c r="K94" s="3003" t="s">
        <v>1563</v>
      </c>
      <c r="L94" s="3003"/>
      <c r="M94" s="3003"/>
      <c r="N94" s="3003"/>
      <c r="O94" s="3001" t="s">
        <v>497</v>
      </c>
      <c r="P94" s="3001"/>
      <c r="Q94" s="3001"/>
      <c r="R94" s="3001"/>
      <c r="S94" s="3001"/>
      <c r="T94" s="3001"/>
      <c r="U94" s="1262"/>
      <c r="V94" s="1256"/>
      <c r="W94" s="1256"/>
      <c r="X94" s="1256"/>
      <c r="Y94" s="1256"/>
      <c r="Z94" s="379"/>
      <c r="AA94" s="1298"/>
      <c r="AB94" s="1298"/>
      <c r="AC94" s="1298"/>
      <c r="AD94" s="1290">
        <v>0</v>
      </c>
      <c r="AE94" s="1298"/>
      <c r="AF94" s="1359"/>
      <c r="AG94" s="1298"/>
    </row>
    <row r="95" spans="1:37" s="10" customFormat="1" ht="15" customHeight="1" x14ac:dyDescent="0.25">
      <c r="A95" s="1287"/>
      <c r="B95" s="3012" t="s">
        <v>1777</v>
      </c>
      <c r="C95" s="3013"/>
      <c r="D95" s="3013"/>
      <c r="E95" s="3013"/>
      <c r="F95" s="3013"/>
      <c r="G95" s="3013"/>
      <c r="H95" s="3013"/>
      <c r="I95" s="3013"/>
      <c r="J95" s="3013"/>
      <c r="K95" s="3013"/>
      <c r="L95" s="3013"/>
      <c r="M95" s="3013"/>
      <c r="N95" s="3013"/>
      <c r="O95" s="3013"/>
      <c r="P95" s="3014"/>
      <c r="Q95" s="2994" t="s">
        <v>201</v>
      </c>
      <c r="R95" s="2994"/>
      <c r="S95" s="2994"/>
      <c r="T95" s="2994"/>
      <c r="U95" s="1272">
        <f>COUNTIF(AD90:AD94,"1")*U90</f>
        <v>0</v>
      </c>
      <c r="V95" s="1272">
        <f>COUNTIF(AD90:AD94,"2")*V90</f>
        <v>0</v>
      </c>
      <c r="W95" s="1272">
        <f>COUNTIF(AD90:AD94,"3")*W90</f>
        <v>0</v>
      </c>
      <c r="X95" s="1272">
        <f>COUNTIF(AD90:AD94,"4")*X90</f>
        <v>0</v>
      </c>
      <c r="Y95" s="1272">
        <f>COUNTIF(AD90:AD94,"5")*Y90</f>
        <v>5</v>
      </c>
      <c r="Z95" s="379"/>
      <c r="AA95" s="1289"/>
      <c r="AB95" s="1289"/>
      <c r="AC95" s="1289"/>
      <c r="AD95" s="1290"/>
      <c r="AE95" s="1289"/>
      <c r="AF95" s="1352"/>
      <c r="AG95" s="1289"/>
    </row>
    <row r="96" spans="1:37" s="10" customFormat="1" ht="14.25" customHeight="1" x14ac:dyDescent="0.25">
      <c r="A96" s="1287"/>
      <c r="B96" s="3015"/>
      <c r="C96" s="3016"/>
      <c r="D96" s="3016"/>
      <c r="E96" s="3016"/>
      <c r="F96" s="3016"/>
      <c r="G96" s="3016"/>
      <c r="H96" s="3016"/>
      <c r="I96" s="3016"/>
      <c r="J96" s="3016"/>
      <c r="K96" s="3016"/>
      <c r="L96" s="3016"/>
      <c r="M96" s="3016"/>
      <c r="N96" s="3016"/>
      <c r="O96" s="3016"/>
      <c r="P96" s="3017"/>
      <c r="Q96" s="2994"/>
      <c r="R96" s="2994"/>
      <c r="S96" s="2994"/>
      <c r="T96" s="2994"/>
      <c r="U96" s="2991">
        <f>SUM(U95:Y95)</f>
        <v>5</v>
      </c>
      <c r="V96" s="2991"/>
      <c r="W96" s="2991"/>
      <c r="X96" s="2991"/>
      <c r="Y96" s="2991"/>
      <c r="Z96" s="379"/>
      <c r="AA96" s="1289"/>
      <c r="AB96" s="1289"/>
      <c r="AC96" s="1289"/>
      <c r="AD96" s="1290"/>
      <c r="AE96" s="1289"/>
      <c r="AF96" s="1352"/>
      <c r="AG96" s="1289"/>
    </row>
    <row r="97" spans="1:33" s="10" customFormat="1" ht="143.25" customHeight="1" x14ac:dyDescent="0.25">
      <c r="A97" s="1287"/>
      <c r="B97" s="3018"/>
      <c r="C97" s="3019"/>
      <c r="D97" s="3019"/>
      <c r="E97" s="3019"/>
      <c r="F97" s="3019"/>
      <c r="G97" s="3019"/>
      <c r="H97" s="3019"/>
      <c r="I97" s="3019"/>
      <c r="J97" s="3019"/>
      <c r="K97" s="3019"/>
      <c r="L97" s="3019"/>
      <c r="M97" s="3019"/>
      <c r="N97" s="3019"/>
      <c r="O97" s="3019"/>
      <c r="P97" s="3020"/>
      <c r="Q97" s="2994" t="s">
        <v>182</v>
      </c>
      <c r="R97" s="2994"/>
      <c r="S97" s="2994"/>
      <c r="T97" s="2994"/>
      <c r="U97" s="2995">
        <f>U96/AF97</f>
        <v>5</v>
      </c>
      <c r="V97" s="2995"/>
      <c r="W97" s="2995" t="str">
        <f>IF(ROUND(U97,0)=1,"Sangat Tidak Memenuhi Syarat",IF(ROUND(U97,0)=2,"Kurang Memenuhi Syarat",IF(ROUND(U97,0)=3,"Cukup Memenuhi Syarat",IF(ROUND(U97,0)=4,"Memenuhi Syarat",IF(ROUND(U97,0)=5,"Sangat Memenuhi Syarat")))))</f>
        <v>Sangat Memenuhi Syarat</v>
      </c>
      <c r="X97" s="2995"/>
      <c r="Y97" s="2995"/>
      <c r="Z97" s="379"/>
      <c r="AA97" s="1289"/>
      <c r="AB97" s="1289"/>
      <c r="AC97" s="1289"/>
      <c r="AD97" s="1290"/>
      <c r="AE97" s="1289"/>
      <c r="AF97" s="1352">
        <f>COUNTIF(AD91:AD94,"&gt;0")</f>
        <v>1</v>
      </c>
      <c r="AG97" s="1289"/>
    </row>
    <row r="98" spans="1:33" s="24" customFormat="1" ht="13.5" customHeight="1" x14ac:dyDescent="0.25">
      <c r="A98" s="1334"/>
      <c r="B98" s="1335"/>
      <c r="C98" s="1320"/>
      <c r="D98" s="1335"/>
      <c r="E98" s="1335"/>
      <c r="F98" s="1335"/>
      <c r="G98" s="1335"/>
      <c r="H98" s="1335"/>
      <c r="I98" s="1335"/>
      <c r="J98" s="1335"/>
      <c r="K98" s="1335"/>
      <c r="L98" s="1335"/>
      <c r="M98" s="1335"/>
      <c r="N98" s="1335"/>
      <c r="O98" s="1336"/>
      <c r="P98" s="1335"/>
      <c r="Q98" s="1335"/>
      <c r="R98" s="1335"/>
      <c r="S98" s="1335"/>
      <c r="T98" s="1335"/>
      <c r="U98" s="1335"/>
      <c r="V98" s="1336"/>
      <c r="W98" s="1337"/>
      <c r="X98" s="1337"/>
      <c r="Y98" s="1337"/>
      <c r="Z98" s="1338"/>
      <c r="AA98" s="1292"/>
      <c r="AB98" s="1292"/>
      <c r="AC98" s="1292"/>
      <c r="AD98" s="1290"/>
      <c r="AE98" s="1292"/>
      <c r="AF98" s="1353"/>
      <c r="AG98" s="1292"/>
    </row>
    <row r="99" spans="1:33" s="10" customFormat="1" ht="15" x14ac:dyDescent="0.25">
      <c r="A99" s="1280"/>
      <c r="B99" s="1281"/>
      <c r="C99" s="1283"/>
      <c r="D99" s="1281"/>
      <c r="E99" s="1281"/>
      <c r="F99" s="1281"/>
      <c r="G99" s="1281"/>
      <c r="H99" s="1281"/>
      <c r="I99" s="1281"/>
      <c r="J99" s="1281"/>
      <c r="K99" s="1281"/>
      <c r="L99" s="1281"/>
      <c r="M99" s="1281"/>
      <c r="N99" s="1281"/>
      <c r="O99" s="1281"/>
      <c r="P99" s="1281"/>
      <c r="Q99" s="1281"/>
      <c r="R99" s="1281"/>
      <c r="S99" s="1281"/>
      <c r="T99" s="1281"/>
      <c r="U99" s="1281"/>
      <c r="V99" s="1281"/>
      <c r="W99" s="1322"/>
      <c r="X99" s="1322"/>
      <c r="Y99" s="1322"/>
      <c r="Z99" s="1282"/>
      <c r="AA99" s="1289"/>
      <c r="AB99" s="1289"/>
      <c r="AC99" s="1289"/>
      <c r="AD99" s="1290"/>
      <c r="AE99" s="1289"/>
      <c r="AF99" s="1352"/>
      <c r="AG99" s="1289"/>
    </row>
    <row r="100" spans="1:33" s="10" customFormat="1" ht="15" customHeight="1" x14ac:dyDescent="0.25">
      <c r="A100" s="3039" t="s">
        <v>45</v>
      </c>
      <c r="B100" s="3040"/>
      <c r="C100" s="3040"/>
      <c r="D100" s="3040"/>
      <c r="E100" s="3040"/>
      <c r="F100" s="3040"/>
      <c r="G100" s="3040"/>
      <c r="H100" s="3040"/>
      <c r="I100" s="3040"/>
      <c r="J100" s="3040"/>
      <c r="K100" s="3040"/>
      <c r="L100" s="3040"/>
      <c r="M100" s="3040"/>
      <c r="N100" s="3040"/>
      <c r="O100" s="3040"/>
      <c r="P100" s="3040"/>
      <c r="Q100" s="3040"/>
      <c r="R100" s="3040"/>
      <c r="S100" s="3040"/>
      <c r="T100" s="3040"/>
      <c r="U100" s="3040"/>
      <c r="V100" s="3040"/>
      <c r="W100" s="3040"/>
      <c r="X100" s="3040"/>
      <c r="Y100" s="3040"/>
      <c r="Z100" s="3041"/>
      <c r="AA100" s="1289"/>
      <c r="AB100" s="1289"/>
      <c r="AC100" s="1289"/>
      <c r="AD100" s="1290"/>
      <c r="AE100" s="1289"/>
      <c r="AF100" s="1352"/>
      <c r="AG100" s="1289"/>
    </row>
    <row r="101" spans="1:33" s="10" customFormat="1" ht="13.7" customHeight="1" x14ac:dyDescent="0.25">
      <c r="A101" s="1339"/>
      <c r="B101" s="1283"/>
      <c r="C101" s="1283"/>
      <c r="D101" s="1283"/>
      <c r="E101" s="1283"/>
      <c r="F101" s="1283"/>
      <c r="G101" s="1283"/>
      <c r="H101" s="1283"/>
      <c r="I101" s="1283"/>
      <c r="J101" s="1283"/>
      <c r="K101" s="1283"/>
      <c r="L101" s="1283"/>
      <c r="M101" s="1283"/>
      <c r="N101" s="1283"/>
      <c r="O101" s="1283"/>
      <c r="P101" s="1283"/>
      <c r="Q101" s="1283"/>
      <c r="R101" s="1283"/>
      <c r="S101" s="1283"/>
      <c r="T101" s="1283"/>
      <c r="U101" s="1283"/>
      <c r="V101" s="1283"/>
      <c r="W101" s="1283"/>
      <c r="X101" s="1283"/>
      <c r="Y101" s="1283"/>
      <c r="Z101" s="1284"/>
      <c r="AA101" s="1289"/>
      <c r="AB101" s="1289"/>
      <c r="AC101" s="1289"/>
      <c r="AD101" s="1290"/>
      <c r="AE101" s="1289"/>
      <c r="AF101" s="1352"/>
      <c r="AG101" s="1289"/>
    </row>
    <row r="102" spans="1:33" s="24" customFormat="1" ht="24.75" customHeight="1" x14ac:dyDescent="0.25">
      <c r="A102" s="1340"/>
      <c r="B102" s="1341">
        <v>1</v>
      </c>
      <c r="C102" s="3048" t="s">
        <v>296</v>
      </c>
      <c r="D102" s="3048"/>
      <c r="E102" s="3048"/>
      <c r="F102" s="3048"/>
      <c r="G102" s="3048"/>
      <c r="H102" s="3048"/>
      <c r="I102" s="3048"/>
      <c r="J102" s="3048"/>
      <c r="K102" s="3048"/>
      <c r="L102" s="3048"/>
      <c r="M102" s="3048"/>
      <c r="N102" s="3048"/>
      <c r="O102" s="3048"/>
      <c r="P102" s="3048"/>
      <c r="Q102" s="3048"/>
      <c r="R102" s="3048"/>
      <c r="S102" s="3048"/>
      <c r="T102" s="3048"/>
      <c r="U102" s="3048"/>
      <c r="V102" s="3048"/>
      <c r="W102" s="3048"/>
      <c r="X102" s="3048"/>
      <c r="Y102" s="3048"/>
      <c r="Z102" s="1342"/>
      <c r="AA102" s="1292"/>
      <c r="AB102" s="1292"/>
      <c r="AC102" s="1292"/>
      <c r="AD102" s="1290"/>
      <c r="AE102" s="1292"/>
      <c r="AF102" s="1353"/>
      <c r="AG102" s="1292"/>
    </row>
    <row r="103" spans="1:33" s="10" customFormat="1" ht="16.5" customHeight="1" x14ac:dyDescent="0.25">
      <c r="A103" s="1343"/>
      <c r="B103" s="1344"/>
      <c r="C103" s="3042" t="s">
        <v>169</v>
      </c>
      <c r="D103" s="3043"/>
      <c r="E103" s="3044"/>
      <c r="F103" s="2992" t="s">
        <v>39</v>
      </c>
      <c r="G103" s="2992"/>
      <c r="H103" s="2992"/>
      <c r="I103" s="2992" t="s">
        <v>51</v>
      </c>
      <c r="J103" s="2992"/>
      <c r="K103" s="2992"/>
      <c r="L103" s="3028" t="s">
        <v>46</v>
      </c>
      <c r="M103" s="3028"/>
      <c r="N103" s="3028"/>
      <c r="O103" s="3028"/>
      <c r="P103" s="3028"/>
      <c r="Q103" s="3028"/>
      <c r="R103" s="3028"/>
      <c r="S103" s="3028"/>
      <c r="T103" s="3028"/>
      <c r="U103" s="3049" t="s">
        <v>181</v>
      </c>
      <c r="V103" s="3049"/>
      <c r="W103" s="3049"/>
      <c r="X103" s="3049"/>
      <c r="Y103" s="3049"/>
      <c r="Z103" s="1345"/>
      <c r="AA103" s="1289"/>
      <c r="AB103" s="1289"/>
      <c r="AC103" s="1289"/>
      <c r="AD103" s="1290"/>
      <c r="AE103" s="1289"/>
      <c r="AF103" s="1352"/>
      <c r="AG103" s="1289"/>
    </row>
    <row r="104" spans="1:33" s="23" customFormat="1" ht="13.7" customHeight="1" x14ac:dyDescent="0.25">
      <c r="A104" s="1343"/>
      <c r="B104" s="1344"/>
      <c r="C104" s="3045"/>
      <c r="D104" s="3046"/>
      <c r="E104" s="3047"/>
      <c r="F104" s="2992"/>
      <c r="G104" s="2992"/>
      <c r="H104" s="2992"/>
      <c r="I104" s="2992"/>
      <c r="J104" s="2992"/>
      <c r="K104" s="2992"/>
      <c r="L104" s="3028"/>
      <c r="M104" s="3028"/>
      <c r="N104" s="3028"/>
      <c r="O104" s="3028"/>
      <c r="P104" s="3028"/>
      <c r="Q104" s="3028"/>
      <c r="R104" s="3028"/>
      <c r="S104" s="3028"/>
      <c r="T104" s="3028"/>
      <c r="U104" s="1273">
        <v>1</v>
      </c>
      <c r="V104" s="1273">
        <v>2</v>
      </c>
      <c r="W104" s="1273">
        <v>3</v>
      </c>
      <c r="X104" s="1273">
        <v>4</v>
      </c>
      <c r="Y104" s="1273">
        <v>5</v>
      </c>
      <c r="Z104" s="1345"/>
      <c r="AA104" s="1297"/>
      <c r="AB104" s="1297"/>
      <c r="AC104" s="1297"/>
      <c r="AD104" s="1290"/>
      <c r="AE104" s="1297"/>
      <c r="AF104" s="1358"/>
      <c r="AG104" s="1297"/>
    </row>
    <row r="105" spans="1:33" s="23" customFormat="1" ht="29.25" customHeight="1" x14ac:dyDescent="0.25">
      <c r="A105" s="1343"/>
      <c r="B105" s="1344"/>
      <c r="C105" s="3021">
        <v>1</v>
      </c>
      <c r="D105" s="3004" t="s">
        <v>936</v>
      </c>
      <c r="E105" s="3004"/>
      <c r="F105" s="3004"/>
      <c r="G105" s="3004"/>
      <c r="H105" s="3004"/>
      <c r="I105" s="3004"/>
      <c r="J105" s="3004"/>
      <c r="K105" s="3004"/>
      <c r="L105" s="3023" t="s">
        <v>764</v>
      </c>
      <c r="M105" s="3024"/>
      <c r="N105" s="3024"/>
      <c r="O105" s="3024"/>
      <c r="P105" s="3024"/>
      <c r="Q105" s="3024"/>
      <c r="R105" s="3024"/>
      <c r="S105" s="3024"/>
      <c r="T105" s="3025"/>
      <c r="U105" s="2980"/>
      <c r="V105" s="2980"/>
      <c r="W105" s="2980"/>
      <c r="X105" s="2980"/>
      <c r="Y105" s="2980"/>
      <c r="Z105" s="415"/>
      <c r="AA105" s="1297"/>
      <c r="AB105" s="1297"/>
      <c r="AC105" s="1297"/>
      <c r="AD105" s="2959">
        <v>5</v>
      </c>
      <c r="AE105" s="1297"/>
      <c r="AF105" s="1358"/>
      <c r="AG105" s="1297"/>
    </row>
    <row r="106" spans="1:33" s="23" customFormat="1" ht="81.75" customHeight="1" x14ac:dyDescent="0.25">
      <c r="A106" s="1343"/>
      <c r="B106" s="1344"/>
      <c r="C106" s="3022"/>
      <c r="D106" s="3004" t="s">
        <v>277</v>
      </c>
      <c r="E106" s="3001"/>
      <c r="F106" s="2985">
        <f>'CEKLIST 003 (LAPORAN KEUANGAN)'!D6-'CEKLIST 003 (LAPORAN KEUANGAN)'!C6</f>
        <v>526035000</v>
      </c>
      <c r="G106" s="2986"/>
      <c r="H106" s="2987"/>
      <c r="I106" s="2988">
        <f>'CEKLIST 003 (LAPORAN KEUANGAN)'!F6</f>
        <v>1.8335198101073897</v>
      </c>
      <c r="J106" s="2989"/>
      <c r="K106" s="2990"/>
      <c r="L106" s="2982" t="s">
        <v>765</v>
      </c>
      <c r="M106" s="2983"/>
      <c r="N106" s="2983"/>
      <c r="O106" s="2983"/>
      <c r="P106" s="2983"/>
      <c r="Q106" s="2983"/>
      <c r="R106" s="2983"/>
      <c r="S106" s="2983"/>
      <c r="T106" s="2984"/>
      <c r="U106" s="2981"/>
      <c r="V106" s="2981"/>
      <c r="W106" s="2981"/>
      <c r="X106" s="2981"/>
      <c r="Y106" s="2981"/>
      <c r="Z106" s="415"/>
      <c r="AA106" s="1297"/>
      <c r="AB106" s="1297"/>
      <c r="AC106" s="1297"/>
      <c r="AD106" s="2959"/>
      <c r="AE106" s="1297"/>
      <c r="AF106" s="1358"/>
      <c r="AG106" s="1297"/>
    </row>
    <row r="107" spans="1:33" s="23" customFormat="1" ht="29.25" customHeight="1" x14ac:dyDescent="0.25">
      <c r="A107" s="413"/>
      <c r="B107" s="1344"/>
      <c r="C107" s="3021">
        <v>2</v>
      </c>
      <c r="D107" s="3004" t="s">
        <v>1567</v>
      </c>
      <c r="E107" s="3004"/>
      <c r="F107" s="3004"/>
      <c r="G107" s="3004"/>
      <c r="H107" s="3004"/>
      <c r="I107" s="3004"/>
      <c r="J107" s="3004"/>
      <c r="K107" s="3004"/>
      <c r="L107" s="3023" t="s">
        <v>1568</v>
      </c>
      <c r="M107" s="3024"/>
      <c r="N107" s="3024"/>
      <c r="O107" s="3024"/>
      <c r="P107" s="3024"/>
      <c r="Q107" s="3024"/>
      <c r="R107" s="3024"/>
      <c r="S107" s="3024"/>
      <c r="T107" s="3025"/>
      <c r="U107" s="2980"/>
      <c r="V107" s="2980"/>
      <c r="W107" s="2980"/>
      <c r="X107" s="2980"/>
      <c r="Y107" s="2980"/>
      <c r="Z107" s="415"/>
      <c r="AA107" s="1297"/>
      <c r="AB107" s="1297"/>
      <c r="AC107" s="1297"/>
      <c r="AD107" s="2959">
        <v>2</v>
      </c>
      <c r="AE107" s="1297"/>
      <c r="AF107" s="1358"/>
      <c r="AG107" s="1297"/>
    </row>
    <row r="108" spans="1:33" s="23" customFormat="1" ht="81.75" customHeight="1" x14ac:dyDescent="0.25">
      <c r="A108" s="413"/>
      <c r="B108" s="1344"/>
      <c r="C108" s="3022"/>
      <c r="D108" s="3004" t="s">
        <v>278</v>
      </c>
      <c r="E108" s="3001"/>
      <c r="F108" s="2985">
        <f>'CEKLIST 003 (LAPORAN KEUANGAN)'!D8-'CEKLIST 003 (LAPORAN KEUANGAN)'!C8</f>
        <v>4784506265.8399963</v>
      </c>
      <c r="G108" s="2986"/>
      <c r="H108" s="2987"/>
      <c r="I108" s="3036">
        <f>'CEKLIST 003 (LAPORAN KEUANGAN)'!F8</f>
        <v>9.4536196472329359E-2</v>
      </c>
      <c r="J108" s="3037"/>
      <c r="K108" s="3038"/>
      <c r="L108" s="2982" t="s">
        <v>765</v>
      </c>
      <c r="M108" s="2983"/>
      <c r="N108" s="2983"/>
      <c r="O108" s="2983"/>
      <c r="P108" s="2983"/>
      <c r="Q108" s="2983"/>
      <c r="R108" s="2983"/>
      <c r="S108" s="2983"/>
      <c r="T108" s="2984"/>
      <c r="U108" s="2981"/>
      <c r="V108" s="2981"/>
      <c r="W108" s="2981"/>
      <c r="X108" s="2981"/>
      <c r="Y108" s="2981"/>
      <c r="Z108" s="415"/>
      <c r="AA108" s="1297"/>
      <c r="AB108" s="1297"/>
      <c r="AC108" s="1297"/>
      <c r="AD108" s="2959"/>
      <c r="AE108" s="1297"/>
      <c r="AF108" s="1358"/>
      <c r="AG108" s="1297"/>
    </row>
    <row r="109" spans="1:33" s="23" customFormat="1" ht="29.25" customHeight="1" x14ac:dyDescent="0.25">
      <c r="A109" s="413"/>
      <c r="B109" s="1344"/>
      <c r="C109" s="3021">
        <v>3</v>
      </c>
      <c r="D109" s="3004" t="s">
        <v>766</v>
      </c>
      <c r="E109" s="3004"/>
      <c r="F109" s="3004"/>
      <c r="G109" s="3004"/>
      <c r="H109" s="3004"/>
      <c r="I109" s="3004"/>
      <c r="J109" s="3004"/>
      <c r="K109" s="3004"/>
      <c r="L109" s="3023" t="s">
        <v>767</v>
      </c>
      <c r="M109" s="3024"/>
      <c r="N109" s="3024"/>
      <c r="O109" s="3024"/>
      <c r="P109" s="3024"/>
      <c r="Q109" s="3024"/>
      <c r="R109" s="3024"/>
      <c r="S109" s="3024"/>
      <c r="T109" s="3025"/>
      <c r="U109" s="2980"/>
      <c r="V109" s="2980"/>
      <c r="W109" s="2980"/>
      <c r="X109" s="2980"/>
      <c r="Y109" s="2980"/>
      <c r="Z109" s="415"/>
      <c r="AA109" s="1297"/>
      <c r="AB109" s="1297"/>
      <c r="AC109" s="1297"/>
      <c r="AD109" s="2959">
        <v>4</v>
      </c>
      <c r="AE109" s="1297"/>
      <c r="AF109" s="1358"/>
      <c r="AG109" s="1297"/>
    </row>
    <row r="110" spans="1:33" s="23" customFormat="1" ht="81.75" customHeight="1" x14ac:dyDescent="0.25">
      <c r="A110" s="413"/>
      <c r="B110" s="1344"/>
      <c r="C110" s="3022"/>
      <c r="D110" s="3004" t="s">
        <v>54</v>
      </c>
      <c r="E110" s="3001"/>
      <c r="F110" s="2985">
        <f>'CEKLIST 003 (LAPORAN KEUANGAN)'!D29-'CEKLIST 003 (LAPORAN KEUANGAN)'!C29</f>
        <v>4080684899.5999985</v>
      </c>
      <c r="G110" s="2986"/>
      <c r="H110" s="2987"/>
      <c r="I110" s="2988">
        <f>'CEKLIST 003 (LAPORAN KEUANGAN)'!F29</f>
        <v>0.17289041225167617</v>
      </c>
      <c r="J110" s="2989"/>
      <c r="K110" s="2990"/>
      <c r="L110" s="2982" t="s">
        <v>765</v>
      </c>
      <c r="M110" s="2983"/>
      <c r="N110" s="2983"/>
      <c r="O110" s="2983"/>
      <c r="P110" s="2983"/>
      <c r="Q110" s="2983"/>
      <c r="R110" s="2983"/>
      <c r="S110" s="2983"/>
      <c r="T110" s="2984"/>
      <c r="U110" s="2981"/>
      <c r="V110" s="2981"/>
      <c r="W110" s="2981"/>
      <c r="X110" s="2981"/>
      <c r="Y110" s="2981"/>
      <c r="Z110" s="415"/>
      <c r="AA110" s="1297"/>
      <c r="AB110" s="1297"/>
      <c r="AC110" s="1297"/>
      <c r="AD110" s="2959"/>
      <c r="AE110" s="1297"/>
      <c r="AF110" s="1358"/>
      <c r="AG110" s="1297"/>
    </row>
    <row r="111" spans="1:33" s="23" customFormat="1" ht="29.25" customHeight="1" x14ac:dyDescent="0.25">
      <c r="A111" s="413"/>
      <c r="B111" s="1344"/>
      <c r="C111" s="3021">
        <v>4</v>
      </c>
      <c r="D111" s="3004" t="s">
        <v>1564</v>
      </c>
      <c r="E111" s="3004"/>
      <c r="F111" s="3004"/>
      <c r="G111" s="3004"/>
      <c r="H111" s="3004"/>
      <c r="I111" s="3004"/>
      <c r="J111" s="3004"/>
      <c r="K111" s="3004"/>
      <c r="L111" s="3023" t="s">
        <v>1565</v>
      </c>
      <c r="M111" s="3024"/>
      <c r="N111" s="3024"/>
      <c r="O111" s="3024"/>
      <c r="P111" s="3024"/>
      <c r="Q111" s="3024"/>
      <c r="R111" s="3024"/>
      <c r="S111" s="3024"/>
      <c r="T111" s="3025"/>
      <c r="U111" s="2980"/>
      <c r="V111" s="2980"/>
      <c r="W111" s="2980"/>
      <c r="X111" s="2980"/>
      <c r="Y111" s="2980"/>
      <c r="Z111" s="415"/>
      <c r="AA111" s="1297"/>
      <c r="AB111" s="1297"/>
      <c r="AC111" s="1297"/>
      <c r="AD111" s="2959">
        <v>4</v>
      </c>
      <c r="AE111" s="1297"/>
      <c r="AF111" s="1358"/>
      <c r="AG111" s="1297"/>
    </row>
    <row r="112" spans="1:33" s="23" customFormat="1" ht="81.75" customHeight="1" x14ac:dyDescent="0.25">
      <c r="A112" s="413"/>
      <c r="B112" s="1344"/>
      <c r="C112" s="3022"/>
      <c r="D112" s="3004" t="s">
        <v>54</v>
      </c>
      <c r="E112" s="3001"/>
      <c r="F112" s="2985">
        <f>'CEKLIST 003 (LAPORAN KEUANGAN)'!D51-'CEKLIST 003 (LAPORAN KEUANGAN)'!C51</f>
        <v>4548417566.4399986</v>
      </c>
      <c r="G112" s="2986"/>
      <c r="H112" s="2987"/>
      <c r="I112" s="2988">
        <f>'CEKLIST 003 (LAPORAN KEUANGAN)'!F51</f>
        <v>0.16175948690550959</v>
      </c>
      <c r="J112" s="2989"/>
      <c r="K112" s="2990"/>
      <c r="L112" s="2982" t="s">
        <v>765</v>
      </c>
      <c r="M112" s="2983"/>
      <c r="N112" s="2983"/>
      <c r="O112" s="2983"/>
      <c r="P112" s="2983"/>
      <c r="Q112" s="2983"/>
      <c r="R112" s="2983"/>
      <c r="S112" s="2983"/>
      <c r="T112" s="2984"/>
      <c r="U112" s="2981"/>
      <c r="V112" s="2981"/>
      <c r="W112" s="2981"/>
      <c r="X112" s="2981"/>
      <c r="Y112" s="2981"/>
      <c r="Z112" s="415"/>
      <c r="AA112" s="1297"/>
      <c r="AB112" s="1297"/>
      <c r="AC112" s="1297"/>
      <c r="AD112" s="2959"/>
      <c r="AE112" s="1297"/>
      <c r="AF112" s="1358"/>
      <c r="AG112" s="1297"/>
    </row>
    <row r="113" spans="1:33" s="23" customFormat="1" ht="13.7" customHeight="1" x14ac:dyDescent="0.25">
      <c r="A113" s="413"/>
      <c r="B113" s="414"/>
      <c r="C113" s="3012" t="s">
        <v>1778</v>
      </c>
      <c r="D113" s="3013"/>
      <c r="E113" s="3013"/>
      <c r="F113" s="3013"/>
      <c r="G113" s="3013"/>
      <c r="H113" s="3013"/>
      <c r="I113" s="3013"/>
      <c r="J113" s="3013"/>
      <c r="K113" s="3013"/>
      <c r="L113" s="3013"/>
      <c r="M113" s="3013"/>
      <c r="N113" s="3013"/>
      <c r="O113" s="3014"/>
      <c r="P113" s="3006" t="s">
        <v>184</v>
      </c>
      <c r="Q113" s="3007"/>
      <c r="R113" s="3007"/>
      <c r="S113" s="3007"/>
      <c r="T113" s="3008"/>
      <c r="U113" s="1272">
        <f>COUNTIF(AD105:AD112,"1")*U104</f>
        <v>0</v>
      </c>
      <c r="V113" s="1272">
        <f>COUNTIF(AD105:AD112,"2")*V104</f>
        <v>2</v>
      </c>
      <c r="W113" s="1272">
        <f>COUNTIF(AD105:AD112,"3")*W104</f>
        <v>0</v>
      </c>
      <c r="X113" s="1272">
        <f>COUNTIF(AD105:AD112,"4")*X104</f>
        <v>8</v>
      </c>
      <c r="Y113" s="1272">
        <f>COUNTIF(AD105:AD112,"5")*Y104</f>
        <v>5</v>
      </c>
      <c r="Z113" s="415"/>
      <c r="AA113" s="1297"/>
      <c r="AB113" s="1297"/>
      <c r="AC113" s="1297"/>
      <c r="AD113" s="1290"/>
      <c r="AE113" s="1297"/>
      <c r="AF113" s="1358"/>
      <c r="AG113" s="1297"/>
    </row>
    <row r="114" spans="1:33" s="23" customFormat="1" ht="33" customHeight="1" x14ac:dyDescent="0.25">
      <c r="A114" s="413"/>
      <c r="B114" s="414"/>
      <c r="C114" s="3015"/>
      <c r="D114" s="3016"/>
      <c r="E114" s="3016"/>
      <c r="F114" s="3016"/>
      <c r="G114" s="3016"/>
      <c r="H114" s="3016"/>
      <c r="I114" s="3016"/>
      <c r="J114" s="3016"/>
      <c r="K114" s="3016"/>
      <c r="L114" s="3016"/>
      <c r="M114" s="3016"/>
      <c r="N114" s="3016"/>
      <c r="O114" s="3017"/>
      <c r="P114" s="3009"/>
      <c r="Q114" s="3010"/>
      <c r="R114" s="3010"/>
      <c r="S114" s="3010"/>
      <c r="T114" s="3011"/>
      <c r="U114" s="2991">
        <f>SUM(U113:Y113)</f>
        <v>15</v>
      </c>
      <c r="V114" s="2991"/>
      <c r="W114" s="2993"/>
      <c r="X114" s="2993"/>
      <c r="Y114" s="2993"/>
      <c r="Z114" s="415"/>
      <c r="AA114" s="1297"/>
      <c r="AB114" s="1297"/>
      <c r="AC114" s="1297"/>
      <c r="AD114" s="1290"/>
      <c r="AE114" s="1297"/>
      <c r="AF114" s="1358"/>
      <c r="AG114" s="1297"/>
    </row>
    <row r="115" spans="1:33" s="23" customFormat="1" ht="151.5" customHeight="1" x14ac:dyDescent="0.25">
      <c r="A115" s="413"/>
      <c r="B115" s="414"/>
      <c r="C115" s="3018"/>
      <c r="D115" s="3019"/>
      <c r="E115" s="3019"/>
      <c r="F115" s="3019"/>
      <c r="G115" s="3019"/>
      <c r="H115" s="3019"/>
      <c r="I115" s="3019"/>
      <c r="J115" s="3019"/>
      <c r="K115" s="3019"/>
      <c r="L115" s="3019"/>
      <c r="M115" s="3019"/>
      <c r="N115" s="3019"/>
      <c r="O115" s="3020"/>
      <c r="P115" s="2994" t="s">
        <v>182</v>
      </c>
      <c r="Q115" s="2994"/>
      <c r="R115" s="2994"/>
      <c r="S115" s="2994"/>
      <c r="T115" s="2994"/>
      <c r="U115" s="2995">
        <f>U114/4</f>
        <v>3.75</v>
      </c>
      <c r="V115" s="3030"/>
      <c r="W115" s="3030" t="str">
        <f>IF(ROUND(U115,0)=1,"Sangat Tidak Memenuhi Syarat",IF(ROUND(U115,0)=2,"Kurang Memenuhi Syarat",IF(ROUND(U115,0)=3,"Cukup Memenuhi Syarat",IF(ROUND(U115,0)=4,"Memenuhi Syarat",IF(ROUND(U115,0)=5,"Sangat Memenuhi Syarat")))))</f>
        <v>Memenuhi Syarat</v>
      </c>
      <c r="X115" s="3031"/>
      <c r="Y115" s="3032"/>
      <c r="Z115" s="415"/>
      <c r="AA115" s="1297"/>
      <c r="AB115" s="1297"/>
      <c r="AC115" s="1297"/>
      <c r="AD115" s="1290"/>
      <c r="AE115" s="1297"/>
      <c r="AF115" s="1360">
        <f>COUNTIF(AD105:AD112,"&gt;0")</f>
        <v>4</v>
      </c>
      <c r="AG115" s="1297"/>
    </row>
    <row r="116" spans="1:33" s="10" customFormat="1" ht="13.5" customHeight="1" x14ac:dyDescent="0.25">
      <c r="A116" s="413"/>
      <c r="B116" s="1344"/>
      <c r="C116" s="1344"/>
      <c r="D116" s="1344"/>
      <c r="E116" s="1344"/>
      <c r="F116" s="1344"/>
      <c r="G116" s="1344"/>
      <c r="H116" s="1344"/>
      <c r="I116" s="1344"/>
      <c r="J116" s="1344"/>
      <c r="K116" s="1344"/>
      <c r="L116" s="1344"/>
      <c r="M116" s="1344"/>
      <c r="N116" s="1344"/>
      <c r="O116" s="1344"/>
      <c r="P116" s="1344"/>
      <c r="Q116" s="1344"/>
      <c r="R116" s="1344"/>
      <c r="S116" s="1344"/>
      <c r="T116" s="1344"/>
      <c r="U116" s="1283"/>
      <c r="V116" s="1283"/>
      <c r="W116" s="1323"/>
      <c r="X116" s="1323"/>
      <c r="Y116" s="1323"/>
      <c r="Z116" s="415"/>
      <c r="AA116" s="1289"/>
      <c r="AB116" s="1289"/>
      <c r="AC116" s="1289"/>
      <c r="AD116" s="1290"/>
      <c r="AE116" s="1289"/>
      <c r="AF116" s="1352"/>
      <c r="AG116" s="1289"/>
    </row>
    <row r="117" spans="1:33" s="10" customFormat="1" ht="15" x14ac:dyDescent="0.25">
      <c r="A117" s="416"/>
      <c r="B117" s="1346"/>
      <c r="C117" s="1346"/>
      <c r="D117" s="1346"/>
      <c r="E117" s="1346"/>
      <c r="F117" s="1346"/>
      <c r="G117" s="1346"/>
      <c r="H117" s="1346"/>
      <c r="I117" s="1346"/>
      <c r="J117" s="1346"/>
      <c r="K117" s="1346"/>
      <c r="L117" s="1346"/>
      <c r="M117" s="1346"/>
      <c r="N117" s="1346"/>
      <c r="O117" s="1346"/>
      <c r="P117" s="1346"/>
      <c r="Q117" s="1346"/>
      <c r="R117" s="1346"/>
      <c r="S117" s="1346"/>
      <c r="T117" s="1346"/>
      <c r="U117" s="1286"/>
      <c r="V117" s="1286"/>
      <c r="W117" s="1286"/>
      <c r="X117" s="1286"/>
      <c r="Y117" s="1286"/>
      <c r="Z117" s="417"/>
      <c r="AA117" s="1289"/>
      <c r="AB117" s="1289"/>
      <c r="AC117" s="1289"/>
      <c r="AD117" s="1290"/>
      <c r="AE117" s="1289"/>
      <c r="AF117" s="1352"/>
      <c r="AG117" s="1289"/>
    </row>
    <row r="118" spans="1:33" s="10" customFormat="1" ht="15" x14ac:dyDescent="0.25">
      <c r="A118" s="418"/>
      <c r="B118" s="1265">
        <v>2</v>
      </c>
      <c r="C118" s="3029" t="s">
        <v>202</v>
      </c>
      <c r="D118" s="3029"/>
      <c r="E118" s="3029"/>
      <c r="F118" s="3029"/>
      <c r="G118" s="3029"/>
      <c r="H118" s="3029"/>
      <c r="I118" s="3029"/>
      <c r="J118" s="3029"/>
      <c r="K118" s="3029"/>
      <c r="L118" s="3029"/>
      <c r="M118" s="3029"/>
      <c r="N118" s="3029"/>
      <c r="O118" s="3029"/>
      <c r="P118" s="3029"/>
      <c r="Q118" s="3029"/>
      <c r="R118" s="3029"/>
      <c r="S118" s="3029"/>
      <c r="T118" s="3029"/>
      <c r="U118" s="3029"/>
      <c r="V118" s="3029"/>
      <c r="W118" s="3029"/>
      <c r="X118" s="3029"/>
      <c r="Y118" s="3029"/>
      <c r="Z118" s="419"/>
      <c r="AA118" s="1289"/>
      <c r="AB118" s="1289"/>
      <c r="AC118" s="1289"/>
      <c r="AD118" s="1290"/>
      <c r="AE118" s="1289"/>
      <c r="AF118" s="1352"/>
      <c r="AG118" s="1289"/>
    </row>
    <row r="119" spans="1:33" s="10" customFormat="1" ht="16.5" customHeight="1" x14ac:dyDescent="0.25">
      <c r="A119" s="413"/>
      <c r="B119" s="1347"/>
      <c r="C119" s="3027" t="s">
        <v>203</v>
      </c>
      <c r="D119" s="3027"/>
      <c r="E119" s="3027"/>
      <c r="F119" s="3027"/>
      <c r="G119" s="3027"/>
      <c r="H119" s="3027"/>
      <c r="I119" s="3027"/>
      <c r="J119" s="3027"/>
      <c r="K119" s="3027"/>
      <c r="L119" s="3028" t="s">
        <v>282</v>
      </c>
      <c r="M119" s="3028"/>
      <c r="N119" s="3028"/>
      <c r="O119" s="3028"/>
      <c r="P119" s="3028"/>
      <c r="Q119" s="3028"/>
      <c r="R119" s="3028"/>
      <c r="S119" s="3028"/>
      <c r="T119" s="3028"/>
      <c r="U119" s="2992" t="s">
        <v>345</v>
      </c>
      <c r="V119" s="2992"/>
      <c r="W119" s="2992"/>
      <c r="X119" s="2992"/>
      <c r="Y119" s="2992"/>
      <c r="Z119" s="415"/>
      <c r="AA119" s="1289"/>
      <c r="AB119" s="1289"/>
      <c r="AC119" s="1289"/>
      <c r="AD119" s="1290"/>
      <c r="AE119" s="1289"/>
      <c r="AF119" s="1352"/>
      <c r="AG119" s="1289"/>
    </row>
    <row r="120" spans="1:33" s="10" customFormat="1" ht="23.25" customHeight="1" x14ac:dyDescent="0.25">
      <c r="A120" s="413"/>
      <c r="B120" s="1344"/>
      <c r="C120" s="3027"/>
      <c r="D120" s="3027"/>
      <c r="E120" s="3027"/>
      <c r="F120" s="3027"/>
      <c r="G120" s="3027"/>
      <c r="H120" s="3027"/>
      <c r="I120" s="3027"/>
      <c r="J120" s="3027"/>
      <c r="K120" s="3027"/>
      <c r="L120" s="3028"/>
      <c r="M120" s="3028"/>
      <c r="N120" s="3028"/>
      <c r="O120" s="3028"/>
      <c r="P120" s="3028"/>
      <c r="Q120" s="3028"/>
      <c r="R120" s="3028"/>
      <c r="S120" s="3028"/>
      <c r="T120" s="3028"/>
      <c r="U120" s="1276">
        <v>1</v>
      </c>
      <c r="V120" s="1276">
        <v>2</v>
      </c>
      <c r="W120" s="1276">
        <v>3</v>
      </c>
      <c r="X120" s="1276">
        <v>4</v>
      </c>
      <c r="Y120" s="1276">
        <v>5</v>
      </c>
      <c r="Z120" s="415"/>
      <c r="AA120" s="1289"/>
      <c r="AB120" s="1289"/>
      <c r="AC120" s="1289"/>
      <c r="AD120" s="1290"/>
      <c r="AE120" s="1289"/>
      <c r="AF120" s="1352"/>
      <c r="AG120" s="1289"/>
    </row>
    <row r="121" spans="1:33" s="10" customFormat="1" ht="141" customHeight="1" x14ac:dyDescent="0.25">
      <c r="A121" s="413"/>
      <c r="B121" s="1344"/>
      <c r="C121" s="1273">
        <v>1</v>
      </c>
      <c r="D121" s="3003" t="s">
        <v>1722</v>
      </c>
      <c r="E121" s="3003"/>
      <c r="F121" s="3003"/>
      <c r="G121" s="3003"/>
      <c r="H121" s="3003"/>
      <c r="I121" s="3003"/>
      <c r="J121" s="3003"/>
      <c r="K121" s="3003"/>
      <c r="L121" s="3002" t="s">
        <v>297</v>
      </c>
      <c r="M121" s="3002"/>
      <c r="N121" s="3002"/>
      <c r="O121" s="3002"/>
      <c r="P121" s="3002"/>
      <c r="Q121" s="3002"/>
      <c r="R121" s="3002"/>
      <c r="S121" s="3002"/>
      <c r="T121" s="3002"/>
      <c r="U121" s="1256"/>
      <c r="V121" s="1256"/>
      <c r="W121" s="1256"/>
      <c r="X121" s="1256"/>
      <c r="Y121" s="1256"/>
      <c r="Z121" s="415"/>
      <c r="AA121" s="1289"/>
      <c r="AB121" s="1289"/>
      <c r="AC121" s="1289"/>
      <c r="AD121" s="1290">
        <v>0</v>
      </c>
      <c r="AE121" s="1289"/>
      <c r="AF121" s="1352"/>
      <c r="AG121" s="1289"/>
    </row>
    <row r="122" spans="1:33" s="10" customFormat="1" ht="141" customHeight="1" x14ac:dyDescent="0.25">
      <c r="A122" s="413"/>
      <c r="B122" s="1281"/>
      <c r="C122" s="1348">
        <v>2</v>
      </c>
      <c r="D122" s="3003" t="s">
        <v>1722</v>
      </c>
      <c r="E122" s="3003"/>
      <c r="F122" s="3003"/>
      <c r="G122" s="3003"/>
      <c r="H122" s="3003"/>
      <c r="I122" s="3003"/>
      <c r="J122" s="3003"/>
      <c r="K122" s="3003"/>
      <c r="L122" s="3002" t="s">
        <v>297</v>
      </c>
      <c r="M122" s="3002"/>
      <c r="N122" s="3002"/>
      <c r="O122" s="3002"/>
      <c r="P122" s="3002"/>
      <c r="Q122" s="3002"/>
      <c r="R122" s="3002"/>
      <c r="S122" s="3002"/>
      <c r="T122" s="3002"/>
      <c r="U122" s="1256"/>
      <c r="V122" s="1256"/>
      <c r="W122" s="1256"/>
      <c r="X122" s="1256"/>
      <c r="Y122" s="1256"/>
      <c r="Z122" s="415"/>
      <c r="AA122" s="1289"/>
      <c r="AB122" s="1289"/>
      <c r="AC122" s="1289"/>
      <c r="AD122" s="1290">
        <v>0</v>
      </c>
      <c r="AE122" s="1289"/>
      <c r="AF122" s="1352"/>
      <c r="AG122" s="1289"/>
    </row>
    <row r="123" spans="1:33" s="10" customFormat="1" ht="141" customHeight="1" x14ac:dyDescent="0.25">
      <c r="A123" s="413"/>
      <c r="B123" s="1281"/>
      <c r="C123" s="1348">
        <v>3</v>
      </c>
      <c r="D123" s="3026" t="s">
        <v>768</v>
      </c>
      <c r="E123" s="3026"/>
      <c r="F123" s="3026"/>
      <c r="G123" s="3026"/>
      <c r="H123" s="3026"/>
      <c r="I123" s="3026"/>
      <c r="J123" s="3026"/>
      <c r="K123" s="3026"/>
      <c r="L123" s="3001" t="s">
        <v>830</v>
      </c>
      <c r="M123" s="3001"/>
      <c r="N123" s="3001"/>
      <c r="O123" s="3001"/>
      <c r="P123" s="3001"/>
      <c r="Q123" s="3001"/>
      <c r="R123" s="3001"/>
      <c r="S123" s="3001"/>
      <c r="T123" s="3001"/>
      <c r="U123" s="1262"/>
      <c r="V123" s="1262"/>
      <c r="W123" s="1262"/>
      <c r="X123" s="1262"/>
      <c r="Y123" s="420"/>
      <c r="Z123" s="415"/>
      <c r="AA123" s="1289"/>
      <c r="AB123" s="1289"/>
      <c r="AC123" s="1289"/>
      <c r="AD123" s="1290">
        <v>0</v>
      </c>
      <c r="AE123" s="1289"/>
      <c r="AF123" s="1352"/>
      <c r="AG123" s="1289"/>
    </row>
    <row r="124" spans="1:33" s="10" customFormat="1" ht="141" customHeight="1" x14ac:dyDescent="0.25">
      <c r="A124" s="413"/>
      <c r="B124" s="1281"/>
      <c r="C124" s="1348">
        <v>4</v>
      </c>
      <c r="D124" s="2996" t="s">
        <v>769</v>
      </c>
      <c r="E124" s="2997"/>
      <c r="F124" s="2997"/>
      <c r="G124" s="2997"/>
      <c r="H124" s="2997"/>
      <c r="I124" s="2997"/>
      <c r="J124" s="2997"/>
      <c r="K124" s="2998"/>
      <c r="L124" s="3001" t="s">
        <v>831</v>
      </c>
      <c r="M124" s="3001"/>
      <c r="N124" s="3001"/>
      <c r="O124" s="3001"/>
      <c r="P124" s="3001"/>
      <c r="Q124" s="3001"/>
      <c r="R124" s="3001"/>
      <c r="S124" s="3001"/>
      <c r="T124" s="3001"/>
      <c r="U124" s="1262"/>
      <c r="V124" s="1262"/>
      <c r="W124" s="1262"/>
      <c r="X124" s="1262"/>
      <c r="Y124" s="420"/>
      <c r="Z124" s="415"/>
      <c r="AA124" s="1289"/>
      <c r="AB124" s="1289"/>
      <c r="AC124" s="1289"/>
      <c r="AD124" s="1290">
        <v>3</v>
      </c>
      <c r="AE124" s="1289"/>
      <c r="AF124" s="1352"/>
      <c r="AG124" s="1289"/>
    </row>
    <row r="125" spans="1:33" s="10" customFormat="1" ht="141" customHeight="1" x14ac:dyDescent="0.25">
      <c r="A125" s="413"/>
      <c r="B125" s="1281"/>
      <c r="C125" s="1348">
        <v>5</v>
      </c>
      <c r="D125" s="2996"/>
      <c r="E125" s="2997"/>
      <c r="F125" s="2997"/>
      <c r="G125" s="2997"/>
      <c r="H125" s="2997"/>
      <c r="I125" s="2997"/>
      <c r="J125" s="2997"/>
      <c r="K125" s="2998"/>
      <c r="L125" s="2999"/>
      <c r="M125" s="2999"/>
      <c r="N125" s="2999"/>
      <c r="O125" s="2999"/>
      <c r="P125" s="2999"/>
      <c r="Q125" s="2999"/>
      <c r="R125" s="2999"/>
      <c r="S125" s="2999"/>
      <c r="T125" s="3000"/>
      <c r="U125" s="1262"/>
      <c r="V125" s="1262"/>
      <c r="W125" s="1262"/>
      <c r="X125" s="1262"/>
      <c r="Y125" s="420"/>
      <c r="Z125" s="415"/>
      <c r="AA125" s="1289"/>
      <c r="AB125" s="1289"/>
      <c r="AC125" s="1289"/>
      <c r="AD125" s="1290">
        <v>0</v>
      </c>
      <c r="AE125" s="1289"/>
      <c r="AF125" s="1352"/>
      <c r="AG125" s="1289"/>
    </row>
    <row r="126" spans="1:33" s="10" customFormat="1" ht="141" customHeight="1" x14ac:dyDescent="0.25">
      <c r="A126" s="413"/>
      <c r="B126" s="1281"/>
      <c r="C126" s="1348">
        <v>6</v>
      </c>
      <c r="D126" s="2996"/>
      <c r="E126" s="2997"/>
      <c r="F126" s="2997"/>
      <c r="G126" s="2997"/>
      <c r="H126" s="2997"/>
      <c r="I126" s="2997"/>
      <c r="J126" s="2997"/>
      <c r="K126" s="2998"/>
      <c r="L126" s="2999"/>
      <c r="M126" s="2999"/>
      <c r="N126" s="2999"/>
      <c r="O126" s="2999"/>
      <c r="P126" s="2999"/>
      <c r="Q126" s="2999"/>
      <c r="R126" s="2999"/>
      <c r="S126" s="2999"/>
      <c r="T126" s="3000"/>
      <c r="U126" s="1262"/>
      <c r="V126" s="1262"/>
      <c r="W126" s="1262"/>
      <c r="X126" s="1262"/>
      <c r="Y126" s="420"/>
      <c r="Z126" s="415"/>
      <c r="AA126" s="1289"/>
      <c r="AB126" s="1289"/>
      <c r="AC126" s="1289"/>
      <c r="AD126" s="1290">
        <v>0</v>
      </c>
      <c r="AE126" s="1289"/>
      <c r="AF126" s="1352"/>
      <c r="AG126" s="1289"/>
    </row>
    <row r="127" spans="1:33" s="10" customFormat="1" ht="141" customHeight="1" x14ac:dyDescent="0.25">
      <c r="A127" s="413"/>
      <c r="B127" s="1281"/>
      <c r="C127" s="1348">
        <v>7</v>
      </c>
      <c r="D127" s="2996"/>
      <c r="E127" s="2997"/>
      <c r="F127" s="2997"/>
      <c r="G127" s="2997"/>
      <c r="H127" s="2997"/>
      <c r="I127" s="2997"/>
      <c r="J127" s="2997"/>
      <c r="K127" s="2998"/>
      <c r="L127" s="2999"/>
      <c r="M127" s="2999"/>
      <c r="N127" s="2999"/>
      <c r="O127" s="2999"/>
      <c r="P127" s="2999"/>
      <c r="Q127" s="2999"/>
      <c r="R127" s="2999"/>
      <c r="S127" s="2999"/>
      <c r="T127" s="3000"/>
      <c r="U127" s="1262"/>
      <c r="V127" s="1262"/>
      <c r="W127" s="1262"/>
      <c r="X127" s="1262"/>
      <c r="Y127" s="420"/>
      <c r="Z127" s="415"/>
      <c r="AA127" s="1289"/>
      <c r="AB127" s="1289"/>
      <c r="AC127" s="1289"/>
      <c r="AD127" s="1290">
        <v>0</v>
      </c>
      <c r="AE127" s="1289"/>
      <c r="AF127" s="1352"/>
      <c r="AG127" s="1289"/>
    </row>
    <row r="128" spans="1:33" s="10" customFormat="1" ht="20.25" customHeight="1" x14ac:dyDescent="0.25">
      <c r="A128" s="413"/>
      <c r="B128" s="1266"/>
      <c r="C128" s="3012" t="s">
        <v>1789</v>
      </c>
      <c r="D128" s="3013"/>
      <c r="E128" s="3013"/>
      <c r="F128" s="3013"/>
      <c r="G128" s="3013"/>
      <c r="H128" s="3013"/>
      <c r="I128" s="3013"/>
      <c r="J128" s="3013"/>
      <c r="K128" s="3013"/>
      <c r="L128" s="3013"/>
      <c r="M128" s="3013"/>
      <c r="N128" s="3013"/>
      <c r="O128" s="3014"/>
      <c r="P128" s="3006" t="s">
        <v>184</v>
      </c>
      <c r="Q128" s="3007"/>
      <c r="R128" s="3007"/>
      <c r="S128" s="3007"/>
      <c r="T128" s="3008"/>
      <c r="U128" s="1272">
        <f>COUNTIF(AD121:AD127,"1")*U120</f>
        <v>0</v>
      </c>
      <c r="V128" s="1272">
        <f>COUNTIF(AD121:AD127,"2")*V120</f>
        <v>0</v>
      </c>
      <c r="W128" s="1272">
        <f>COUNTIF(AD121:AD127,"3")*W120</f>
        <v>3</v>
      </c>
      <c r="X128" s="1272">
        <f>COUNTIF(AD121:AD127,"4")*X120</f>
        <v>0</v>
      </c>
      <c r="Y128" s="1272">
        <f>COUNTIF(AD121:AD127,"5")*Y120</f>
        <v>0</v>
      </c>
      <c r="Z128" s="415"/>
      <c r="AA128" s="1289"/>
      <c r="AB128" s="1289"/>
      <c r="AC128" s="1289"/>
      <c r="AD128" s="1290"/>
      <c r="AE128" s="1289"/>
      <c r="AF128" s="1352"/>
      <c r="AG128" s="1289"/>
    </row>
    <row r="129" spans="1:33" s="10" customFormat="1" ht="27" customHeight="1" x14ac:dyDescent="0.25">
      <c r="A129" s="413"/>
      <c r="B129" s="1266"/>
      <c r="C129" s="3015"/>
      <c r="D129" s="3016"/>
      <c r="E129" s="3016"/>
      <c r="F129" s="3016"/>
      <c r="G129" s="3016"/>
      <c r="H129" s="3016"/>
      <c r="I129" s="3016"/>
      <c r="J129" s="3016"/>
      <c r="K129" s="3016"/>
      <c r="L129" s="3016"/>
      <c r="M129" s="3016"/>
      <c r="N129" s="3016"/>
      <c r="O129" s="3017"/>
      <c r="P129" s="3009"/>
      <c r="Q129" s="3010"/>
      <c r="R129" s="3010"/>
      <c r="S129" s="3010"/>
      <c r="T129" s="3011"/>
      <c r="U129" s="2991">
        <f>SUM(U128:Y128)</f>
        <v>3</v>
      </c>
      <c r="V129" s="2991"/>
      <c r="W129" s="2991"/>
      <c r="X129" s="2991"/>
      <c r="Y129" s="2991"/>
      <c r="Z129" s="415"/>
      <c r="AA129" s="1289"/>
      <c r="AB129" s="1289"/>
      <c r="AC129" s="1289"/>
      <c r="AD129" s="1290"/>
      <c r="AE129" s="1289"/>
      <c r="AF129" s="1352"/>
      <c r="AG129" s="1289"/>
    </row>
    <row r="130" spans="1:33" s="10" customFormat="1" ht="126.75" customHeight="1" x14ac:dyDescent="0.25">
      <c r="A130" s="413"/>
      <c r="B130" s="1266"/>
      <c r="C130" s="3018"/>
      <c r="D130" s="3019"/>
      <c r="E130" s="3019"/>
      <c r="F130" s="3019"/>
      <c r="G130" s="3019"/>
      <c r="H130" s="3019"/>
      <c r="I130" s="3019"/>
      <c r="J130" s="3019"/>
      <c r="K130" s="3019"/>
      <c r="L130" s="3019"/>
      <c r="M130" s="3019"/>
      <c r="N130" s="3019"/>
      <c r="O130" s="3020"/>
      <c r="P130" s="2994" t="s">
        <v>182</v>
      </c>
      <c r="Q130" s="2994"/>
      <c r="R130" s="2994"/>
      <c r="S130" s="2994"/>
      <c r="T130" s="2994"/>
      <c r="U130" s="2995">
        <f>U129/AF130</f>
        <v>3</v>
      </c>
      <c r="V130" s="2995"/>
      <c r="W130" s="2995" t="str">
        <f>IF(ROUND(U130,0)=1,"Sangat Tidak Memenuhi Syarat",IF(ROUND(U130,0)=2,"Kurang Memenuhi Syarat",IF(ROUND(U130,0)=3,"Cukup Memenuhi Syarat",IF(ROUND(U130,0)=4,"Memenuhi Syarat",IF(ROUND(U130,0)=5,"Sangat Memenuhi Syarat")))))</f>
        <v>Cukup Memenuhi Syarat</v>
      </c>
      <c r="X130" s="2995"/>
      <c r="Y130" s="2995"/>
      <c r="Z130" s="415"/>
      <c r="AA130" s="1289"/>
      <c r="AB130" s="1289"/>
      <c r="AC130" s="1289"/>
      <c r="AD130" s="1290"/>
      <c r="AE130" s="1289"/>
      <c r="AF130" s="1352">
        <f>COUNTIF(AD121:AD127,"&gt;0")</f>
        <v>1</v>
      </c>
      <c r="AG130" s="1289"/>
    </row>
    <row r="131" spans="1:33" s="10" customFormat="1" ht="15" x14ac:dyDescent="0.25">
      <c r="A131" s="413"/>
      <c r="B131" s="1281"/>
      <c r="C131" s="1283"/>
      <c r="D131" s="1283"/>
      <c r="E131" s="1283"/>
      <c r="F131" s="1283"/>
      <c r="G131" s="1283"/>
      <c r="H131" s="1283"/>
      <c r="I131" s="1283"/>
      <c r="J131" s="1283"/>
      <c r="K131" s="1283"/>
      <c r="L131" s="1283"/>
      <c r="M131" s="1283"/>
      <c r="N131" s="1283"/>
      <c r="O131" s="1283"/>
      <c r="P131" s="1283"/>
      <c r="Q131" s="1283"/>
      <c r="R131" s="1283"/>
      <c r="S131" s="1283"/>
      <c r="T131" s="1283"/>
      <c r="U131" s="1322"/>
      <c r="V131" s="1322"/>
      <c r="W131" s="1322"/>
      <c r="X131" s="1322"/>
      <c r="Y131" s="1322"/>
      <c r="Z131" s="415"/>
      <c r="AA131" s="1289"/>
      <c r="AB131" s="1289"/>
      <c r="AC131" s="1289"/>
      <c r="AD131" s="1290"/>
      <c r="AE131" s="1289"/>
      <c r="AF131" s="1352"/>
      <c r="AG131" s="1289"/>
    </row>
    <row r="132" spans="1:33" s="11" customFormat="1" ht="15" customHeight="1" x14ac:dyDescent="0.25">
      <c r="A132" s="413"/>
      <c r="B132" s="1281"/>
      <c r="C132" s="3005" t="s">
        <v>853</v>
      </c>
      <c r="D132" s="3005"/>
      <c r="E132" s="3005"/>
      <c r="F132" s="3005"/>
      <c r="G132" s="3005"/>
      <c r="H132" s="3005"/>
      <c r="I132" s="1281"/>
      <c r="J132" s="1281"/>
      <c r="K132" s="1281"/>
      <c r="L132" s="1281"/>
      <c r="M132" s="1281"/>
      <c r="N132" s="1281"/>
      <c r="O132" s="1281"/>
      <c r="P132" s="3005" t="s">
        <v>854</v>
      </c>
      <c r="Q132" s="3005"/>
      <c r="R132" s="3005"/>
      <c r="S132" s="3005"/>
      <c r="T132" s="3005"/>
      <c r="U132" s="3005"/>
      <c r="V132" s="3005"/>
      <c r="W132" s="3005"/>
      <c r="X132" s="3005"/>
      <c r="Y132" s="1349"/>
      <c r="Z132" s="415"/>
      <c r="AA132" s="1299"/>
      <c r="AB132" s="1299"/>
      <c r="AC132" s="1299"/>
      <c r="AD132" s="1290"/>
      <c r="AE132" s="1299"/>
      <c r="AF132" s="1361"/>
      <c r="AG132" s="1299"/>
    </row>
    <row r="133" spans="1:33" s="11" customFormat="1" ht="16.5" customHeight="1" x14ac:dyDescent="0.25">
      <c r="A133" s="413"/>
      <c r="B133" s="1281"/>
      <c r="C133" s="3005" t="str">
        <f>'CEKLIST 002 (BIO DATA)'!A6</f>
        <v>Supervisor Analis Penjaminan</v>
      </c>
      <c r="D133" s="3005"/>
      <c r="E133" s="3005"/>
      <c r="F133" s="3005"/>
      <c r="G133" s="3005"/>
      <c r="H133" s="3005"/>
      <c r="I133" s="1281"/>
      <c r="J133" s="1281"/>
      <c r="K133" s="1281"/>
      <c r="L133" s="1281"/>
      <c r="M133" s="1281"/>
      <c r="N133" s="1281"/>
      <c r="O133" s="1281"/>
      <c r="P133" s="3005" t="str">
        <f>'CEKLIST 002 (BIO DATA)'!A3</f>
        <v>AO Penjaminan I</v>
      </c>
      <c r="Q133" s="3005"/>
      <c r="R133" s="3005"/>
      <c r="S133" s="3005"/>
      <c r="T133" s="3005"/>
      <c r="U133" s="3005" t="str">
        <f>'CEKLIST 002 (BIO DATA)'!A4</f>
        <v>AO Penjaminan II</v>
      </c>
      <c r="V133" s="3005"/>
      <c r="W133" s="3005"/>
      <c r="X133" s="3005"/>
      <c r="Y133" s="3005"/>
      <c r="Z133" s="415"/>
      <c r="AA133" s="1299"/>
      <c r="AB133" s="1299"/>
      <c r="AC133" s="1299"/>
      <c r="AD133" s="1290"/>
      <c r="AE133" s="1299"/>
      <c r="AF133" s="1361"/>
      <c r="AG133" s="1299"/>
    </row>
    <row r="134" spans="1:33" s="11" customFormat="1" ht="16.5" customHeight="1" x14ac:dyDescent="0.25">
      <c r="A134" s="413"/>
      <c r="B134" s="1281"/>
      <c r="C134" s="1350"/>
      <c r="D134" s="1350"/>
      <c r="E134" s="1350"/>
      <c r="F134" s="1350"/>
      <c r="G134" s="1350"/>
      <c r="H134" s="1350"/>
      <c r="I134" s="1281"/>
      <c r="J134" s="1281"/>
      <c r="K134" s="1281"/>
      <c r="L134" s="1281"/>
      <c r="M134" s="1281"/>
      <c r="N134" s="1281"/>
      <c r="O134" s="1281"/>
      <c r="P134" s="3005"/>
      <c r="Q134" s="3005"/>
      <c r="R134" s="3005"/>
      <c r="S134" s="3005"/>
      <c r="T134" s="3005"/>
      <c r="U134" s="3005"/>
      <c r="V134" s="3005"/>
      <c r="W134" s="3005"/>
      <c r="X134" s="3005"/>
      <c r="Y134" s="1349"/>
      <c r="Z134" s="415"/>
      <c r="AA134" s="1299"/>
      <c r="AB134" s="1299"/>
      <c r="AC134" s="1299"/>
      <c r="AD134" s="1290"/>
      <c r="AE134" s="1299"/>
      <c r="AF134" s="1361"/>
      <c r="AG134" s="1299"/>
    </row>
    <row r="135" spans="1:33" s="11" customFormat="1" ht="15" customHeight="1" x14ac:dyDescent="0.25">
      <c r="A135" s="413"/>
      <c r="B135" s="1281"/>
      <c r="C135" s="1350"/>
      <c r="D135" s="1350"/>
      <c r="E135" s="1350"/>
      <c r="F135" s="1350"/>
      <c r="G135" s="1350"/>
      <c r="H135" s="1350"/>
      <c r="I135" s="1281"/>
      <c r="J135" s="1281"/>
      <c r="K135" s="1281"/>
      <c r="L135" s="1281"/>
      <c r="M135" s="1281"/>
      <c r="N135" s="1281"/>
      <c r="O135" s="1281"/>
      <c r="P135" s="3034"/>
      <c r="Q135" s="3034"/>
      <c r="R135" s="3034"/>
      <c r="S135" s="3034"/>
      <c r="T135" s="3034"/>
      <c r="U135" s="3034"/>
      <c r="V135" s="3034"/>
      <c r="W135" s="3034"/>
      <c r="X135" s="3034"/>
      <c r="Y135" s="1349"/>
      <c r="Z135" s="415"/>
      <c r="AA135" s="1299"/>
      <c r="AB135" s="1299"/>
      <c r="AC135" s="1299"/>
      <c r="AD135" s="1290"/>
      <c r="AE135" s="1299"/>
      <c r="AF135" s="1361"/>
      <c r="AG135" s="1299"/>
    </row>
    <row r="136" spans="1:33" s="11" customFormat="1" ht="16.5" x14ac:dyDescent="0.25">
      <c r="A136" s="413"/>
      <c r="B136" s="1281"/>
      <c r="C136" s="1350"/>
      <c r="D136" s="1350"/>
      <c r="E136" s="1350"/>
      <c r="F136" s="1350"/>
      <c r="G136" s="1350"/>
      <c r="H136" s="1350"/>
      <c r="I136" s="1281"/>
      <c r="J136" s="1281"/>
      <c r="K136" s="1281"/>
      <c r="L136" s="1281"/>
      <c r="M136" s="1281"/>
      <c r="N136" s="1281"/>
      <c r="O136" s="1281"/>
      <c r="P136" s="3034"/>
      <c r="Q136" s="3034"/>
      <c r="R136" s="3034"/>
      <c r="S136" s="3034"/>
      <c r="T136" s="3034"/>
      <c r="U136" s="3034"/>
      <c r="V136" s="3034"/>
      <c r="W136" s="3034"/>
      <c r="X136" s="3034"/>
      <c r="Y136" s="1349"/>
      <c r="Z136" s="415"/>
      <c r="AA136" s="1299"/>
      <c r="AB136" s="1299"/>
      <c r="AC136" s="1299"/>
      <c r="AD136" s="1290"/>
      <c r="AE136" s="1299"/>
      <c r="AF136" s="1361"/>
      <c r="AG136" s="1299"/>
    </row>
    <row r="137" spans="1:33" s="11" customFormat="1" ht="16.5" x14ac:dyDescent="0.25">
      <c r="A137" s="413"/>
      <c r="B137" s="414"/>
      <c r="C137" s="1257"/>
      <c r="D137" s="1257"/>
      <c r="E137" s="1257"/>
      <c r="F137" s="1257"/>
      <c r="G137" s="1257"/>
      <c r="H137" s="1257"/>
      <c r="I137" s="414"/>
      <c r="J137" s="414"/>
      <c r="K137" s="414"/>
      <c r="L137" s="414"/>
      <c r="M137" s="414"/>
      <c r="N137" s="414"/>
      <c r="O137" s="414"/>
      <c r="P137" s="3035"/>
      <c r="Q137" s="3035"/>
      <c r="R137" s="3035"/>
      <c r="S137" s="3035"/>
      <c r="T137" s="3035"/>
      <c r="U137" s="3035"/>
      <c r="V137" s="3035"/>
      <c r="W137" s="3035"/>
      <c r="X137" s="3035"/>
      <c r="Y137" s="1257"/>
      <c r="Z137" s="415"/>
      <c r="AA137" s="1299"/>
      <c r="AB137" s="1299"/>
      <c r="AC137" s="1299"/>
      <c r="AD137" s="1290"/>
      <c r="AE137" s="1299"/>
      <c r="AF137" s="1361"/>
      <c r="AG137" s="1299"/>
    </row>
    <row r="138" spans="1:33" s="11" customFormat="1" ht="15" customHeight="1" x14ac:dyDescent="0.25">
      <c r="A138" s="1287"/>
      <c r="B138" s="1266"/>
      <c r="C138" s="3033" t="str">
        <f>'CEKLIST 002 (BIO DATA)'!D6</f>
        <v>I Wayan Ruspa</v>
      </c>
      <c r="D138" s="3033"/>
      <c r="E138" s="3033"/>
      <c r="F138" s="3033"/>
      <c r="G138" s="3033"/>
      <c r="H138" s="3033"/>
      <c r="I138" s="1266"/>
      <c r="J138" s="1266"/>
      <c r="K138" s="1266"/>
      <c r="L138" s="1266"/>
      <c r="M138" s="1266"/>
      <c r="N138" s="1266"/>
      <c r="O138" s="1266"/>
      <c r="P138" s="3033" t="str">
        <f>'CEKLIST 002 (BIO DATA)'!D3</f>
        <v>Adi irawan saputra</v>
      </c>
      <c r="Q138" s="3033"/>
      <c r="R138" s="3033"/>
      <c r="S138" s="3033"/>
      <c r="T138" s="3033"/>
      <c r="U138" s="3033" t="str">
        <f>'CEKLIST 002 (BIO DATA)'!D4</f>
        <v>Deni Ardian</v>
      </c>
      <c r="V138" s="3033"/>
      <c r="W138" s="3033"/>
      <c r="X138" s="3033"/>
      <c r="Y138" s="3033"/>
      <c r="Z138" s="379"/>
      <c r="AA138" s="1299"/>
      <c r="AB138" s="1299"/>
      <c r="AC138" s="1299"/>
      <c r="AD138" s="1290"/>
      <c r="AE138" s="1299"/>
      <c r="AF138" s="1361"/>
      <c r="AG138" s="1299"/>
    </row>
    <row r="139" spans="1:33" s="10" customFormat="1" ht="16.5" customHeight="1" x14ac:dyDescent="0.25">
      <c r="A139" s="1261"/>
      <c r="B139" s="405"/>
      <c r="C139" s="405"/>
      <c r="D139" s="405"/>
      <c r="E139" s="405"/>
      <c r="F139" s="405"/>
      <c r="G139" s="405"/>
      <c r="H139" s="405"/>
      <c r="I139" s="405"/>
      <c r="J139" s="405"/>
      <c r="K139" s="405"/>
      <c r="L139" s="405"/>
      <c r="M139" s="405"/>
      <c r="N139" s="405"/>
      <c r="O139" s="405"/>
      <c r="P139" s="405"/>
      <c r="Q139" s="405"/>
      <c r="R139" s="405"/>
      <c r="S139" s="405"/>
      <c r="T139" s="405"/>
      <c r="U139" s="405"/>
      <c r="V139" s="405"/>
      <c r="W139" s="405"/>
      <c r="X139" s="405"/>
      <c r="Y139" s="405"/>
      <c r="Z139" s="406"/>
      <c r="AA139" s="1289"/>
      <c r="AB139" s="1289"/>
      <c r="AC139" s="1289"/>
      <c r="AD139" s="1290"/>
      <c r="AE139" s="1289"/>
      <c r="AF139" s="1352"/>
      <c r="AG139" s="1289"/>
    </row>
    <row r="140" spans="1:33" s="10" customFormat="1" ht="15" x14ac:dyDescent="0.25">
      <c r="A140" s="1266"/>
      <c r="B140" s="1266"/>
      <c r="C140" s="1266"/>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89"/>
      <c r="AB140" s="1289"/>
      <c r="AC140" s="1289"/>
      <c r="AD140" s="1290"/>
      <c r="AE140" s="1289"/>
      <c r="AF140" s="1352"/>
      <c r="AG140" s="1289"/>
    </row>
    <row r="141" spans="1:33" s="10" customFormat="1" ht="15" x14ac:dyDescent="0.25">
      <c r="A141" s="1266"/>
      <c r="B141" s="1266"/>
      <c r="C141" s="1266"/>
      <c r="D141" s="1266"/>
      <c r="E141" s="1266"/>
      <c r="F141" s="1266"/>
      <c r="G141" s="1266"/>
      <c r="H141" s="1266"/>
      <c r="I141" s="1266"/>
      <c r="J141" s="1266"/>
      <c r="K141" s="1266"/>
      <c r="L141" s="1266"/>
      <c r="M141" s="1266"/>
      <c r="N141" s="1266"/>
      <c r="O141" s="1266"/>
      <c r="P141" s="1266"/>
      <c r="Q141" s="1266"/>
      <c r="R141" s="1266"/>
      <c r="S141" s="1266"/>
      <c r="T141" s="1266"/>
      <c r="U141" s="1266"/>
      <c r="V141" s="1266"/>
      <c r="W141" s="1266"/>
      <c r="X141" s="1266"/>
      <c r="Y141" s="1266"/>
      <c r="Z141" s="1266"/>
      <c r="AA141" s="1289"/>
      <c r="AB141" s="1289"/>
      <c r="AC141" s="1289"/>
      <c r="AD141" s="1290"/>
      <c r="AE141" s="1289"/>
      <c r="AF141" s="1352"/>
      <c r="AG141" s="1289"/>
    </row>
    <row r="142" spans="1:33" s="10" customFormat="1" ht="15" x14ac:dyDescent="0.25">
      <c r="A142" s="1300"/>
      <c r="B142" s="1300"/>
      <c r="C142" s="1300"/>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289"/>
      <c r="AB142" s="1289"/>
      <c r="AC142" s="1289"/>
      <c r="AD142" s="1290"/>
      <c r="AE142" s="1289"/>
      <c r="AF142" s="1352"/>
      <c r="AG142" s="1289"/>
    </row>
    <row r="143" spans="1:33" s="10" customFormat="1" ht="15" x14ac:dyDescent="0.25">
      <c r="A143" s="377"/>
      <c r="B143" s="377"/>
      <c r="C143" s="377"/>
      <c r="D143" s="377"/>
      <c r="E143" s="377"/>
      <c r="F143" s="377"/>
      <c r="G143" s="377"/>
      <c r="H143" s="377"/>
      <c r="I143" s="377"/>
      <c r="J143" s="377"/>
      <c r="K143" s="377"/>
      <c r="L143" s="377"/>
      <c r="M143" s="377"/>
      <c r="N143" s="377"/>
      <c r="O143" s="377"/>
      <c r="P143" s="377"/>
      <c r="Q143" s="377"/>
      <c r="R143" s="377"/>
      <c r="S143" s="377"/>
      <c r="T143" s="377"/>
      <c r="U143" s="377"/>
      <c r="V143" s="377"/>
      <c r="W143" s="377"/>
      <c r="X143" s="377"/>
      <c r="Y143" s="377"/>
      <c r="Z143" s="377"/>
      <c r="AA143" s="1289"/>
      <c r="AB143" s="1289"/>
      <c r="AC143" s="1289"/>
      <c r="AD143" s="1290"/>
      <c r="AE143" s="1289"/>
      <c r="AF143" s="1352"/>
      <c r="AG143" s="1289"/>
    </row>
    <row r="144" spans="1:33" s="10" customFormat="1" ht="15" x14ac:dyDescent="0.25">
      <c r="A144" s="377"/>
      <c r="B144" s="377"/>
      <c r="C144" s="377"/>
      <c r="D144" s="377"/>
      <c r="E144" s="377"/>
      <c r="F144" s="377"/>
      <c r="G144" s="377"/>
      <c r="H144" s="377"/>
      <c r="I144" s="377"/>
      <c r="J144" s="377"/>
      <c r="K144" s="377"/>
      <c r="L144" s="377"/>
      <c r="M144" s="377"/>
      <c r="N144" s="377"/>
      <c r="O144" s="377"/>
      <c r="P144" s="377"/>
      <c r="Q144" s="377"/>
      <c r="R144" s="377"/>
      <c r="S144" s="377"/>
      <c r="T144" s="377"/>
      <c r="U144" s="377"/>
      <c r="V144" s="377"/>
      <c r="W144" s="377"/>
      <c r="X144" s="377"/>
      <c r="Y144" s="377"/>
      <c r="Z144" s="377"/>
      <c r="AA144" s="1289"/>
      <c r="AB144" s="1289"/>
      <c r="AC144" s="1289"/>
      <c r="AD144" s="1290"/>
      <c r="AE144" s="1289"/>
      <c r="AF144" s="1352"/>
      <c r="AG144" s="1289"/>
    </row>
    <row r="145" spans="1:33" s="10" customFormat="1" ht="15" x14ac:dyDescent="0.25">
      <c r="A145" s="1289"/>
      <c r="B145" s="1289"/>
      <c r="C145" s="1289"/>
      <c r="D145" s="1289"/>
      <c r="E145" s="1289"/>
      <c r="F145" s="1289"/>
      <c r="G145" s="1289"/>
      <c r="H145" s="1289"/>
      <c r="I145" s="1289"/>
      <c r="J145" s="1289"/>
      <c r="K145" s="1289"/>
      <c r="L145" s="1289"/>
      <c r="M145" s="1289"/>
      <c r="N145" s="1289"/>
      <c r="O145" s="1289"/>
      <c r="P145" s="1289"/>
      <c r="Q145" s="1289"/>
      <c r="R145" s="1289"/>
      <c r="S145" s="1289"/>
      <c r="T145" s="1289"/>
      <c r="U145" s="1289"/>
      <c r="V145" s="1289"/>
      <c r="W145" s="1289"/>
      <c r="X145" s="1289"/>
      <c r="Y145" s="1289"/>
      <c r="Z145" s="1289"/>
      <c r="AA145" s="1289"/>
      <c r="AB145" s="1289"/>
      <c r="AC145" s="1289"/>
      <c r="AD145" s="1290"/>
      <c r="AE145" s="1289"/>
      <c r="AF145" s="1352"/>
      <c r="AG145" s="1289"/>
    </row>
    <row r="146" spans="1:33" s="10" customFormat="1" ht="15" x14ac:dyDescent="0.25">
      <c r="A146" s="1289"/>
      <c r="B146" s="1289"/>
      <c r="C146" s="1289"/>
      <c r="D146" s="1289"/>
      <c r="E146" s="1289"/>
      <c r="F146" s="1289"/>
      <c r="G146" s="1289"/>
      <c r="H146" s="1289"/>
      <c r="I146" s="1289"/>
      <c r="J146" s="1289"/>
      <c r="K146" s="1289"/>
      <c r="L146" s="1289"/>
      <c r="M146" s="1289"/>
      <c r="N146" s="1289"/>
      <c r="O146" s="1289"/>
      <c r="P146" s="1289"/>
      <c r="Q146" s="1289"/>
      <c r="R146" s="1289"/>
      <c r="S146" s="1289"/>
      <c r="T146" s="1289"/>
      <c r="U146" s="1289"/>
      <c r="V146" s="1289"/>
      <c r="W146" s="1289"/>
      <c r="X146" s="1289"/>
      <c r="Y146" s="1289"/>
      <c r="Z146" s="1289"/>
      <c r="AA146" s="1289"/>
      <c r="AB146" s="1289"/>
      <c r="AC146" s="1289"/>
      <c r="AD146" s="1290"/>
      <c r="AE146" s="1289"/>
      <c r="AF146" s="1352"/>
      <c r="AG146" s="1289"/>
    </row>
    <row r="147" spans="1:33" s="10" customFormat="1" ht="15" x14ac:dyDescent="0.25">
      <c r="A147" s="1289"/>
      <c r="B147" s="1289"/>
      <c r="C147" s="1289"/>
      <c r="D147" s="1289"/>
      <c r="E147" s="1289"/>
      <c r="F147" s="1289"/>
      <c r="G147" s="1289"/>
      <c r="H147" s="1289"/>
      <c r="I147" s="1289"/>
      <c r="J147" s="1289"/>
      <c r="K147" s="1289"/>
      <c r="L147" s="1289"/>
      <c r="M147" s="1289"/>
      <c r="N147" s="1289"/>
      <c r="O147" s="1289"/>
      <c r="P147" s="1289"/>
      <c r="Q147" s="1289"/>
      <c r="R147" s="1289"/>
      <c r="S147" s="1289"/>
      <c r="T147" s="1289"/>
      <c r="U147" s="1289"/>
      <c r="V147" s="1289"/>
      <c r="W147" s="1289"/>
      <c r="X147" s="1289"/>
      <c r="Y147" s="1289"/>
      <c r="Z147" s="1289"/>
      <c r="AA147" s="1289"/>
      <c r="AB147" s="1289"/>
      <c r="AC147" s="1289"/>
      <c r="AD147" s="1290"/>
      <c r="AE147" s="1289"/>
      <c r="AF147" s="1352"/>
      <c r="AG147" s="1289"/>
    </row>
    <row r="148" spans="1:33" s="10" customFormat="1" ht="15" x14ac:dyDescent="0.25">
      <c r="A148" s="1289"/>
      <c r="B148" s="1289"/>
      <c r="C148" s="1289"/>
      <c r="D148" s="1289"/>
      <c r="E148" s="1289"/>
      <c r="F148" s="1289"/>
      <c r="G148" s="1289"/>
      <c r="H148" s="1289"/>
      <c r="I148" s="1289"/>
      <c r="J148" s="1289"/>
      <c r="K148" s="1289"/>
      <c r="L148" s="1289"/>
      <c r="M148" s="1289"/>
      <c r="N148" s="1289"/>
      <c r="O148" s="1289"/>
      <c r="P148" s="1289"/>
      <c r="Q148" s="1289"/>
      <c r="R148" s="1289"/>
      <c r="S148" s="1289"/>
      <c r="T148" s="1289"/>
      <c r="U148" s="1289"/>
      <c r="V148" s="1289"/>
      <c r="W148" s="1289"/>
      <c r="X148" s="1289"/>
      <c r="Y148" s="1289"/>
      <c r="Z148" s="1289"/>
      <c r="AA148" s="1289"/>
      <c r="AB148" s="1289"/>
      <c r="AC148" s="1289"/>
      <c r="AD148" s="1290"/>
      <c r="AE148" s="1289"/>
      <c r="AF148" s="1352"/>
      <c r="AG148" s="1289"/>
    </row>
  </sheetData>
  <mergeCells count="338">
    <mergeCell ref="AD111:AD112"/>
    <mergeCell ref="P52:T52"/>
    <mergeCell ref="N46:Q49"/>
    <mergeCell ref="N44:Q45"/>
    <mergeCell ref="R44:T45"/>
    <mergeCell ref="R46:T46"/>
    <mergeCell ref="R47:T47"/>
    <mergeCell ref="U44:Y44"/>
    <mergeCell ref="N36:S36"/>
    <mergeCell ref="D39:P41"/>
    <mergeCell ref="F44:H45"/>
    <mergeCell ref="AD109:AD110"/>
    <mergeCell ref="C61:O63"/>
    <mergeCell ref="AD105:AD106"/>
    <mergeCell ref="F94:J94"/>
    <mergeCell ref="K94:N94"/>
    <mergeCell ref="C69:K69"/>
    <mergeCell ref="L69:P69"/>
    <mergeCell ref="Q69:Y69"/>
    <mergeCell ref="P63:T63"/>
    <mergeCell ref="P61:T62"/>
    <mergeCell ref="U62:Y62"/>
    <mergeCell ref="W63:Y63"/>
    <mergeCell ref="AD107:AD108"/>
    <mergeCell ref="N26:P26"/>
    <mergeCell ref="Q26:S26"/>
    <mergeCell ref="E27:I27"/>
    <mergeCell ref="K27:S27"/>
    <mergeCell ref="E24:I24"/>
    <mergeCell ref="K34:M34"/>
    <mergeCell ref="N35:S35"/>
    <mergeCell ref="Q22:S22"/>
    <mergeCell ref="Q19:S19"/>
    <mergeCell ref="C28:N28"/>
    <mergeCell ref="O28:X28"/>
    <mergeCell ref="T30:X30"/>
    <mergeCell ref="E23:I23"/>
    <mergeCell ref="E25:I25"/>
    <mergeCell ref="K25:M25"/>
    <mergeCell ref="N25:P25"/>
    <mergeCell ref="Q25:S25"/>
    <mergeCell ref="P29:S30"/>
    <mergeCell ref="E26:I26"/>
    <mergeCell ref="K26:M26"/>
    <mergeCell ref="C65:Y65"/>
    <mergeCell ref="T31:U31"/>
    <mergeCell ref="U63:V63"/>
    <mergeCell ref="O94:T94"/>
    <mergeCell ref="C76:T77"/>
    <mergeCell ref="C75:Y75"/>
    <mergeCell ref="U76:Y76"/>
    <mergeCell ref="E78:O78"/>
    <mergeCell ref="N37:S37"/>
    <mergeCell ref="N38:S38"/>
    <mergeCell ref="D32:I32"/>
    <mergeCell ref="K32:Y32"/>
    <mergeCell ref="V31:X31"/>
    <mergeCell ref="D35:I35"/>
    <mergeCell ref="T33:X33"/>
    <mergeCell ref="T40:X40"/>
    <mergeCell ref="V41:X41"/>
    <mergeCell ref="Q41:S41"/>
    <mergeCell ref="Q39:S40"/>
    <mergeCell ref="T41:U41"/>
    <mergeCell ref="C29:O31"/>
    <mergeCell ref="P31:S31"/>
    <mergeCell ref="K35:M38"/>
    <mergeCell ref="D36:I36"/>
    <mergeCell ref="A2:Z2"/>
    <mergeCell ref="A3:Z3"/>
    <mergeCell ref="C7:Y7"/>
    <mergeCell ref="D8:I8"/>
    <mergeCell ref="K8:Y8"/>
    <mergeCell ref="K22:M22"/>
    <mergeCell ref="N21:P21"/>
    <mergeCell ref="Q14:S14"/>
    <mergeCell ref="K12:M13"/>
    <mergeCell ref="Q17:S17"/>
    <mergeCell ref="K14:M14"/>
    <mergeCell ref="Q15:S15"/>
    <mergeCell ref="K18:M18"/>
    <mergeCell ref="N18:P18"/>
    <mergeCell ref="Q21:S21"/>
    <mergeCell ref="K17:M17"/>
    <mergeCell ref="N17:P17"/>
    <mergeCell ref="K9:M9"/>
    <mergeCell ref="N9:S9"/>
    <mergeCell ref="T9:Y9"/>
    <mergeCell ref="D9:I9"/>
    <mergeCell ref="C5:H5"/>
    <mergeCell ref="I5:Y5"/>
    <mergeCell ref="N22:P22"/>
    <mergeCell ref="C12:C13"/>
    <mergeCell ref="D12:I13"/>
    <mergeCell ref="J12:J13"/>
    <mergeCell ref="E14:I14"/>
    <mergeCell ref="C10:I10"/>
    <mergeCell ref="N14:P14"/>
    <mergeCell ref="N12:P13"/>
    <mergeCell ref="Q12:S13"/>
    <mergeCell ref="K15:M15"/>
    <mergeCell ref="N15:P15"/>
    <mergeCell ref="K10:P10"/>
    <mergeCell ref="Q10:Y10"/>
    <mergeCell ref="C14:C27"/>
    <mergeCell ref="D11:I11"/>
    <mergeCell ref="K24:M24"/>
    <mergeCell ref="N24:P24"/>
    <mergeCell ref="Q24:S24"/>
    <mergeCell ref="E19:I19"/>
    <mergeCell ref="K23:M23"/>
    <mergeCell ref="N23:P23"/>
    <mergeCell ref="Q23:S23"/>
    <mergeCell ref="K11:Y11"/>
    <mergeCell ref="K19:M19"/>
    <mergeCell ref="N19:P19"/>
    <mergeCell ref="E16:I16"/>
    <mergeCell ref="K16:M16"/>
    <mergeCell ref="N16:P16"/>
    <mergeCell ref="Q16:S16"/>
    <mergeCell ref="E17:I17"/>
    <mergeCell ref="Q18:S18"/>
    <mergeCell ref="T12:X12"/>
    <mergeCell ref="E15:I15"/>
    <mergeCell ref="E22:I22"/>
    <mergeCell ref="E20:I20"/>
    <mergeCell ref="K20:M20"/>
    <mergeCell ref="N20:P20"/>
    <mergeCell ref="Q20:S20"/>
    <mergeCell ref="E21:I21"/>
    <mergeCell ref="K21:M21"/>
    <mergeCell ref="E18:I18"/>
    <mergeCell ref="D37:I37"/>
    <mergeCell ref="D33:J33"/>
    <mergeCell ref="K33:L33"/>
    <mergeCell ref="M33:S33"/>
    <mergeCell ref="D34:J34"/>
    <mergeCell ref="N34:S34"/>
    <mergeCell ref="D38:I38"/>
    <mergeCell ref="D43:Y43"/>
    <mergeCell ref="C44:E45"/>
    <mergeCell ref="I45:K45"/>
    <mergeCell ref="I44:M44"/>
    <mergeCell ref="U55:Y55"/>
    <mergeCell ref="R48:T49"/>
    <mergeCell ref="R55:T56"/>
    <mergeCell ref="C47:E47"/>
    <mergeCell ref="J55:M55"/>
    <mergeCell ref="N55:Q56"/>
    <mergeCell ref="C48:E48"/>
    <mergeCell ref="F47:H47"/>
    <mergeCell ref="D54:Y54"/>
    <mergeCell ref="C55:I56"/>
    <mergeCell ref="C49:H49"/>
    <mergeCell ref="I49:K49"/>
    <mergeCell ref="F48:H48"/>
    <mergeCell ref="J56:L56"/>
    <mergeCell ref="C50:O52"/>
    <mergeCell ref="I48:K48"/>
    <mergeCell ref="U51:Y51"/>
    <mergeCell ref="W52:Y52"/>
    <mergeCell ref="U52:V52"/>
    <mergeCell ref="P50:T51"/>
    <mergeCell ref="L49:M49"/>
    <mergeCell ref="I46:K46"/>
    <mergeCell ref="I47:K47"/>
    <mergeCell ref="C59:I59"/>
    <mergeCell ref="C57:I57"/>
    <mergeCell ref="L45:M45"/>
    <mergeCell ref="L46:M46"/>
    <mergeCell ref="L47:M47"/>
    <mergeCell ref="L48:M48"/>
    <mergeCell ref="F46:H46"/>
    <mergeCell ref="C46:E46"/>
    <mergeCell ref="C60:I60"/>
    <mergeCell ref="J59:L59"/>
    <mergeCell ref="J60:L60"/>
    <mergeCell ref="R59:T59"/>
    <mergeCell ref="N57:Q60"/>
    <mergeCell ref="C58:I58"/>
    <mergeCell ref="R57:T57"/>
    <mergeCell ref="R58:T58"/>
    <mergeCell ref="J57:L57"/>
    <mergeCell ref="J58:L58"/>
    <mergeCell ref="R60:Y60"/>
    <mergeCell ref="C67:K67"/>
    <mergeCell ref="L67:P67"/>
    <mergeCell ref="C73:K73"/>
    <mergeCell ref="L73:P73"/>
    <mergeCell ref="Q73:Y73"/>
    <mergeCell ref="C71:K71"/>
    <mergeCell ref="L71:P71"/>
    <mergeCell ref="C70:K70"/>
    <mergeCell ref="L70:P70"/>
    <mergeCell ref="Q67:Y67"/>
    <mergeCell ref="C68:K68"/>
    <mergeCell ref="L68:P68"/>
    <mergeCell ref="Q71:Y71"/>
    <mergeCell ref="Q68:Y68"/>
    <mergeCell ref="A86:Z86"/>
    <mergeCell ref="C88:Y88"/>
    <mergeCell ref="U89:Y89"/>
    <mergeCell ref="C90:E90"/>
    <mergeCell ref="F90:J90"/>
    <mergeCell ref="K90:T90"/>
    <mergeCell ref="C81:O84"/>
    <mergeCell ref="W83:Y84"/>
    <mergeCell ref="Q70:Y70"/>
    <mergeCell ref="C72:K72"/>
    <mergeCell ref="L72:P72"/>
    <mergeCell ref="Q72:Y72"/>
    <mergeCell ref="P78:T78"/>
    <mergeCell ref="A85:P85"/>
    <mergeCell ref="U85:X85"/>
    <mergeCell ref="E79:O79"/>
    <mergeCell ref="P79:T79"/>
    <mergeCell ref="E80:O80"/>
    <mergeCell ref="P80:T80"/>
    <mergeCell ref="U82:Y82"/>
    <mergeCell ref="U83:V84"/>
    <mergeCell ref="P83:T84"/>
    <mergeCell ref="P81:T82"/>
    <mergeCell ref="C91:E91"/>
    <mergeCell ref="C94:E94"/>
    <mergeCell ref="K93:N93"/>
    <mergeCell ref="K92:N92"/>
    <mergeCell ref="O92:T92"/>
    <mergeCell ref="O93:T93"/>
    <mergeCell ref="F91:J91"/>
    <mergeCell ref="K91:N91"/>
    <mergeCell ref="O91:T91"/>
    <mergeCell ref="I106:K106"/>
    <mergeCell ref="I103:K104"/>
    <mergeCell ref="L103:T104"/>
    <mergeCell ref="F92:J92"/>
    <mergeCell ref="B95:P97"/>
    <mergeCell ref="C93:E93"/>
    <mergeCell ref="F93:J93"/>
    <mergeCell ref="A100:Z100"/>
    <mergeCell ref="U97:V97"/>
    <mergeCell ref="C105:C106"/>
    <mergeCell ref="C92:E92"/>
    <mergeCell ref="W97:Y97"/>
    <mergeCell ref="C103:E104"/>
    <mergeCell ref="C102:Y102"/>
    <mergeCell ref="U103:Y103"/>
    <mergeCell ref="U96:Y96"/>
    <mergeCell ref="Q97:T97"/>
    <mergeCell ref="F103:H104"/>
    <mergeCell ref="Q95:T96"/>
    <mergeCell ref="Y109:Y110"/>
    <mergeCell ref="W109:W110"/>
    <mergeCell ref="D105:K105"/>
    <mergeCell ref="L105:T105"/>
    <mergeCell ref="D106:E106"/>
    <mergeCell ref="V109:V110"/>
    <mergeCell ref="I110:K110"/>
    <mergeCell ref="X107:X108"/>
    <mergeCell ref="Y107:Y108"/>
    <mergeCell ref="F110:H110"/>
    <mergeCell ref="D108:E108"/>
    <mergeCell ref="L108:T108"/>
    <mergeCell ref="F108:H108"/>
    <mergeCell ref="I108:K108"/>
    <mergeCell ref="L110:T110"/>
    <mergeCell ref="F106:H106"/>
    <mergeCell ref="L109:T109"/>
    <mergeCell ref="D110:E110"/>
    <mergeCell ref="Y105:Y106"/>
    <mergeCell ref="U105:U106"/>
    <mergeCell ref="V105:V106"/>
    <mergeCell ref="W105:W106"/>
    <mergeCell ref="L106:T106"/>
    <mergeCell ref="X105:X106"/>
    <mergeCell ref="D109:K109"/>
    <mergeCell ref="C109:C110"/>
    <mergeCell ref="D107:K107"/>
    <mergeCell ref="L107:T107"/>
    <mergeCell ref="U107:U108"/>
    <mergeCell ref="V107:V108"/>
    <mergeCell ref="U109:U110"/>
    <mergeCell ref="W107:W108"/>
    <mergeCell ref="X109:X110"/>
    <mergeCell ref="C107:C108"/>
    <mergeCell ref="C138:H138"/>
    <mergeCell ref="C132:H132"/>
    <mergeCell ref="P134:X134"/>
    <mergeCell ref="P135:X135"/>
    <mergeCell ref="U133:Y133"/>
    <mergeCell ref="P136:X136"/>
    <mergeCell ref="P137:X137"/>
    <mergeCell ref="P132:X132"/>
    <mergeCell ref="P138:T138"/>
    <mergeCell ref="U138:Y138"/>
    <mergeCell ref="D112:E112"/>
    <mergeCell ref="D125:K125"/>
    <mergeCell ref="L125:T125"/>
    <mergeCell ref="D126:K126"/>
    <mergeCell ref="L126:T126"/>
    <mergeCell ref="C133:H133"/>
    <mergeCell ref="P133:T133"/>
    <mergeCell ref="P128:T129"/>
    <mergeCell ref="C128:O130"/>
    <mergeCell ref="C113:O115"/>
    <mergeCell ref="C111:C112"/>
    <mergeCell ref="D111:K111"/>
    <mergeCell ref="L111:T111"/>
    <mergeCell ref="D123:K123"/>
    <mergeCell ref="L123:T123"/>
    <mergeCell ref="C119:K120"/>
    <mergeCell ref="L119:T120"/>
    <mergeCell ref="D122:K122"/>
    <mergeCell ref="L122:T122"/>
    <mergeCell ref="C118:Y118"/>
    <mergeCell ref="P113:T114"/>
    <mergeCell ref="W115:Y115"/>
    <mergeCell ref="P115:T115"/>
    <mergeCell ref="U115:V115"/>
    <mergeCell ref="P130:T130"/>
    <mergeCell ref="U130:V130"/>
    <mergeCell ref="W130:Y130"/>
    <mergeCell ref="D127:K127"/>
    <mergeCell ref="L127:T127"/>
    <mergeCell ref="D124:K124"/>
    <mergeCell ref="L124:T124"/>
    <mergeCell ref="L121:T121"/>
    <mergeCell ref="D121:K121"/>
    <mergeCell ref="W111:W112"/>
    <mergeCell ref="X111:X112"/>
    <mergeCell ref="Y111:Y112"/>
    <mergeCell ref="L112:T112"/>
    <mergeCell ref="U111:U112"/>
    <mergeCell ref="V111:V112"/>
    <mergeCell ref="F112:H112"/>
    <mergeCell ref="I112:K112"/>
    <mergeCell ref="U129:Y129"/>
    <mergeCell ref="U119:Y119"/>
    <mergeCell ref="U114:Y114"/>
  </mergeCells>
  <conditionalFormatting sqref="C128:O130 C113:O115 B95:P97 C81:O84 C61:O63 C50:O52 D39:P41 C29:O31">
    <cfRule type="containsBlanks" dxfId="19" priority="1" stopIfTrue="1">
      <formula>LEN(TRIM(B29))=0</formula>
    </cfRule>
  </conditionalFormatting>
  <printOptions horizontalCentered="1"/>
  <pageMargins left="0.7" right="0.7" top="0.75" bottom="0.75" header="0.3" footer="0.3"/>
  <pageSetup paperSize="9" scale="76" orientation="portrait" r:id="rId1"/>
  <headerFooter>
    <oddFooter>&amp;LFIP&amp;RHalaman &amp;P</oddFooter>
  </headerFooter>
  <rowBreaks count="7" manualBreakCount="7">
    <brk id="32" max="25" man="1"/>
    <brk id="53" max="25" man="1"/>
    <brk id="74" max="25" man="1"/>
    <brk id="85" max="25" man="1"/>
    <brk id="93" max="25" man="1"/>
    <brk id="110" max="25" man="1"/>
    <brk id="123" max="25" man="1"/>
  </rowBreaks>
  <colBreaks count="1" manualBreakCount="1">
    <brk id="27" max="1048575" man="1"/>
  </colBreaks>
  <drawing r:id="rId2"/>
  <legacyDrawing r:id="rId3"/>
  <oleObjects>
    <mc:AlternateContent xmlns:mc="http://schemas.openxmlformats.org/markup-compatibility/2006">
      <mc:Choice Requires="x14">
        <oleObject shapeId="2167">
          <objectPr defaultSize="0" autoFill="0" autoPict="0" dde="1">
            <anchor moveWithCells="1">
              <from>
                <xdr:col>19</xdr:col>
                <xdr:colOff>0</xdr:colOff>
                <xdr:row>36</xdr:row>
                <xdr:rowOff>0</xdr:rowOff>
              </from>
              <to>
                <xdr:col>24</xdr:col>
                <xdr:colOff>0</xdr:colOff>
                <xdr:row>36</xdr:row>
                <xdr:rowOff>504825</xdr:rowOff>
              </to>
            </anchor>
          </objectPr>
        </oleObject>
      </mc:Choice>
    </mc:AlternateContent>
    <mc:AlternateContent xmlns:mc="http://schemas.openxmlformats.org/markup-compatibility/2006">
      <mc:Choice Requires="x14">
        <oleObject shapeId="2173">
          <objectPr defaultSize="0" autoFill="0" autoLine="0" autoPict="0" dde="1">
            <anchor moveWithCells="1">
              <from>
                <xdr:col>19</xdr:col>
                <xdr:colOff>19050</xdr:colOff>
                <xdr:row>34</xdr:row>
                <xdr:rowOff>171450</xdr:rowOff>
              </from>
              <to>
                <xdr:col>20</xdr:col>
                <xdr:colOff>0</xdr:colOff>
                <xdr:row>35</xdr:row>
                <xdr:rowOff>0</xdr:rowOff>
              </to>
            </anchor>
          </objectPr>
        </oleObject>
      </mc:Choice>
    </mc:AlternateContent>
    <mc:AlternateContent xmlns:mc="http://schemas.openxmlformats.org/markup-compatibility/2006">
      <mc:Choice Requires="x14">
        <oleObject shapeId="2174">
          <objectPr defaultSize="0" autoFill="0" autoLine="0" autoPict="0" dde="1">
            <anchor moveWithCells="1">
              <from>
                <xdr:col>19</xdr:col>
                <xdr:colOff>19050</xdr:colOff>
                <xdr:row>35</xdr:row>
                <xdr:rowOff>133350</xdr:rowOff>
              </from>
              <to>
                <xdr:col>20</xdr:col>
                <xdr:colOff>0</xdr:colOff>
                <xdr:row>35</xdr:row>
                <xdr:rowOff>323850</xdr:rowOff>
              </to>
            </anchor>
          </objectPr>
        </oleObject>
      </mc:Choice>
    </mc:AlternateContent>
    <mc:AlternateContent xmlns:mc="http://schemas.openxmlformats.org/markup-compatibility/2006">
      <mc:Choice Requires="x14">
        <oleObject shapeId="2175">
          <objectPr defaultSize="0" autoFill="0" autoLine="0" autoPict="0" dde="1">
            <anchor moveWithCells="1">
              <from>
                <xdr:col>19</xdr:col>
                <xdr:colOff>19050</xdr:colOff>
                <xdr:row>36</xdr:row>
                <xdr:rowOff>171450</xdr:rowOff>
              </from>
              <to>
                <xdr:col>20</xdr:col>
                <xdr:colOff>0</xdr:colOff>
                <xdr:row>36</xdr:row>
                <xdr:rowOff>371475</xdr:rowOff>
              </to>
            </anchor>
          </objectPr>
        </oleObject>
      </mc:Choice>
    </mc:AlternateContent>
    <mc:AlternateContent xmlns:mc="http://schemas.openxmlformats.org/markup-compatibility/2006">
      <mc:Choice Requires="x14">
        <oleObject shapeId="2176">
          <objectPr defaultSize="0" autoFill="0" autoLine="0" autoPict="0" dde="1">
            <anchor moveWithCells="1">
              <from>
                <xdr:col>19</xdr:col>
                <xdr:colOff>19050</xdr:colOff>
                <xdr:row>37</xdr:row>
                <xdr:rowOff>142875</xdr:rowOff>
              </from>
              <to>
                <xdr:col>20</xdr:col>
                <xdr:colOff>0</xdr:colOff>
                <xdr:row>37</xdr:row>
                <xdr:rowOff>342900</xdr:rowOff>
              </to>
            </anchor>
          </objectPr>
        </oleObject>
      </mc:Choice>
    </mc:AlternateContent>
    <mc:AlternateContent xmlns:mc="http://schemas.openxmlformats.org/markup-compatibility/2006">
      <mc:Choice Requires="x14">
        <oleObject shapeId="2199">
          <objectPr defaultSize="0" autoFill="0" autoLine="0" autoPict="0" dde="1">
            <anchor moveWithCells="1">
              <from>
                <xdr:col>20</xdr:col>
                <xdr:colOff>9525</xdr:colOff>
                <xdr:row>45</xdr:row>
                <xdr:rowOff>438150</xdr:rowOff>
              </from>
              <to>
                <xdr:col>20</xdr:col>
                <xdr:colOff>247650</xdr:colOff>
                <xdr:row>46</xdr:row>
                <xdr:rowOff>0</xdr:rowOff>
              </to>
            </anchor>
          </objectPr>
        </oleObject>
      </mc:Choice>
    </mc:AlternateContent>
    <mc:AlternateContent xmlns:mc="http://schemas.openxmlformats.org/markup-compatibility/2006">
      <mc:Choice Requires="x14">
        <oleObject shapeId="2200">
          <objectPr defaultSize="0" autoFill="0" autoLine="0" autoPict="0" dde="1">
            <anchor moveWithCells="1">
              <from>
                <xdr:col>20</xdr:col>
                <xdr:colOff>9525</xdr:colOff>
                <xdr:row>46</xdr:row>
                <xdr:rowOff>438150</xdr:rowOff>
              </from>
              <to>
                <xdr:col>20</xdr:col>
                <xdr:colOff>247650</xdr:colOff>
                <xdr:row>46</xdr:row>
                <xdr:rowOff>628650</xdr:rowOff>
              </to>
            </anchor>
          </objectPr>
        </oleObject>
      </mc:Choice>
    </mc:AlternateContent>
    <mc:AlternateContent xmlns:mc="http://schemas.openxmlformats.org/markup-compatibility/2006">
      <mc:Choice Requires="x14">
        <oleObject shapeId="2201">
          <objectPr defaultSize="0" autoFill="0" autoLine="0" autoPict="0" dde="1">
            <anchor moveWithCells="1">
              <from>
                <xdr:col>20</xdr:col>
                <xdr:colOff>9525</xdr:colOff>
                <xdr:row>47</xdr:row>
                <xdr:rowOff>438150</xdr:rowOff>
              </from>
              <to>
                <xdr:col>20</xdr:col>
                <xdr:colOff>247650</xdr:colOff>
                <xdr:row>47</xdr:row>
                <xdr:rowOff>628650</xdr:rowOff>
              </to>
            </anchor>
          </objectPr>
        </oleObject>
      </mc:Choice>
    </mc:AlternateContent>
    <mc:AlternateContent xmlns:mc="http://schemas.openxmlformats.org/markup-compatibility/2006">
      <mc:Choice Requires="x14">
        <oleObject shapeId="2249">
          <objectPr defaultSize="0" autoFill="0" autoPict="0" dde="1">
            <anchor moveWithCells="1">
              <from>
                <xdr:col>20</xdr:col>
                <xdr:colOff>0</xdr:colOff>
                <xdr:row>91</xdr:row>
                <xdr:rowOff>9525</xdr:rowOff>
              </from>
              <to>
                <xdr:col>25</xdr:col>
                <xdr:colOff>0</xdr:colOff>
                <xdr:row>92</xdr:row>
                <xdr:rowOff>0</xdr:rowOff>
              </to>
            </anchor>
          </objectPr>
        </oleObject>
      </mc:Choice>
    </mc:AlternateContent>
    <mc:AlternateContent xmlns:mc="http://schemas.openxmlformats.org/markup-compatibility/2006">
      <mc:Choice Requires="x14">
        <oleObject shapeId="2251">
          <objectPr defaultSize="0" autoFill="0" autoLine="0" autoPict="0" dde="1">
            <anchor moveWithCells="1">
              <from>
                <xdr:col>20</xdr:col>
                <xdr:colOff>19050</xdr:colOff>
                <xdr:row>90</xdr:row>
                <xdr:rowOff>1076325</xdr:rowOff>
              </from>
              <to>
                <xdr:col>21</xdr:col>
                <xdr:colOff>0</xdr:colOff>
                <xdr:row>90</xdr:row>
                <xdr:rowOff>2533650</xdr:rowOff>
              </to>
            </anchor>
          </objectPr>
        </oleObject>
      </mc:Choice>
    </mc:AlternateContent>
    <mc:AlternateContent xmlns:mc="http://schemas.openxmlformats.org/markup-compatibility/2006">
      <mc:Choice Requires="x14">
        <oleObject shapeId="2252">
          <objectPr defaultSize="0" autoFill="0" autoLine="0" autoPict="0" dde="1">
            <anchor moveWithCells="1">
              <from>
                <xdr:col>20</xdr:col>
                <xdr:colOff>19050</xdr:colOff>
                <xdr:row>91</xdr:row>
                <xdr:rowOff>1076325</xdr:rowOff>
              </from>
              <to>
                <xdr:col>21</xdr:col>
                <xdr:colOff>0</xdr:colOff>
                <xdr:row>91</xdr:row>
                <xdr:rowOff>1266825</xdr:rowOff>
              </to>
            </anchor>
          </objectPr>
        </oleObject>
      </mc:Choice>
    </mc:AlternateContent>
    <mc:AlternateContent xmlns:mc="http://schemas.openxmlformats.org/markup-compatibility/2006">
      <mc:Choice Requires="x14">
        <oleObject shapeId="2253">
          <objectPr defaultSize="0" autoFill="0" autoLine="0" autoPict="0">
            <anchor moveWithCells="1">
              <from>
                <xdr:col>20</xdr:col>
                <xdr:colOff>19050</xdr:colOff>
                <xdr:row>92</xdr:row>
                <xdr:rowOff>1076325</xdr:rowOff>
              </from>
              <to>
                <xdr:col>21</xdr:col>
                <xdr:colOff>0</xdr:colOff>
                <xdr:row>92</xdr:row>
                <xdr:rowOff>1266825</xdr:rowOff>
              </to>
            </anchor>
          </objectPr>
        </oleObject>
      </mc:Choice>
    </mc:AlternateContent>
    <mc:AlternateContent xmlns:mc="http://schemas.openxmlformats.org/markup-compatibility/2006">
      <mc:Choice Requires="x14">
        <oleObject shapeId="2270">
          <objectPr defaultSize="0" autoFill="0" autoLine="0" autoPict="0" dde="1">
            <anchor moveWithCells="1">
              <from>
                <xdr:col>20</xdr:col>
                <xdr:colOff>19050</xdr:colOff>
                <xdr:row>105</xdr:row>
                <xdr:rowOff>200025</xdr:rowOff>
              </from>
              <to>
                <xdr:col>21</xdr:col>
                <xdr:colOff>0</xdr:colOff>
                <xdr:row>106</xdr:row>
                <xdr:rowOff>0</xdr:rowOff>
              </to>
            </anchor>
          </objectPr>
        </oleObject>
      </mc:Choice>
    </mc:AlternateContent>
    <mc:AlternateContent xmlns:mc="http://schemas.openxmlformats.org/markup-compatibility/2006">
      <mc:Choice Requires="x14">
        <oleObject shapeId="2272">
          <objectPr defaultSize="0" autoFill="0" autoLine="0" autoPict="0" dde="1">
            <anchor moveWithCells="1">
              <from>
                <xdr:col>20</xdr:col>
                <xdr:colOff>19050</xdr:colOff>
                <xdr:row>108</xdr:row>
                <xdr:rowOff>342900</xdr:rowOff>
              </from>
              <to>
                <xdr:col>21</xdr:col>
                <xdr:colOff>0</xdr:colOff>
                <xdr:row>109</xdr:row>
                <xdr:rowOff>752475</xdr:rowOff>
              </to>
            </anchor>
          </objectPr>
        </oleObject>
      </mc:Choice>
    </mc:AlternateContent>
    <mc:AlternateContent xmlns:mc="http://schemas.openxmlformats.org/markup-compatibility/2006">
      <mc:Choice Requires="x14">
        <oleObject shapeId="2273">
          <objectPr defaultSize="0" autoFill="0" autoLine="0" autoPict="0" dde="1">
            <anchor moveWithCells="1">
              <from>
                <xdr:col>20</xdr:col>
                <xdr:colOff>19050</xdr:colOff>
                <xdr:row>110</xdr:row>
                <xdr:rowOff>352425</xdr:rowOff>
              </from>
              <to>
                <xdr:col>21</xdr:col>
                <xdr:colOff>0</xdr:colOff>
                <xdr:row>111</xdr:row>
                <xdr:rowOff>704850</xdr:rowOff>
              </to>
            </anchor>
          </objectPr>
        </oleObject>
      </mc:Choice>
    </mc:AlternateContent>
    <mc:AlternateContent xmlns:mc="http://schemas.openxmlformats.org/markup-compatibility/2006">
      <mc:Choice Requires="x14">
        <oleObject shapeId="2290">
          <objectPr defaultSize="0" autoFill="0" autoPict="0" dde="1">
            <anchor moveWithCells="1">
              <from>
                <xdr:col>20</xdr:col>
                <xdr:colOff>0</xdr:colOff>
                <xdr:row>120</xdr:row>
                <xdr:rowOff>9525</xdr:rowOff>
              </from>
              <to>
                <xdr:col>25</xdr:col>
                <xdr:colOff>0</xdr:colOff>
                <xdr:row>121</xdr:row>
                <xdr:rowOff>9525</xdr:rowOff>
              </to>
            </anchor>
          </objectPr>
        </oleObject>
      </mc:Choice>
    </mc:AlternateContent>
    <mc:AlternateContent xmlns:mc="http://schemas.openxmlformats.org/markup-compatibility/2006">
      <mc:Choice Requires="x14">
        <oleObject shapeId="2295">
          <objectPr defaultSize="0" autoFill="0" autoLine="0" autoPict="0" dde="1">
            <anchor moveWithCells="1">
              <from>
                <xdr:col>20</xdr:col>
                <xdr:colOff>19050</xdr:colOff>
                <xdr:row>120</xdr:row>
                <xdr:rowOff>638175</xdr:rowOff>
              </from>
              <to>
                <xdr:col>21</xdr:col>
                <xdr:colOff>0</xdr:colOff>
                <xdr:row>120</xdr:row>
                <xdr:rowOff>1428750</xdr:rowOff>
              </to>
            </anchor>
          </objectPr>
        </oleObject>
      </mc:Choice>
    </mc:AlternateContent>
    <mc:AlternateContent xmlns:mc="http://schemas.openxmlformats.org/markup-compatibility/2006">
      <mc:Choice Requires="x14">
        <oleObject shapeId="2296">
          <objectPr defaultSize="0" autoFill="0" autoLine="0" autoPict="0" dde="1">
            <anchor moveWithCells="1">
              <from>
                <xdr:col>20</xdr:col>
                <xdr:colOff>19050</xdr:colOff>
                <xdr:row>121</xdr:row>
                <xdr:rowOff>638175</xdr:rowOff>
              </from>
              <to>
                <xdr:col>21</xdr:col>
                <xdr:colOff>0</xdr:colOff>
                <xdr:row>121</xdr:row>
                <xdr:rowOff>800100</xdr:rowOff>
              </to>
            </anchor>
          </objectPr>
        </oleObject>
      </mc:Choice>
    </mc:AlternateContent>
    <mc:AlternateContent xmlns:mc="http://schemas.openxmlformats.org/markup-compatibility/2006">
      <mc:Choice Requires="x14">
        <oleObject shapeId="2297">
          <objectPr defaultSize="0" autoFill="0" autoLine="0" autoPict="0" dde="1">
            <anchor moveWithCells="1">
              <from>
                <xdr:col>20</xdr:col>
                <xdr:colOff>19050</xdr:colOff>
                <xdr:row>122</xdr:row>
                <xdr:rowOff>638175</xdr:rowOff>
              </from>
              <to>
                <xdr:col>21</xdr:col>
                <xdr:colOff>0</xdr:colOff>
                <xdr:row>122</xdr:row>
                <xdr:rowOff>800100</xdr:rowOff>
              </to>
            </anchor>
          </objectPr>
        </oleObject>
      </mc:Choice>
    </mc:AlternateContent>
    <mc:AlternateContent xmlns:mc="http://schemas.openxmlformats.org/markup-compatibility/2006">
      <mc:Choice Requires="x14">
        <oleObject shapeId="2298">
          <objectPr defaultSize="0" autoFill="0" autoLine="0" autoPict="0" dde="1">
            <anchor moveWithCells="1">
              <from>
                <xdr:col>20</xdr:col>
                <xdr:colOff>19050</xdr:colOff>
                <xdr:row>123</xdr:row>
                <xdr:rowOff>638175</xdr:rowOff>
              </from>
              <to>
                <xdr:col>21</xdr:col>
                <xdr:colOff>0</xdr:colOff>
                <xdr:row>123</xdr:row>
                <xdr:rowOff>800100</xdr:rowOff>
              </to>
            </anchor>
          </objectPr>
        </oleObject>
      </mc:Choice>
    </mc:AlternateContent>
    <mc:AlternateContent xmlns:mc="http://schemas.openxmlformats.org/markup-compatibility/2006">
      <mc:Choice Requires="x14">
        <oleObject shapeId="2166">
          <objectPr defaultSize="0" autoFill="0" autoPict="0" dde="1">
            <anchor moveWithCells="1">
              <from>
                <xdr:col>19</xdr:col>
                <xdr:colOff>0</xdr:colOff>
                <xdr:row>35</xdr:row>
                <xdr:rowOff>0</xdr:rowOff>
              </from>
              <to>
                <xdr:col>24</xdr:col>
                <xdr:colOff>0</xdr:colOff>
                <xdr:row>35</xdr:row>
                <xdr:rowOff>504825</xdr:rowOff>
              </to>
            </anchor>
          </objectPr>
        </oleObject>
      </mc:Choice>
    </mc:AlternateContent>
    <mc:AlternateContent xmlns:mc="http://schemas.openxmlformats.org/markup-compatibility/2006">
      <mc:Choice Requires="x14">
        <oleObject shapeId="2195">
          <objectPr defaultSize="0" autoFill="0" autoPict="0" dde="1">
            <anchor moveWithCells="1">
              <from>
                <xdr:col>20</xdr:col>
                <xdr:colOff>0</xdr:colOff>
                <xdr:row>47</xdr:row>
                <xdr:rowOff>9525</xdr:rowOff>
              </from>
              <to>
                <xdr:col>25</xdr:col>
                <xdr:colOff>0</xdr:colOff>
                <xdr:row>48</xdr:row>
                <xdr:rowOff>0</xdr:rowOff>
              </to>
            </anchor>
          </objectPr>
        </oleObject>
      </mc:Choice>
    </mc:AlternateContent>
    <mc:AlternateContent xmlns:mc="http://schemas.openxmlformats.org/markup-compatibility/2006">
      <mc:Choice Requires="x14">
        <oleObject shapeId="2269">
          <objectPr defaultSize="0" autoFill="0" autoPict="0" dde="1">
            <anchor moveWithCells="1">
              <from>
                <xdr:col>20</xdr:col>
                <xdr:colOff>0</xdr:colOff>
                <xdr:row>110</xdr:row>
                <xdr:rowOff>9525</xdr:rowOff>
              </from>
              <to>
                <xdr:col>25</xdr:col>
                <xdr:colOff>0</xdr:colOff>
                <xdr:row>112</xdr:row>
                <xdr:rowOff>0</xdr:rowOff>
              </to>
            </anchor>
          </objectPr>
        </oleObject>
      </mc:Choice>
    </mc:AlternateContent>
    <mc:AlternateContent xmlns:mc="http://schemas.openxmlformats.org/markup-compatibility/2006">
      <mc:Choice Requires="x14">
        <oleObject shapeId="2293">
          <objectPr defaultSize="0" autoFill="0" autoPict="0" dde="1">
            <anchor moveWithCells="1">
              <from>
                <xdr:col>20</xdr:col>
                <xdr:colOff>0</xdr:colOff>
                <xdr:row>122</xdr:row>
                <xdr:rowOff>9525</xdr:rowOff>
              </from>
              <to>
                <xdr:col>25</xdr:col>
                <xdr:colOff>0</xdr:colOff>
                <xdr:row>123</xdr:row>
                <xdr:rowOff>9525</xdr:rowOff>
              </to>
            </anchor>
          </objectPr>
        </oleObject>
      </mc:Choice>
    </mc:AlternateContent>
    <mc:AlternateContent xmlns:mc="http://schemas.openxmlformats.org/markup-compatibility/2006">
      <mc:Choice Requires="x14">
        <oleObject shapeId="2081">
          <objectPr defaultSize="0" autoFill="0" autoPict="0" dde="1">
            <anchor moveWithCells="1">
              <from>
                <xdr:col>19</xdr:col>
                <xdr:colOff>0</xdr:colOff>
                <xdr:row>20</xdr:row>
                <xdr:rowOff>0</xdr:rowOff>
              </from>
              <to>
                <xdr:col>24</xdr:col>
                <xdr:colOff>0</xdr:colOff>
                <xdr:row>21</xdr:row>
                <xdr:rowOff>0</xdr:rowOff>
              </to>
            </anchor>
          </objectPr>
        </oleObject>
      </mc:Choice>
    </mc:AlternateContent>
    <mc:AlternateContent xmlns:mc="http://schemas.openxmlformats.org/markup-compatibility/2006">
      <mc:Choice Requires="x14">
        <oleObject shapeId="2111">
          <objectPr defaultSize="0" autoFill="0" autoLine="0" autoPict="0" dde="1">
            <anchor moveWithCells="1">
              <from>
                <xdr:col>19</xdr:col>
                <xdr:colOff>9525</xdr:colOff>
                <xdr:row>20</xdr:row>
                <xdr:rowOff>9525</xdr:rowOff>
              </from>
              <to>
                <xdr:col>19</xdr:col>
                <xdr:colOff>247650</xdr:colOff>
                <xdr:row>20</xdr:row>
                <xdr:rowOff>276225</xdr:rowOff>
              </to>
            </anchor>
          </objectPr>
        </oleObject>
      </mc:Choice>
    </mc:AlternateContent>
    <mc:AlternateContent xmlns:mc="http://schemas.openxmlformats.org/markup-compatibility/2006">
      <mc:Choice Requires="x14">
        <oleObject shapeId="2112">
          <objectPr defaultSize="0" autoFill="0" autoLine="0" autoPict="0">
            <anchor moveWithCells="1">
              <from>
                <xdr:col>19</xdr:col>
                <xdr:colOff>9525</xdr:colOff>
                <xdr:row>21</xdr:row>
                <xdr:rowOff>19050</xdr:rowOff>
              </from>
              <to>
                <xdr:col>19</xdr:col>
                <xdr:colOff>247650</xdr:colOff>
                <xdr:row>22</xdr:row>
                <xdr:rowOff>0</xdr:rowOff>
              </to>
            </anchor>
          </objectPr>
        </oleObject>
      </mc:Choice>
    </mc:AlternateContent>
    <mc:AlternateContent xmlns:mc="http://schemas.openxmlformats.org/markup-compatibility/2006">
      <mc:Choice Requires="x14">
        <oleObject shapeId="2113">
          <objectPr defaultSize="0" autoFill="0" autoLine="0" autoPict="0">
            <anchor moveWithCells="1">
              <from>
                <xdr:col>19</xdr:col>
                <xdr:colOff>9525</xdr:colOff>
                <xdr:row>22</xdr:row>
                <xdr:rowOff>66675</xdr:rowOff>
              </from>
              <to>
                <xdr:col>19</xdr:col>
                <xdr:colOff>247650</xdr:colOff>
                <xdr:row>22</xdr:row>
                <xdr:rowOff>342900</xdr:rowOff>
              </to>
            </anchor>
          </objectPr>
        </oleObject>
      </mc:Choice>
    </mc:AlternateContent>
    <mc:AlternateContent xmlns:mc="http://schemas.openxmlformats.org/markup-compatibility/2006">
      <mc:Choice Requires="x14">
        <oleObject shapeId="2083">
          <objectPr defaultSize="0" autoFill="0" autoPict="0" dde="1">
            <anchor moveWithCells="1">
              <from>
                <xdr:col>19</xdr:col>
                <xdr:colOff>0</xdr:colOff>
                <xdr:row>22</xdr:row>
                <xdr:rowOff>9525</xdr:rowOff>
              </from>
              <to>
                <xdr:col>24</xdr:col>
                <xdr:colOff>0</xdr:colOff>
                <xdr:row>23</xdr:row>
                <xdr:rowOff>0</xdr:rowOff>
              </to>
            </anchor>
          </objectPr>
        </oleObject>
      </mc:Choice>
    </mc:AlternateContent>
    <mc:AlternateContent xmlns:mc="http://schemas.openxmlformats.org/markup-compatibility/2006">
      <mc:Choice Requires="x14">
        <oleObject shapeId="2084">
          <objectPr defaultSize="0" autoFill="0" autoPict="0" dde="1">
            <anchor moveWithCells="1">
              <from>
                <xdr:col>19</xdr:col>
                <xdr:colOff>0</xdr:colOff>
                <xdr:row>23</xdr:row>
                <xdr:rowOff>9525</xdr:rowOff>
              </from>
              <to>
                <xdr:col>24</xdr:col>
                <xdr:colOff>0</xdr:colOff>
                <xdr:row>24</xdr:row>
                <xdr:rowOff>0</xdr:rowOff>
              </to>
            </anchor>
          </objectPr>
        </oleObject>
      </mc:Choice>
    </mc:AlternateContent>
    <mc:AlternateContent xmlns:mc="http://schemas.openxmlformats.org/markup-compatibility/2006">
      <mc:Choice Requires="x14">
        <oleObject shapeId="2114">
          <objectPr defaultSize="0" autoFill="0" autoLine="0" autoPict="0">
            <anchor moveWithCells="1">
              <from>
                <xdr:col>19</xdr:col>
                <xdr:colOff>9525</xdr:colOff>
                <xdr:row>23</xdr:row>
                <xdr:rowOff>19050</xdr:rowOff>
              </from>
              <to>
                <xdr:col>19</xdr:col>
                <xdr:colOff>247650</xdr:colOff>
                <xdr:row>23</xdr:row>
                <xdr:rowOff>276225</xdr:rowOff>
              </to>
            </anchor>
          </objectPr>
        </oleObject>
      </mc:Choice>
    </mc:AlternateContent>
    <mc:AlternateContent xmlns:mc="http://schemas.openxmlformats.org/markup-compatibility/2006">
      <mc:Choice Requires="x14">
        <oleObject shapeId="2115">
          <objectPr defaultSize="0" autoFill="0" autoLine="0" autoPict="0">
            <anchor moveWithCells="1">
              <from>
                <xdr:col>19</xdr:col>
                <xdr:colOff>9525</xdr:colOff>
                <xdr:row>24</xdr:row>
                <xdr:rowOff>19050</xdr:rowOff>
              </from>
              <to>
                <xdr:col>19</xdr:col>
                <xdr:colOff>247650</xdr:colOff>
                <xdr:row>25</xdr:row>
                <xdr:rowOff>0</xdr:rowOff>
              </to>
            </anchor>
          </objectPr>
        </oleObject>
      </mc:Choice>
    </mc:AlternateContent>
    <mc:AlternateContent xmlns:mc="http://schemas.openxmlformats.org/markup-compatibility/2006">
      <mc:Choice Requires="x14">
        <oleObject shapeId="2116">
          <objectPr defaultSize="0" autoFill="0" autoLine="0" autoPict="0">
            <anchor moveWithCells="1">
              <from>
                <xdr:col>19</xdr:col>
                <xdr:colOff>9525</xdr:colOff>
                <xdr:row>25</xdr:row>
                <xdr:rowOff>19050</xdr:rowOff>
              </from>
              <to>
                <xdr:col>19</xdr:col>
                <xdr:colOff>247650</xdr:colOff>
                <xdr:row>26</xdr:row>
                <xdr:rowOff>0</xdr:rowOff>
              </to>
            </anchor>
          </objectPr>
        </oleObject>
      </mc:Choice>
    </mc:AlternateContent>
    <mc:AlternateContent xmlns:mc="http://schemas.openxmlformats.org/markup-compatibility/2006">
      <mc:Choice Requires="x14">
        <oleObject shapeId="2086">
          <objectPr defaultSize="0" autoFill="0" autoPict="0" dde="1">
            <anchor moveWithCells="1">
              <from>
                <xdr:col>19</xdr:col>
                <xdr:colOff>0</xdr:colOff>
                <xdr:row>25</xdr:row>
                <xdr:rowOff>9525</xdr:rowOff>
              </from>
              <to>
                <xdr:col>24</xdr:col>
                <xdr:colOff>0</xdr:colOff>
                <xdr:row>26</xdr:row>
                <xdr:rowOff>9525</xdr:rowOff>
              </to>
            </anchor>
          </objectPr>
        </oleObject>
      </mc:Choice>
    </mc:AlternateContent>
    <mc:AlternateContent xmlns:mc="http://schemas.openxmlformats.org/markup-compatibility/2006">
      <mc:Choice Requires="x14">
        <oleObject shapeId="2117">
          <objectPr defaultSize="0" autoFill="0" autoLine="0" autoPict="0">
            <anchor moveWithCells="1">
              <from>
                <xdr:col>19</xdr:col>
                <xdr:colOff>9525</xdr:colOff>
                <xdr:row>26</xdr:row>
                <xdr:rowOff>19050</xdr:rowOff>
              </from>
              <to>
                <xdr:col>19</xdr:col>
                <xdr:colOff>247650</xdr:colOff>
                <xdr:row>27</xdr:row>
                <xdr:rowOff>0</xdr:rowOff>
              </to>
            </anchor>
          </objectPr>
        </oleObject>
      </mc:Choice>
    </mc:AlternateContent>
    <mc:AlternateContent xmlns:mc="http://schemas.openxmlformats.org/markup-compatibility/2006">
      <mc:Choice Requires="x14">
        <oleObject shapeId="2087">
          <objectPr defaultSize="0" autoFill="0" autoPict="0" dde="1">
            <anchor moveWithCells="1">
              <from>
                <xdr:col>19</xdr:col>
                <xdr:colOff>0</xdr:colOff>
                <xdr:row>26</xdr:row>
                <xdr:rowOff>9525</xdr:rowOff>
              </from>
              <to>
                <xdr:col>24</xdr:col>
                <xdr:colOff>0</xdr:colOff>
                <xdr:row>27</xdr:row>
                <xdr:rowOff>9525</xdr:rowOff>
              </to>
            </anchor>
          </objectPr>
        </oleObject>
      </mc:Choice>
    </mc:AlternateContent>
    <mc:AlternateContent xmlns:mc="http://schemas.openxmlformats.org/markup-compatibility/2006">
      <mc:Choice Requires="x14">
        <oleObject shapeId="25212">
          <objectPr defaultSize="0" autoFill="0" autoPict="0" dde="1">
            <anchor moveWithCells="1">
              <from>
                <xdr:col>20</xdr:col>
                <xdr:colOff>0</xdr:colOff>
                <xdr:row>93</xdr:row>
                <xdr:rowOff>9525</xdr:rowOff>
              </from>
              <to>
                <xdr:col>25</xdr:col>
                <xdr:colOff>0</xdr:colOff>
                <xdr:row>94</xdr:row>
                <xdr:rowOff>0</xdr:rowOff>
              </to>
            </anchor>
          </objectPr>
        </oleObject>
      </mc:Choice>
    </mc:AlternateContent>
    <mc:AlternateContent xmlns:mc="http://schemas.openxmlformats.org/markup-compatibility/2006">
      <mc:Choice Requires="x14">
        <oleObject shapeId="25213">
          <objectPr defaultSize="0" autoFill="0" autoLine="0" autoPict="0">
            <anchor moveWithCells="1">
              <from>
                <xdr:col>20</xdr:col>
                <xdr:colOff>19050</xdr:colOff>
                <xdr:row>93</xdr:row>
                <xdr:rowOff>1076325</xdr:rowOff>
              </from>
              <to>
                <xdr:col>21</xdr:col>
                <xdr:colOff>0</xdr:colOff>
                <xdr:row>93</xdr:row>
                <xdr:rowOff>1266825</xdr:rowOff>
              </to>
            </anchor>
          </objectPr>
        </oleObject>
      </mc:Choice>
    </mc:AlternateContent>
    <mc:AlternateContent xmlns:mc="http://schemas.openxmlformats.org/markup-compatibility/2006">
      <mc:Choice Requires="x14">
        <oleObject shapeId="589121">
          <objectPr defaultSize="0" autoFill="0" autoLine="0" autoPict="0">
            <anchor moveWithCells="1">
              <from>
                <xdr:col>20</xdr:col>
                <xdr:colOff>19050</xdr:colOff>
                <xdr:row>126</xdr:row>
                <xdr:rowOff>638175</xdr:rowOff>
              </from>
              <to>
                <xdr:col>21</xdr:col>
                <xdr:colOff>0</xdr:colOff>
                <xdr:row>126</xdr:row>
                <xdr:rowOff>800100</xdr:rowOff>
              </to>
            </anchor>
          </objectPr>
        </oleObject>
      </mc:Choice>
    </mc:AlternateContent>
    <mc:AlternateContent xmlns:mc="http://schemas.openxmlformats.org/markup-compatibility/2006">
      <mc:Choice Requires="x14">
        <oleObject shapeId="589126">
          <objectPr defaultSize="0" autoFill="0" autoPict="0" dde="1">
            <anchor moveWithCells="1">
              <from>
                <xdr:col>20</xdr:col>
                <xdr:colOff>0</xdr:colOff>
                <xdr:row>126</xdr:row>
                <xdr:rowOff>9525</xdr:rowOff>
              </from>
              <to>
                <xdr:col>25</xdr:col>
                <xdr:colOff>0</xdr:colOff>
                <xdr:row>127</xdr:row>
                <xdr:rowOff>9525</xdr:rowOff>
              </to>
            </anchor>
          </objectPr>
        </oleObject>
      </mc:Choice>
    </mc:AlternateContent>
    <mc:AlternateContent xmlns:mc="http://schemas.openxmlformats.org/markup-compatibility/2006">
      <mc:Choice Requires="x14">
        <oleObject shapeId="589127">
          <objectPr defaultSize="0" autoFill="0" autoLine="0" autoPict="0">
            <anchor moveWithCells="1">
              <from>
                <xdr:col>20</xdr:col>
                <xdr:colOff>19050</xdr:colOff>
                <xdr:row>125</xdr:row>
                <xdr:rowOff>638175</xdr:rowOff>
              </from>
              <to>
                <xdr:col>21</xdr:col>
                <xdr:colOff>0</xdr:colOff>
                <xdr:row>125</xdr:row>
                <xdr:rowOff>800100</xdr:rowOff>
              </to>
            </anchor>
          </objectPr>
        </oleObject>
      </mc:Choice>
    </mc:AlternateContent>
    <mc:AlternateContent xmlns:mc="http://schemas.openxmlformats.org/markup-compatibility/2006">
      <mc:Choice Requires="x14">
        <oleObject shapeId="589133">
          <objectPr defaultSize="0" autoFill="0" autoLine="0" autoPict="0">
            <anchor moveWithCells="1">
              <from>
                <xdr:col>20</xdr:col>
                <xdr:colOff>19050</xdr:colOff>
                <xdr:row>124</xdr:row>
                <xdr:rowOff>638175</xdr:rowOff>
              </from>
              <to>
                <xdr:col>21</xdr:col>
                <xdr:colOff>0</xdr:colOff>
                <xdr:row>124</xdr:row>
                <xdr:rowOff>800100</xdr:rowOff>
              </to>
            </anchor>
          </objectPr>
        </oleObject>
      </mc:Choice>
    </mc:AlternateContent>
    <mc:AlternateContent xmlns:mc="http://schemas.openxmlformats.org/markup-compatibility/2006">
      <mc:Choice Requires="x14">
        <oleObject shapeId="589138">
          <objectPr defaultSize="0" autoFill="0" autoPict="0" dde="1">
            <anchor moveWithCells="1">
              <from>
                <xdr:col>20</xdr:col>
                <xdr:colOff>0</xdr:colOff>
                <xdr:row>124</xdr:row>
                <xdr:rowOff>9525</xdr:rowOff>
              </from>
              <to>
                <xdr:col>25</xdr:col>
                <xdr:colOff>0</xdr:colOff>
                <xdr:row>125</xdr:row>
                <xdr:rowOff>9525</xdr:rowOff>
              </to>
            </anchor>
          </objectPr>
        </oleObject>
      </mc:Choice>
    </mc:AlternateContent>
    <mc:AlternateContent xmlns:mc="http://schemas.openxmlformats.org/markup-compatibility/2006">
      <mc:Choice Requires="x14">
        <oleObject shapeId="2092">
          <objectPr defaultSize="0" autoFill="0" autoLine="0" autoPict="0" dde="1">
            <anchor moveWithCells="1" sizeWithCells="1">
              <from>
                <xdr:col>19</xdr:col>
                <xdr:colOff>19050</xdr:colOff>
                <xdr:row>16</xdr:row>
                <xdr:rowOff>19050</xdr:rowOff>
              </from>
              <to>
                <xdr:col>19</xdr:col>
                <xdr:colOff>257175</xdr:colOff>
                <xdr:row>16</xdr:row>
                <xdr:rowOff>285750</xdr:rowOff>
              </to>
            </anchor>
          </objectPr>
        </oleObject>
      </mc:Choice>
    </mc:AlternateContent>
    <mc:AlternateContent xmlns:mc="http://schemas.openxmlformats.org/markup-compatibility/2006">
      <mc:Choice Requires="x14">
        <oleObject shapeId="2095">
          <objectPr defaultSize="0" autoFill="0" autoLine="0" autoPict="0" dde="1">
            <anchor moveWithCells="1" sizeWithCells="1">
              <from>
                <xdr:col>19</xdr:col>
                <xdr:colOff>19050</xdr:colOff>
                <xdr:row>19</xdr:row>
                <xdr:rowOff>19050</xdr:rowOff>
              </from>
              <to>
                <xdr:col>19</xdr:col>
                <xdr:colOff>257175</xdr:colOff>
                <xdr:row>19</xdr:row>
                <xdr:rowOff>285750</xdr:rowOff>
              </to>
            </anchor>
          </objectPr>
        </oleObject>
      </mc:Choice>
    </mc:AlternateContent>
    <mc:AlternateContent xmlns:mc="http://schemas.openxmlformats.org/markup-compatibility/2006">
      <mc:Choice Requires="x14">
        <oleObject shapeId="2091">
          <objectPr defaultSize="0" autoFill="0" autoLine="0" autoPict="0">
            <anchor moveWithCells="1" sizeWithCells="1">
              <from>
                <xdr:col>19</xdr:col>
                <xdr:colOff>19050</xdr:colOff>
                <xdr:row>15</xdr:row>
                <xdr:rowOff>19050</xdr:rowOff>
              </from>
              <to>
                <xdr:col>19</xdr:col>
                <xdr:colOff>257175</xdr:colOff>
                <xdr:row>15</xdr:row>
                <xdr:rowOff>285750</xdr:rowOff>
              </to>
            </anchor>
          </objectPr>
        </oleObject>
      </mc:Choice>
    </mc:AlternateContent>
    <mc:AlternateContent xmlns:mc="http://schemas.openxmlformats.org/markup-compatibility/2006">
      <mc:Choice Requires="x14">
        <oleObject shapeId="2093">
          <objectPr defaultSize="0" autoFill="0" autoLine="0" autoPict="0" dde="1">
            <anchor moveWithCells="1" sizeWithCells="1">
              <from>
                <xdr:col>19</xdr:col>
                <xdr:colOff>19050</xdr:colOff>
                <xdr:row>17</xdr:row>
                <xdr:rowOff>19050</xdr:rowOff>
              </from>
              <to>
                <xdr:col>19</xdr:col>
                <xdr:colOff>257175</xdr:colOff>
                <xdr:row>17</xdr:row>
                <xdr:rowOff>285750</xdr:rowOff>
              </to>
            </anchor>
          </objectPr>
        </oleObject>
      </mc:Choice>
    </mc:AlternateContent>
    <mc:AlternateContent xmlns:mc="http://schemas.openxmlformats.org/markup-compatibility/2006">
      <mc:Choice Requires="x14">
        <oleObject shapeId="2078">
          <objectPr defaultSize="0" autoFill="0" autoPict="0" dde="1">
            <anchor moveWithCells="1" sizeWithCells="1">
              <from>
                <xdr:col>19</xdr:col>
                <xdr:colOff>0</xdr:colOff>
                <xdr:row>17</xdr:row>
                <xdr:rowOff>9525</xdr:rowOff>
              </from>
              <to>
                <xdr:col>24</xdr:col>
                <xdr:colOff>0</xdr:colOff>
                <xdr:row>18</xdr:row>
                <xdr:rowOff>9525</xdr:rowOff>
              </to>
            </anchor>
          </objectPr>
        </oleObject>
      </mc:Choice>
    </mc:AlternateContent>
    <mc:AlternateContent xmlns:mc="http://schemas.openxmlformats.org/markup-compatibility/2006">
      <mc:Choice Requires="x14">
        <oleObject shapeId="2074">
          <objectPr defaultSize="0" autoFill="0" autoPict="0" dde="1">
            <anchor moveWithCells="1" sizeWithCells="1">
              <from>
                <xdr:col>19</xdr:col>
                <xdr:colOff>0</xdr:colOff>
                <xdr:row>13</xdr:row>
                <xdr:rowOff>9525</xdr:rowOff>
              </from>
              <to>
                <xdr:col>24</xdr:col>
                <xdr:colOff>0</xdr:colOff>
                <xdr:row>14</xdr:row>
                <xdr:rowOff>9525</xdr:rowOff>
              </to>
            </anchor>
          </objectPr>
        </oleObject>
      </mc:Choice>
    </mc:AlternateContent>
    <mc:AlternateContent xmlns:mc="http://schemas.openxmlformats.org/markup-compatibility/2006">
      <mc:Choice Requires="x14">
        <oleObject shapeId="2104">
          <objectPr defaultSize="0" autoFill="0" autoLine="0" autoPict="0" dde="1">
            <anchor moveWithCells="1" sizeWithCells="1">
              <from>
                <xdr:col>19</xdr:col>
                <xdr:colOff>19050</xdr:colOff>
                <xdr:row>13</xdr:row>
                <xdr:rowOff>19050</xdr:rowOff>
              </from>
              <to>
                <xdr:col>19</xdr:col>
                <xdr:colOff>257175</xdr:colOff>
                <xdr:row>13</xdr:row>
                <xdr:rowOff>285750</xdr:rowOff>
              </to>
            </anchor>
          </objectPr>
        </oleObject>
      </mc:Choice>
    </mc:AlternateContent>
    <mc:AlternateContent xmlns:mc="http://schemas.openxmlformats.org/markup-compatibility/2006">
      <mc:Choice Requires="x14">
        <oleObject shapeId="2105">
          <objectPr defaultSize="0" autoFill="0" autoLine="0" autoPict="0" dde="1">
            <anchor moveWithCells="1" sizeWithCells="1">
              <from>
                <xdr:col>19</xdr:col>
                <xdr:colOff>19050</xdr:colOff>
                <xdr:row>14</xdr:row>
                <xdr:rowOff>19050</xdr:rowOff>
              </from>
              <to>
                <xdr:col>19</xdr:col>
                <xdr:colOff>257175</xdr:colOff>
                <xdr:row>14</xdr:row>
                <xdr:rowOff>285750</xdr:rowOff>
              </to>
            </anchor>
          </objectPr>
        </oleObject>
      </mc:Choice>
    </mc:AlternateContent>
    <mc:AlternateContent xmlns:mc="http://schemas.openxmlformats.org/markup-compatibility/2006">
      <mc:Choice Requires="x14">
        <oleObject shapeId="2079">
          <objectPr defaultSize="0" autoFill="0" autoPict="0" dde="1">
            <anchor moveWithCells="1" sizeWithCells="1">
              <from>
                <xdr:col>19</xdr:col>
                <xdr:colOff>0</xdr:colOff>
                <xdr:row>18</xdr:row>
                <xdr:rowOff>9525</xdr:rowOff>
              </from>
              <to>
                <xdr:col>24</xdr:col>
                <xdr:colOff>0</xdr:colOff>
                <xdr:row>19</xdr:row>
                <xdr:rowOff>9525</xdr:rowOff>
              </to>
            </anchor>
          </objectPr>
        </oleObject>
      </mc:Choice>
    </mc:AlternateContent>
    <mc:AlternateContent xmlns:mc="http://schemas.openxmlformats.org/markup-compatibility/2006">
      <mc:Choice Requires="x14">
        <oleObject shapeId="2109">
          <objectPr defaultSize="0" autoFill="0" autoLine="0" autoPict="0" dde="1">
            <anchor moveWithCells="1" sizeWithCells="1">
              <from>
                <xdr:col>19</xdr:col>
                <xdr:colOff>19050</xdr:colOff>
                <xdr:row>18</xdr:row>
                <xdr:rowOff>19050</xdr:rowOff>
              </from>
              <to>
                <xdr:col>19</xdr:col>
                <xdr:colOff>257175</xdr:colOff>
                <xdr:row>18</xdr:row>
                <xdr:rowOff>285750</xdr:rowOff>
              </to>
            </anchor>
          </objectPr>
        </oleObject>
      </mc:Choice>
    </mc:AlternateContent>
    <mc:AlternateContent xmlns:mc="http://schemas.openxmlformats.org/markup-compatibility/2006">
      <mc:Choice Requires="x14">
        <oleObject shapeId="2211">
          <objectPr defaultSize="0" autoFill="0" autoPict="0" dde="1">
            <anchor moveWithCells="1" sizeWithCells="1">
              <from>
                <xdr:col>20</xdr:col>
                <xdr:colOff>0</xdr:colOff>
                <xdr:row>56</xdr:row>
                <xdr:rowOff>9525</xdr:rowOff>
              </from>
              <to>
                <xdr:col>25</xdr:col>
                <xdr:colOff>9525</xdr:colOff>
                <xdr:row>57</xdr:row>
                <xdr:rowOff>0</xdr:rowOff>
              </to>
            </anchor>
          </objectPr>
        </oleObject>
      </mc:Choice>
    </mc:AlternateContent>
    <mc:AlternateContent xmlns:mc="http://schemas.openxmlformats.org/markup-compatibility/2006">
      <mc:Choice Requires="x14">
        <oleObject shapeId="2218">
          <objectPr defaultSize="0" autoFill="0" autoLine="0" autoPict="0" dde="1">
            <anchor moveWithCells="1" sizeWithCells="1">
              <from>
                <xdr:col>20</xdr:col>
                <xdr:colOff>38100</xdr:colOff>
                <xdr:row>56</xdr:row>
                <xdr:rowOff>438150</xdr:rowOff>
              </from>
              <to>
                <xdr:col>21</xdr:col>
                <xdr:colOff>19050</xdr:colOff>
                <xdr:row>56</xdr:row>
                <xdr:rowOff>1447800</xdr:rowOff>
              </to>
            </anchor>
          </objectPr>
        </oleObject>
      </mc:Choice>
    </mc:AlternateContent>
    <mc:AlternateContent xmlns:mc="http://schemas.openxmlformats.org/markup-compatibility/2006">
      <mc:Choice Requires="x14">
        <oleObject shapeId="2219">
          <objectPr defaultSize="0" autoFill="0" autoLine="0" autoPict="0" dde="1">
            <anchor moveWithCells="1" sizeWithCells="1">
              <from>
                <xdr:col>20</xdr:col>
                <xdr:colOff>38100</xdr:colOff>
                <xdr:row>57</xdr:row>
                <xdr:rowOff>800100</xdr:rowOff>
              </from>
              <to>
                <xdr:col>21</xdr:col>
                <xdr:colOff>19050</xdr:colOff>
                <xdr:row>57</xdr:row>
                <xdr:rowOff>990600</xdr:rowOff>
              </to>
            </anchor>
          </objectPr>
        </oleObject>
      </mc:Choice>
    </mc:AlternateContent>
    <mc:AlternateContent xmlns:mc="http://schemas.openxmlformats.org/markup-compatibility/2006">
      <mc:Choice Requires="x14">
        <oleObject shapeId="2212">
          <objectPr defaultSize="0" autoFill="0" autoPict="0" dde="1">
            <anchor moveWithCells="1" sizeWithCells="1">
              <from>
                <xdr:col>20</xdr:col>
                <xdr:colOff>0</xdr:colOff>
                <xdr:row>57</xdr:row>
                <xdr:rowOff>9525</xdr:rowOff>
              </from>
              <to>
                <xdr:col>25</xdr:col>
                <xdr:colOff>9525</xdr:colOff>
                <xdr:row>58</xdr:row>
                <xdr:rowOff>0</xdr:rowOff>
              </to>
            </anchor>
          </objectPr>
        </oleObject>
      </mc:Choice>
    </mc:AlternateContent>
    <mc:AlternateContent xmlns:mc="http://schemas.openxmlformats.org/markup-compatibility/2006">
      <mc:Choice Requires="x14">
        <oleObject shapeId="3006">
          <objectPr defaultSize="0" autoFill="0" autoLine="0" autoPict="0" dde="1">
            <anchor moveWithCells="1" sizeWithCells="1">
              <from>
                <xdr:col>24</xdr:col>
                <xdr:colOff>38100</xdr:colOff>
                <xdr:row>57</xdr:row>
                <xdr:rowOff>800100</xdr:rowOff>
              </from>
              <to>
                <xdr:col>25</xdr:col>
                <xdr:colOff>19050</xdr:colOff>
                <xdr:row>57</xdr:row>
                <xdr:rowOff>990600</xdr:rowOff>
              </to>
            </anchor>
          </objectPr>
        </oleObject>
      </mc:Choice>
    </mc:AlternateContent>
    <mc:AlternateContent xmlns:mc="http://schemas.openxmlformats.org/markup-compatibility/2006">
      <mc:Choice Requires="x14">
        <oleObject shapeId="2220">
          <objectPr defaultSize="0" autoFill="0" autoLine="0" autoPict="0" dde="1">
            <anchor moveWithCells="1" sizeWithCells="1">
              <from>
                <xdr:col>20</xdr:col>
                <xdr:colOff>38100</xdr:colOff>
                <xdr:row>58</xdr:row>
                <xdr:rowOff>800100</xdr:rowOff>
              </from>
              <to>
                <xdr:col>21</xdr:col>
                <xdr:colOff>19050</xdr:colOff>
                <xdr:row>58</xdr:row>
                <xdr:rowOff>990600</xdr:rowOff>
              </to>
            </anchor>
          </objectPr>
        </oleObject>
      </mc:Choice>
    </mc:AlternateContent>
    <mc:AlternateContent xmlns:mc="http://schemas.openxmlformats.org/markup-compatibility/2006">
      <mc:Choice Requires="x14">
        <oleObject shapeId="2213">
          <objectPr defaultSize="0" autoFill="0" autoPict="0" dde="1">
            <anchor moveWithCells="1" sizeWithCells="1">
              <from>
                <xdr:col>20</xdr:col>
                <xdr:colOff>0</xdr:colOff>
                <xdr:row>58</xdr:row>
                <xdr:rowOff>9525</xdr:rowOff>
              </from>
              <to>
                <xdr:col>25</xdr:col>
                <xdr:colOff>9525</xdr:colOff>
                <xdr:row>59</xdr:row>
                <xdr:rowOff>0</xdr:rowOff>
              </to>
            </anchor>
          </objectPr>
        </oleObject>
      </mc:Choice>
    </mc:AlternateContent>
    <mc:AlternateContent xmlns:mc="http://schemas.openxmlformats.org/markup-compatibility/2006">
      <mc:Choice Requires="x14">
        <oleObject shapeId="2236">
          <objectPr defaultSize="0" autoFill="0" autoLine="0" autoPict="0" dde="1">
            <anchor moveWithCells="1" sizeWithCells="1">
              <from>
                <xdr:col>20</xdr:col>
                <xdr:colOff>19050</xdr:colOff>
                <xdr:row>77</xdr:row>
                <xdr:rowOff>457200</xdr:rowOff>
              </from>
              <to>
                <xdr:col>20</xdr:col>
                <xdr:colOff>257175</xdr:colOff>
                <xdr:row>77</xdr:row>
                <xdr:rowOff>1581150</xdr:rowOff>
              </to>
            </anchor>
          </objectPr>
        </oleObject>
      </mc:Choice>
    </mc:AlternateContent>
    <mc:AlternateContent xmlns:mc="http://schemas.openxmlformats.org/markup-compatibility/2006">
      <mc:Choice Requires="x14">
        <oleObject shapeId="2237">
          <objectPr defaultSize="0" autoFill="0" autoLine="0" autoPict="0" dde="1">
            <anchor moveWithCells="1" sizeWithCells="1">
              <from>
                <xdr:col>20</xdr:col>
                <xdr:colOff>19050</xdr:colOff>
                <xdr:row>78</xdr:row>
                <xdr:rowOff>895350</xdr:rowOff>
              </from>
              <to>
                <xdr:col>20</xdr:col>
                <xdr:colOff>257175</xdr:colOff>
                <xdr:row>78</xdr:row>
                <xdr:rowOff>1104900</xdr:rowOff>
              </to>
            </anchor>
          </objectPr>
        </oleObject>
      </mc:Choice>
    </mc:AlternateContent>
    <mc:AlternateContent xmlns:mc="http://schemas.openxmlformats.org/markup-compatibility/2006">
      <mc:Choice Requires="x14">
        <oleObject shapeId="2231">
          <objectPr defaultSize="0" autoFill="0" autoPict="0" dde="1">
            <anchor moveWithCells="1" sizeWithCells="1">
              <from>
                <xdr:col>20</xdr:col>
                <xdr:colOff>0</xdr:colOff>
                <xdr:row>78</xdr:row>
                <xdr:rowOff>9525</xdr:rowOff>
              </from>
              <to>
                <xdr:col>25</xdr:col>
                <xdr:colOff>0</xdr:colOff>
                <xdr:row>79</xdr:row>
                <xdr:rowOff>0</xdr:rowOff>
              </to>
            </anchor>
          </objectPr>
        </oleObject>
      </mc:Choice>
    </mc:AlternateContent>
    <mc:AlternateContent xmlns:mc="http://schemas.openxmlformats.org/markup-compatibility/2006">
      <mc:Choice Requires="x14">
        <oleObject shapeId="2238">
          <objectPr defaultSize="0" autoFill="0" autoLine="0" autoPict="0" dde="1">
            <anchor moveWithCells="1" sizeWithCells="1">
              <from>
                <xdr:col>20</xdr:col>
                <xdr:colOff>19050</xdr:colOff>
                <xdr:row>79</xdr:row>
                <xdr:rowOff>895350</xdr:rowOff>
              </from>
              <to>
                <xdr:col>20</xdr:col>
                <xdr:colOff>257175</xdr:colOff>
                <xdr:row>79</xdr:row>
                <xdr:rowOff>1104900</xdr:rowOff>
              </to>
            </anchor>
          </objectPr>
        </oleObject>
      </mc:Choice>
    </mc:AlternateContent>
    <mc:AlternateContent xmlns:mc="http://schemas.openxmlformats.org/markup-compatibility/2006">
      <mc:Choice Requires="x14">
        <oleObject shapeId="2275">
          <objectPr defaultSize="0" autoFill="0" autoLine="0" autoPict="0" dde="1">
            <anchor moveWithCells="1" sizeWithCells="1">
              <from>
                <xdr:col>20</xdr:col>
                <xdr:colOff>19050</xdr:colOff>
                <xdr:row>106</xdr:row>
                <xdr:rowOff>323850</xdr:rowOff>
              </from>
              <to>
                <xdr:col>20</xdr:col>
                <xdr:colOff>257175</xdr:colOff>
                <xdr:row>107</xdr:row>
                <xdr:rowOff>762000</xdr:rowOff>
              </to>
            </anchor>
          </objectPr>
        </oleObject>
      </mc:Choice>
    </mc:AlternateContent>
  </oleObjects>
  <mc:AlternateContent xmlns:mc="http://schemas.openxmlformats.org/markup-compatibility/2006">
    <mc:Choice Requires="x14">
      <controls>
        <mc:AlternateContent xmlns:mc="http://schemas.openxmlformats.org/markup-compatibility/2006">
          <mc:Choice Requires="x14">
            <control shapeId="2161" r:id="rId4" name="Group Box 113">
              <controlPr defaultSize="0" autoFill="0" autoPict="0">
                <anchor moveWithCells="1">
                  <from>
                    <xdr:col>19</xdr:col>
                    <xdr:colOff>0</xdr:colOff>
                    <xdr:row>34</xdr:row>
                    <xdr:rowOff>0</xdr:rowOff>
                  </from>
                  <to>
                    <xdr:col>24</xdr:col>
                    <xdr:colOff>0</xdr:colOff>
                    <xdr:row>35</xdr:row>
                    <xdr:rowOff>0</xdr:rowOff>
                  </to>
                </anchor>
              </controlPr>
            </control>
          </mc:Choice>
        </mc:AlternateContent>
        <mc:AlternateContent xmlns:mc="http://schemas.openxmlformats.org/markup-compatibility/2006">
          <mc:Choice Requires="x14">
            <control shapeId="2167" r:id="rId5" name="Group Box 119">
              <controlPr defaultSize="0" autoFill="0" autoPict="0">
                <anchor moveWithCells="1">
                  <from>
                    <xdr:col>19</xdr:col>
                    <xdr:colOff>0</xdr:colOff>
                    <xdr:row>36</xdr:row>
                    <xdr:rowOff>0</xdr:rowOff>
                  </from>
                  <to>
                    <xdr:col>24</xdr:col>
                    <xdr:colOff>0</xdr:colOff>
                    <xdr:row>36</xdr:row>
                    <xdr:rowOff>504825</xdr:rowOff>
                  </to>
                </anchor>
              </controlPr>
            </control>
          </mc:Choice>
        </mc:AlternateContent>
        <mc:AlternateContent xmlns:mc="http://schemas.openxmlformats.org/markup-compatibility/2006">
          <mc:Choice Requires="x14">
            <control shapeId="2168" r:id="rId6" name="Group Box 120">
              <controlPr defaultSize="0" autoFill="0" autoPict="0">
                <anchor moveWithCells="1">
                  <from>
                    <xdr:col>19</xdr:col>
                    <xdr:colOff>0</xdr:colOff>
                    <xdr:row>37</xdr:row>
                    <xdr:rowOff>0</xdr:rowOff>
                  </from>
                  <to>
                    <xdr:col>24</xdr:col>
                    <xdr:colOff>0</xdr:colOff>
                    <xdr:row>37</xdr:row>
                    <xdr:rowOff>504825</xdr:rowOff>
                  </to>
                </anchor>
              </controlPr>
            </control>
          </mc:Choice>
        </mc:AlternateContent>
        <mc:AlternateContent xmlns:mc="http://schemas.openxmlformats.org/markup-compatibility/2006">
          <mc:Choice Requires="x14">
            <control shapeId="2173" r:id="rId7" name="Option Button 125">
              <controlPr defaultSize="0" autoFill="0" autoLine="0" autoPict="0">
                <anchor moveWithCells="1">
                  <from>
                    <xdr:col>19</xdr:col>
                    <xdr:colOff>19050</xdr:colOff>
                    <xdr:row>34</xdr:row>
                    <xdr:rowOff>171450</xdr:rowOff>
                  </from>
                  <to>
                    <xdr:col>20</xdr:col>
                    <xdr:colOff>0</xdr:colOff>
                    <xdr:row>35</xdr:row>
                    <xdr:rowOff>0</xdr:rowOff>
                  </to>
                </anchor>
              </controlPr>
            </control>
          </mc:Choice>
        </mc:AlternateContent>
        <mc:AlternateContent xmlns:mc="http://schemas.openxmlformats.org/markup-compatibility/2006">
          <mc:Choice Requires="x14">
            <control shapeId="2174" r:id="rId8" name="Option Button 126">
              <controlPr defaultSize="0" autoFill="0" autoLine="0" autoPict="0">
                <anchor moveWithCells="1">
                  <from>
                    <xdr:col>19</xdr:col>
                    <xdr:colOff>19050</xdr:colOff>
                    <xdr:row>35</xdr:row>
                    <xdr:rowOff>133350</xdr:rowOff>
                  </from>
                  <to>
                    <xdr:col>20</xdr:col>
                    <xdr:colOff>0</xdr:colOff>
                    <xdr:row>35</xdr:row>
                    <xdr:rowOff>323850</xdr:rowOff>
                  </to>
                </anchor>
              </controlPr>
            </control>
          </mc:Choice>
        </mc:AlternateContent>
        <mc:AlternateContent xmlns:mc="http://schemas.openxmlformats.org/markup-compatibility/2006">
          <mc:Choice Requires="x14">
            <control shapeId="2175" r:id="rId9" name="Option Button 127">
              <controlPr defaultSize="0" autoFill="0" autoLine="0" autoPict="0">
                <anchor moveWithCells="1">
                  <from>
                    <xdr:col>19</xdr:col>
                    <xdr:colOff>19050</xdr:colOff>
                    <xdr:row>36</xdr:row>
                    <xdr:rowOff>171450</xdr:rowOff>
                  </from>
                  <to>
                    <xdr:col>20</xdr:col>
                    <xdr:colOff>0</xdr:colOff>
                    <xdr:row>36</xdr:row>
                    <xdr:rowOff>371475</xdr:rowOff>
                  </to>
                </anchor>
              </controlPr>
            </control>
          </mc:Choice>
        </mc:AlternateContent>
        <mc:AlternateContent xmlns:mc="http://schemas.openxmlformats.org/markup-compatibility/2006">
          <mc:Choice Requires="x14">
            <control shapeId="2176" r:id="rId10" name="Option Button 128">
              <controlPr defaultSize="0" autoFill="0" autoLine="0" autoPict="0">
                <anchor moveWithCells="1">
                  <from>
                    <xdr:col>19</xdr:col>
                    <xdr:colOff>19050</xdr:colOff>
                    <xdr:row>37</xdr:row>
                    <xdr:rowOff>142875</xdr:rowOff>
                  </from>
                  <to>
                    <xdr:col>20</xdr:col>
                    <xdr:colOff>0</xdr:colOff>
                    <xdr:row>37</xdr:row>
                    <xdr:rowOff>342900</xdr:rowOff>
                  </to>
                </anchor>
              </controlPr>
            </control>
          </mc:Choice>
        </mc:AlternateContent>
        <mc:AlternateContent xmlns:mc="http://schemas.openxmlformats.org/markup-compatibility/2006">
          <mc:Choice Requires="x14">
            <control shapeId="2177" r:id="rId11" name="Option Button 129">
              <controlPr defaultSize="0" autoFill="0" autoLine="0" autoPict="0">
                <anchor moveWithCells="1">
                  <from>
                    <xdr:col>20</xdr:col>
                    <xdr:colOff>19050</xdr:colOff>
                    <xdr:row>34</xdr:row>
                    <xdr:rowOff>171450</xdr:rowOff>
                  </from>
                  <to>
                    <xdr:col>21</xdr:col>
                    <xdr:colOff>0</xdr:colOff>
                    <xdr:row>35</xdr:row>
                    <xdr:rowOff>0</xdr:rowOff>
                  </to>
                </anchor>
              </controlPr>
            </control>
          </mc:Choice>
        </mc:AlternateContent>
        <mc:AlternateContent xmlns:mc="http://schemas.openxmlformats.org/markup-compatibility/2006">
          <mc:Choice Requires="x14">
            <control shapeId="2178" r:id="rId12" name="Option Button 130">
              <controlPr defaultSize="0" autoFill="0" autoLine="0" autoPict="0">
                <anchor moveWithCells="1">
                  <from>
                    <xdr:col>20</xdr:col>
                    <xdr:colOff>19050</xdr:colOff>
                    <xdr:row>35</xdr:row>
                    <xdr:rowOff>133350</xdr:rowOff>
                  </from>
                  <to>
                    <xdr:col>21</xdr:col>
                    <xdr:colOff>0</xdr:colOff>
                    <xdr:row>35</xdr:row>
                    <xdr:rowOff>323850</xdr:rowOff>
                  </to>
                </anchor>
              </controlPr>
            </control>
          </mc:Choice>
        </mc:AlternateContent>
        <mc:AlternateContent xmlns:mc="http://schemas.openxmlformats.org/markup-compatibility/2006">
          <mc:Choice Requires="x14">
            <control shapeId="2179" r:id="rId13" name="Option Button 131">
              <controlPr defaultSize="0" autoFill="0" autoLine="0" autoPict="0">
                <anchor moveWithCells="1">
                  <from>
                    <xdr:col>20</xdr:col>
                    <xdr:colOff>19050</xdr:colOff>
                    <xdr:row>36</xdr:row>
                    <xdr:rowOff>171450</xdr:rowOff>
                  </from>
                  <to>
                    <xdr:col>21</xdr:col>
                    <xdr:colOff>0</xdr:colOff>
                    <xdr:row>36</xdr:row>
                    <xdr:rowOff>371475</xdr:rowOff>
                  </to>
                </anchor>
              </controlPr>
            </control>
          </mc:Choice>
        </mc:AlternateContent>
        <mc:AlternateContent xmlns:mc="http://schemas.openxmlformats.org/markup-compatibility/2006">
          <mc:Choice Requires="x14">
            <control shapeId="2180" r:id="rId14" name="Option Button 132">
              <controlPr defaultSize="0" autoFill="0" autoLine="0" autoPict="0">
                <anchor moveWithCells="1">
                  <from>
                    <xdr:col>20</xdr:col>
                    <xdr:colOff>19050</xdr:colOff>
                    <xdr:row>37</xdr:row>
                    <xdr:rowOff>142875</xdr:rowOff>
                  </from>
                  <to>
                    <xdr:col>21</xdr:col>
                    <xdr:colOff>0</xdr:colOff>
                    <xdr:row>37</xdr:row>
                    <xdr:rowOff>342900</xdr:rowOff>
                  </to>
                </anchor>
              </controlPr>
            </control>
          </mc:Choice>
        </mc:AlternateContent>
        <mc:AlternateContent xmlns:mc="http://schemas.openxmlformats.org/markup-compatibility/2006">
          <mc:Choice Requires="x14">
            <control shapeId="2181" r:id="rId15" name="Option Button 133">
              <controlPr defaultSize="0" autoFill="0" autoLine="0" autoPict="0">
                <anchor moveWithCells="1">
                  <from>
                    <xdr:col>21</xdr:col>
                    <xdr:colOff>19050</xdr:colOff>
                    <xdr:row>34</xdr:row>
                    <xdr:rowOff>171450</xdr:rowOff>
                  </from>
                  <to>
                    <xdr:col>22</xdr:col>
                    <xdr:colOff>0</xdr:colOff>
                    <xdr:row>35</xdr:row>
                    <xdr:rowOff>0</xdr:rowOff>
                  </to>
                </anchor>
              </controlPr>
            </control>
          </mc:Choice>
        </mc:AlternateContent>
        <mc:AlternateContent xmlns:mc="http://schemas.openxmlformats.org/markup-compatibility/2006">
          <mc:Choice Requires="x14">
            <control shapeId="2182" r:id="rId16" name="Option Button 134">
              <controlPr defaultSize="0" autoFill="0" autoLine="0" autoPict="0">
                <anchor moveWithCells="1">
                  <from>
                    <xdr:col>21</xdr:col>
                    <xdr:colOff>19050</xdr:colOff>
                    <xdr:row>35</xdr:row>
                    <xdr:rowOff>133350</xdr:rowOff>
                  </from>
                  <to>
                    <xdr:col>22</xdr:col>
                    <xdr:colOff>0</xdr:colOff>
                    <xdr:row>35</xdr:row>
                    <xdr:rowOff>323850</xdr:rowOff>
                  </to>
                </anchor>
              </controlPr>
            </control>
          </mc:Choice>
        </mc:AlternateContent>
        <mc:AlternateContent xmlns:mc="http://schemas.openxmlformats.org/markup-compatibility/2006">
          <mc:Choice Requires="x14">
            <control shapeId="2183" r:id="rId17" name="Option Button 135">
              <controlPr defaultSize="0" autoFill="0" autoLine="0" autoPict="0">
                <anchor moveWithCells="1">
                  <from>
                    <xdr:col>21</xdr:col>
                    <xdr:colOff>19050</xdr:colOff>
                    <xdr:row>36</xdr:row>
                    <xdr:rowOff>171450</xdr:rowOff>
                  </from>
                  <to>
                    <xdr:col>22</xdr:col>
                    <xdr:colOff>0</xdr:colOff>
                    <xdr:row>36</xdr:row>
                    <xdr:rowOff>371475</xdr:rowOff>
                  </to>
                </anchor>
              </controlPr>
            </control>
          </mc:Choice>
        </mc:AlternateContent>
        <mc:AlternateContent xmlns:mc="http://schemas.openxmlformats.org/markup-compatibility/2006">
          <mc:Choice Requires="x14">
            <control shapeId="2184" r:id="rId18" name="Option Button 136">
              <controlPr defaultSize="0" autoFill="0" autoLine="0" autoPict="0">
                <anchor moveWithCells="1">
                  <from>
                    <xdr:col>21</xdr:col>
                    <xdr:colOff>19050</xdr:colOff>
                    <xdr:row>37</xdr:row>
                    <xdr:rowOff>142875</xdr:rowOff>
                  </from>
                  <to>
                    <xdr:col>22</xdr:col>
                    <xdr:colOff>0</xdr:colOff>
                    <xdr:row>37</xdr:row>
                    <xdr:rowOff>342900</xdr:rowOff>
                  </to>
                </anchor>
              </controlPr>
            </control>
          </mc:Choice>
        </mc:AlternateContent>
        <mc:AlternateContent xmlns:mc="http://schemas.openxmlformats.org/markup-compatibility/2006">
          <mc:Choice Requires="x14">
            <control shapeId="2185" r:id="rId19" name="Option Button 137">
              <controlPr defaultSize="0" autoFill="0" autoLine="0" autoPict="0">
                <anchor moveWithCells="1">
                  <from>
                    <xdr:col>22</xdr:col>
                    <xdr:colOff>19050</xdr:colOff>
                    <xdr:row>34</xdr:row>
                    <xdr:rowOff>171450</xdr:rowOff>
                  </from>
                  <to>
                    <xdr:col>23</xdr:col>
                    <xdr:colOff>0</xdr:colOff>
                    <xdr:row>35</xdr:row>
                    <xdr:rowOff>0</xdr:rowOff>
                  </to>
                </anchor>
              </controlPr>
            </control>
          </mc:Choice>
        </mc:AlternateContent>
        <mc:AlternateContent xmlns:mc="http://schemas.openxmlformats.org/markup-compatibility/2006">
          <mc:Choice Requires="x14">
            <control shapeId="2186" r:id="rId20" name="Option Button 138">
              <controlPr defaultSize="0" autoFill="0" autoLine="0" autoPict="0">
                <anchor moveWithCells="1">
                  <from>
                    <xdr:col>22</xdr:col>
                    <xdr:colOff>19050</xdr:colOff>
                    <xdr:row>35</xdr:row>
                    <xdr:rowOff>133350</xdr:rowOff>
                  </from>
                  <to>
                    <xdr:col>23</xdr:col>
                    <xdr:colOff>0</xdr:colOff>
                    <xdr:row>35</xdr:row>
                    <xdr:rowOff>323850</xdr:rowOff>
                  </to>
                </anchor>
              </controlPr>
            </control>
          </mc:Choice>
        </mc:AlternateContent>
        <mc:AlternateContent xmlns:mc="http://schemas.openxmlformats.org/markup-compatibility/2006">
          <mc:Choice Requires="x14">
            <control shapeId="2187" r:id="rId21" name="Option Button 139">
              <controlPr defaultSize="0" autoFill="0" autoLine="0" autoPict="0">
                <anchor moveWithCells="1">
                  <from>
                    <xdr:col>22</xdr:col>
                    <xdr:colOff>19050</xdr:colOff>
                    <xdr:row>36</xdr:row>
                    <xdr:rowOff>171450</xdr:rowOff>
                  </from>
                  <to>
                    <xdr:col>23</xdr:col>
                    <xdr:colOff>0</xdr:colOff>
                    <xdr:row>36</xdr:row>
                    <xdr:rowOff>371475</xdr:rowOff>
                  </to>
                </anchor>
              </controlPr>
            </control>
          </mc:Choice>
        </mc:AlternateContent>
        <mc:AlternateContent xmlns:mc="http://schemas.openxmlformats.org/markup-compatibility/2006">
          <mc:Choice Requires="x14">
            <control shapeId="2188" r:id="rId22" name="Option Button 140">
              <controlPr defaultSize="0" autoFill="0" autoLine="0" autoPict="0">
                <anchor moveWithCells="1">
                  <from>
                    <xdr:col>22</xdr:col>
                    <xdr:colOff>19050</xdr:colOff>
                    <xdr:row>37</xdr:row>
                    <xdr:rowOff>142875</xdr:rowOff>
                  </from>
                  <to>
                    <xdr:col>23</xdr:col>
                    <xdr:colOff>0</xdr:colOff>
                    <xdr:row>37</xdr:row>
                    <xdr:rowOff>342900</xdr:rowOff>
                  </to>
                </anchor>
              </controlPr>
            </control>
          </mc:Choice>
        </mc:AlternateContent>
        <mc:AlternateContent xmlns:mc="http://schemas.openxmlformats.org/markup-compatibility/2006">
          <mc:Choice Requires="x14">
            <control shapeId="2199" r:id="rId23" name="Option Button 151">
              <controlPr defaultSize="0" autoFill="0" autoLine="0" autoPict="0">
                <anchor moveWithCells="1">
                  <from>
                    <xdr:col>20</xdr:col>
                    <xdr:colOff>9525</xdr:colOff>
                    <xdr:row>45</xdr:row>
                    <xdr:rowOff>438150</xdr:rowOff>
                  </from>
                  <to>
                    <xdr:col>20</xdr:col>
                    <xdr:colOff>247650</xdr:colOff>
                    <xdr:row>46</xdr:row>
                    <xdr:rowOff>0</xdr:rowOff>
                  </to>
                </anchor>
              </controlPr>
            </control>
          </mc:Choice>
        </mc:AlternateContent>
        <mc:AlternateContent xmlns:mc="http://schemas.openxmlformats.org/markup-compatibility/2006">
          <mc:Choice Requires="x14">
            <control shapeId="2200" r:id="rId24" name="Option Button 152">
              <controlPr defaultSize="0" autoFill="0" autoLine="0" autoPict="0">
                <anchor moveWithCells="1">
                  <from>
                    <xdr:col>20</xdr:col>
                    <xdr:colOff>9525</xdr:colOff>
                    <xdr:row>46</xdr:row>
                    <xdr:rowOff>438150</xdr:rowOff>
                  </from>
                  <to>
                    <xdr:col>20</xdr:col>
                    <xdr:colOff>247650</xdr:colOff>
                    <xdr:row>46</xdr:row>
                    <xdr:rowOff>628650</xdr:rowOff>
                  </to>
                </anchor>
              </controlPr>
            </control>
          </mc:Choice>
        </mc:AlternateContent>
        <mc:AlternateContent xmlns:mc="http://schemas.openxmlformats.org/markup-compatibility/2006">
          <mc:Choice Requires="x14">
            <control shapeId="2201" r:id="rId25" name="Option Button 153">
              <controlPr defaultSize="0" autoFill="0" autoLine="0" autoPict="0">
                <anchor moveWithCells="1">
                  <from>
                    <xdr:col>20</xdr:col>
                    <xdr:colOff>9525</xdr:colOff>
                    <xdr:row>47</xdr:row>
                    <xdr:rowOff>438150</xdr:rowOff>
                  </from>
                  <to>
                    <xdr:col>20</xdr:col>
                    <xdr:colOff>247650</xdr:colOff>
                    <xdr:row>47</xdr:row>
                    <xdr:rowOff>628650</xdr:rowOff>
                  </to>
                </anchor>
              </controlPr>
            </control>
          </mc:Choice>
        </mc:AlternateContent>
        <mc:AlternateContent xmlns:mc="http://schemas.openxmlformats.org/markup-compatibility/2006">
          <mc:Choice Requires="x14">
            <control shapeId="2202" r:id="rId26" name="Option Button 154">
              <controlPr defaultSize="0" autoFill="0" autoLine="0" autoPict="0">
                <anchor moveWithCells="1">
                  <from>
                    <xdr:col>21</xdr:col>
                    <xdr:colOff>9525</xdr:colOff>
                    <xdr:row>45</xdr:row>
                    <xdr:rowOff>438150</xdr:rowOff>
                  </from>
                  <to>
                    <xdr:col>21</xdr:col>
                    <xdr:colOff>247650</xdr:colOff>
                    <xdr:row>46</xdr:row>
                    <xdr:rowOff>0</xdr:rowOff>
                  </to>
                </anchor>
              </controlPr>
            </control>
          </mc:Choice>
        </mc:AlternateContent>
        <mc:AlternateContent xmlns:mc="http://schemas.openxmlformats.org/markup-compatibility/2006">
          <mc:Choice Requires="x14">
            <control shapeId="2203" r:id="rId27" name="Option Button 155">
              <controlPr defaultSize="0" autoFill="0" autoLine="0" autoPict="0">
                <anchor moveWithCells="1">
                  <from>
                    <xdr:col>21</xdr:col>
                    <xdr:colOff>9525</xdr:colOff>
                    <xdr:row>46</xdr:row>
                    <xdr:rowOff>438150</xdr:rowOff>
                  </from>
                  <to>
                    <xdr:col>21</xdr:col>
                    <xdr:colOff>247650</xdr:colOff>
                    <xdr:row>46</xdr:row>
                    <xdr:rowOff>628650</xdr:rowOff>
                  </to>
                </anchor>
              </controlPr>
            </control>
          </mc:Choice>
        </mc:AlternateContent>
        <mc:AlternateContent xmlns:mc="http://schemas.openxmlformats.org/markup-compatibility/2006">
          <mc:Choice Requires="x14">
            <control shapeId="2204" r:id="rId28" name="Option Button 156">
              <controlPr defaultSize="0" autoFill="0" autoLine="0" autoPict="0">
                <anchor moveWithCells="1">
                  <from>
                    <xdr:col>21</xdr:col>
                    <xdr:colOff>9525</xdr:colOff>
                    <xdr:row>47</xdr:row>
                    <xdr:rowOff>438150</xdr:rowOff>
                  </from>
                  <to>
                    <xdr:col>21</xdr:col>
                    <xdr:colOff>247650</xdr:colOff>
                    <xdr:row>47</xdr:row>
                    <xdr:rowOff>628650</xdr:rowOff>
                  </to>
                </anchor>
              </controlPr>
            </control>
          </mc:Choice>
        </mc:AlternateContent>
        <mc:AlternateContent xmlns:mc="http://schemas.openxmlformats.org/markup-compatibility/2006">
          <mc:Choice Requires="x14">
            <control shapeId="2205" r:id="rId29" name="Option Button 157">
              <controlPr defaultSize="0" autoFill="0" autoLine="0" autoPict="0">
                <anchor moveWithCells="1">
                  <from>
                    <xdr:col>22</xdr:col>
                    <xdr:colOff>9525</xdr:colOff>
                    <xdr:row>45</xdr:row>
                    <xdr:rowOff>438150</xdr:rowOff>
                  </from>
                  <to>
                    <xdr:col>22</xdr:col>
                    <xdr:colOff>247650</xdr:colOff>
                    <xdr:row>46</xdr:row>
                    <xdr:rowOff>0</xdr:rowOff>
                  </to>
                </anchor>
              </controlPr>
            </control>
          </mc:Choice>
        </mc:AlternateContent>
        <mc:AlternateContent xmlns:mc="http://schemas.openxmlformats.org/markup-compatibility/2006">
          <mc:Choice Requires="x14">
            <control shapeId="2206" r:id="rId30" name="Option Button 158">
              <controlPr defaultSize="0" autoFill="0" autoLine="0" autoPict="0">
                <anchor moveWithCells="1">
                  <from>
                    <xdr:col>22</xdr:col>
                    <xdr:colOff>9525</xdr:colOff>
                    <xdr:row>46</xdr:row>
                    <xdr:rowOff>438150</xdr:rowOff>
                  </from>
                  <to>
                    <xdr:col>22</xdr:col>
                    <xdr:colOff>247650</xdr:colOff>
                    <xdr:row>46</xdr:row>
                    <xdr:rowOff>628650</xdr:rowOff>
                  </to>
                </anchor>
              </controlPr>
            </control>
          </mc:Choice>
        </mc:AlternateContent>
        <mc:AlternateContent xmlns:mc="http://schemas.openxmlformats.org/markup-compatibility/2006">
          <mc:Choice Requires="x14">
            <control shapeId="2207" r:id="rId31" name="Option Button 159">
              <controlPr defaultSize="0" autoFill="0" autoLine="0" autoPict="0">
                <anchor moveWithCells="1">
                  <from>
                    <xdr:col>22</xdr:col>
                    <xdr:colOff>9525</xdr:colOff>
                    <xdr:row>47</xdr:row>
                    <xdr:rowOff>438150</xdr:rowOff>
                  </from>
                  <to>
                    <xdr:col>22</xdr:col>
                    <xdr:colOff>247650</xdr:colOff>
                    <xdr:row>47</xdr:row>
                    <xdr:rowOff>628650</xdr:rowOff>
                  </to>
                </anchor>
              </controlPr>
            </control>
          </mc:Choice>
        </mc:AlternateContent>
        <mc:AlternateContent xmlns:mc="http://schemas.openxmlformats.org/markup-compatibility/2006">
          <mc:Choice Requires="x14">
            <control shapeId="2208" r:id="rId32" name="Option Button 160">
              <controlPr defaultSize="0" autoFill="0" autoLine="0" autoPict="0">
                <anchor moveWithCells="1">
                  <from>
                    <xdr:col>23</xdr:col>
                    <xdr:colOff>9525</xdr:colOff>
                    <xdr:row>45</xdr:row>
                    <xdr:rowOff>438150</xdr:rowOff>
                  </from>
                  <to>
                    <xdr:col>23</xdr:col>
                    <xdr:colOff>247650</xdr:colOff>
                    <xdr:row>46</xdr:row>
                    <xdr:rowOff>0</xdr:rowOff>
                  </to>
                </anchor>
              </controlPr>
            </control>
          </mc:Choice>
        </mc:AlternateContent>
        <mc:AlternateContent xmlns:mc="http://schemas.openxmlformats.org/markup-compatibility/2006">
          <mc:Choice Requires="x14">
            <control shapeId="2209" r:id="rId33" name="Option Button 161">
              <controlPr defaultSize="0" autoFill="0" autoLine="0" autoPict="0">
                <anchor moveWithCells="1">
                  <from>
                    <xdr:col>23</xdr:col>
                    <xdr:colOff>9525</xdr:colOff>
                    <xdr:row>46</xdr:row>
                    <xdr:rowOff>438150</xdr:rowOff>
                  </from>
                  <to>
                    <xdr:col>23</xdr:col>
                    <xdr:colOff>247650</xdr:colOff>
                    <xdr:row>46</xdr:row>
                    <xdr:rowOff>628650</xdr:rowOff>
                  </to>
                </anchor>
              </controlPr>
            </control>
          </mc:Choice>
        </mc:AlternateContent>
        <mc:AlternateContent xmlns:mc="http://schemas.openxmlformats.org/markup-compatibility/2006">
          <mc:Choice Requires="x14">
            <control shapeId="2210" r:id="rId34" name="Option Button 162">
              <controlPr defaultSize="0" autoFill="0" autoLine="0" autoPict="0">
                <anchor moveWithCells="1">
                  <from>
                    <xdr:col>23</xdr:col>
                    <xdr:colOff>9525</xdr:colOff>
                    <xdr:row>47</xdr:row>
                    <xdr:rowOff>438150</xdr:rowOff>
                  </from>
                  <to>
                    <xdr:col>23</xdr:col>
                    <xdr:colOff>247650</xdr:colOff>
                    <xdr:row>47</xdr:row>
                    <xdr:rowOff>628650</xdr:rowOff>
                  </to>
                </anchor>
              </controlPr>
            </control>
          </mc:Choice>
        </mc:AlternateContent>
        <mc:AlternateContent xmlns:mc="http://schemas.openxmlformats.org/markup-compatibility/2006">
          <mc:Choice Requires="x14">
            <control shapeId="2248" r:id="rId35" name="Group Box 200">
              <controlPr defaultSize="0" autoFill="0" autoPict="0">
                <anchor moveWithCells="1">
                  <from>
                    <xdr:col>20</xdr:col>
                    <xdr:colOff>0</xdr:colOff>
                    <xdr:row>90</xdr:row>
                    <xdr:rowOff>9525</xdr:rowOff>
                  </from>
                  <to>
                    <xdr:col>25</xdr:col>
                    <xdr:colOff>0</xdr:colOff>
                    <xdr:row>91</xdr:row>
                    <xdr:rowOff>0</xdr:rowOff>
                  </to>
                </anchor>
              </controlPr>
            </control>
          </mc:Choice>
        </mc:AlternateContent>
        <mc:AlternateContent xmlns:mc="http://schemas.openxmlformats.org/markup-compatibility/2006">
          <mc:Choice Requires="x14">
            <control shapeId="2249" r:id="rId36" name="Group Box 201">
              <controlPr defaultSize="0" autoFill="0" autoPict="0">
                <anchor moveWithCells="1">
                  <from>
                    <xdr:col>20</xdr:col>
                    <xdr:colOff>0</xdr:colOff>
                    <xdr:row>91</xdr:row>
                    <xdr:rowOff>9525</xdr:rowOff>
                  </from>
                  <to>
                    <xdr:col>25</xdr:col>
                    <xdr:colOff>0</xdr:colOff>
                    <xdr:row>92</xdr:row>
                    <xdr:rowOff>0</xdr:rowOff>
                  </to>
                </anchor>
              </controlPr>
            </control>
          </mc:Choice>
        </mc:AlternateContent>
        <mc:AlternateContent xmlns:mc="http://schemas.openxmlformats.org/markup-compatibility/2006">
          <mc:Choice Requires="x14">
            <control shapeId="2250" r:id="rId37" name="Group Box 202">
              <controlPr defaultSize="0" autoFill="0" autoPict="0">
                <anchor moveWithCells="1">
                  <from>
                    <xdr:col>20</xdr:col>
                    <xdr:colOff>0</xdr:colOff>
                    <xdr:row>92</xdr:row>
                    <xdr:rowOff>9525</xdr:rowOff>
                  </from>
                  <to>
                    <xdr:col>25</xdr:col>
                    <xdr:colOff>0</xdr:colOff>
                    <xdr:row>93</xdr:row>
                    <xdr:rowOff>0</xdr:rowOff>
                  </to>
                </anchor>
              </controlPr>
            </control>
          </mc:Choice>
        </mc:AlternateContent>
        <mc:AlternateContent xmlns:mc="http://schemas.openxmlformats.org/markup-compatibility/2006">
          <mc:Choice Requires="x14">
            <control shapeId="2251" r:id="rId38" name="Option Button 203">
              <controlPr defaultSize="0" autoFill="0" autoLine="0" autoPict="0">
                <anchor moveWithCells="1">
                  <from>
                    <xdr:col>20</xdr:col>
                    <xdr:colOff>19050</xdr:colOff>
                    <xdr:row>90</xdr:row>
                    <xdr:rowOff>1076325</xdr:rowOff>
                  </from>
                  <to>
                    <xdr:col>21</xdr:col>
                    <xdr:colOff>0</xdr:colOff>
                    <xdr:row>90</xdr:row>
                    <xdr:rowOff>2533650</xdr:rowOff>
                  </to>
                </anchor>
              </controlPr>
            </control>
          </mc:Choice>
        </mc:AlternateContent>
        <mc:AlternateContent xmlns:mc="http://schemas.openxmlformats.org/markup-compatibility/2006">
          <mc:Choice Requires="x14">
            <control shapeId="2252" r:id="rId39" name="Option Button 204">
              <controlPr defaultSize="0" autoFill="0" autoLine="0" autoPict="0">
                <anchor moveWithCells="1">
                  <from>
                    <xdr:col>20</xdr:col>
                    <xdr:colOff>19050</xdr:colOff>
                    <xdr:row>91</xdr:row>
                    <xdr:rowOff>1076325</xdr:rowOff>
                  </from>
                  <to>
                    <xdr:col>21</xdr:col>
                    <xdr:colOff>0</xdr:colOff>
                    <xdr:row>91</xdr:row>
                    <xdr:rowOff>1266825</xdr:rowOff>
                  </to>
                </anchor>
              </controlPr>
            </control>
          </mc:Choice>
        </mc:AlternateContent>
        <mc:AlternateContent xmlns:mc="http://schemas.openxmlformats.org/markup-compatibility/2006">
          <mc:Choice Requires="x14">
            <control shapeId="2253" r:id="rId40" name="Option Button 205">
              <controlPr defaultSize="0" autoFill="0" autoLine="0" autoPict="0">
                <anchor moveWithCells="1">
                  <from>
                    <xdr:col>20</xdr:col>
                    <xdr:colOff>19050</xdr:colOff>
                    <xdr:row>92</xdr:row>
                    <xdr:rowOff>1076325</xdr:rowOff>
                  </from>
                  <to>
                    <xdr:col>21</xdr:col>
                    <xdr:colOff>0</xdr:colOff>
                    <xdr:row>92</xdr:row>
                    <xdr:rowOff>1266825</xdr:rowOff>
                  </to>
                </anchor>
              </controlPr>
            </control>
          </mc:Choice>
        </mc:AlternateContent>
        <mc:AlternateContent xmlns:mc="http://schemas.openxmlformats.org/markup-compatibility/2006">
          <mc:Choice Requires="x14">
            <control shapeId="2254" r:id="rId41" name="Option Button 206">
              <controlPr defaultSize="0" autoFill="0" autoLine="0" autoPict="0">
                <anchor moveWithCells="1">
                  <from>
                    <xdr:col>21</xdr:col>
                    <xdr:colOff>19050</xdr:colOff>
                    <xdr:row>90</xdr:row>
                    <xdr:rowOff>1076325</xdr:rowOff>
                  </from>
                  <to>
                    <xdr:col>22</xdr:col>
                    <xdr:colOff>0</xdr:colOff>
                    <xdr:row>90</xdr:row>
                    <xdr:rowOff>2533650</xdr:rowOff>
                  </to>
                </anchor>
              </controlPr>
            </control>
          </mc:Choice>
        </mc:AlternateContent>
        <mc:AlternateContent xmlns:mc="http://schemas.openxmlformats.org/markup-compatibility/2006">
          <mc:Choice Requires="x14">
            <control shapeId="2255" r:id="rId42" name="Option Button 207">
              <controlPr defaultSize="0" autoFill="0" autoLine="0" autoPict="0">
                <anchor moveWithCells="1">
                  <from>
                    <xdr:col>21</xdr:col>
                    <xdr:colOff>19050</xdr:colOff>
                    <xdr:row>91</xdr:row>
                    <xdr:rowOff>1076325</xdr:rowOff>
                  </from>
                  <to>
                    <xdr:col>22</xdr:col>
                    <xdr:colOff>0</xdr:colOff>
                    <xdr:row>91</xdr:row>
                    <xdr:rowOff>1266825</xdr:rowOff>
                  </to>
                </anchor>
              </controlPr>
            </control>
          </mc:Choice>
        </mc:AlternateContent>
        <mc:AlternateContent xmlns:mc="http://schemas.openxmlformats.org/markup-compatibility/2006">
          <mc:Choice Requires="x14">
            <control shapeId="2256" r:id="rId43" name="Option Button 208">
              <controlPr defaultSize="0" autoFill="0" autoLine="0" autoPict="0">
                <anchor moveWithCells="1">
                  <from>
                    <xdr:col>21</xdr:col>
                    <xdr:colOff>19050</xdr:colOff>
                    <xdr:row>92</xdr:row>
                    <xdr:rowOff>1076325</xdr:rowOff>
                  </from>
                  <to>
                    <xdr:col>22</xdr:col>
                    <xdr:colOff>0</xdr:colOff>
                    <xdr:row>92</xdr:row>
                    <xdr:rowOff>1266825</xdr:rowOff>
                  </to>
                </anchor>
              </controlPr>
            </control>
          </mc:Choice>
        </mc:AlternateContent>
        <mc:AlternateContent xmlns:mc="http://schemas.openxmlformats.org/markup-compatibility/2006">
          <mc:Choice Requires="x14">
            <control shapeId="2257" r:id="rId44" name="Option Button 209">
              <controlPr defaultSize="0" autoFill="0" autoLine="0" autoPict="0">
                <anchor moveWithCells="1">
                  <from>
                    <xdr:col>22</xdr:col>
                    <xdr:colOff>19050</xdr:colOff>
                    <xdr:row>90</xdr:row>
                    <xdr:rowOff>1076325</xdr:rowOff>
                  </from>
                  <to>
                    <xdr:col>23</xdr:col>
                    <xdr:colOff>0</xdr:colOff>
                    <xdr:row>90</xdr:row>
                    <xdr:rowOff>2533650</xdr:rowOff>
                  </to>
                </anchor>
              </controlPr>
            </control>
          </mc:Choice>
        </mc:AlternateContent>
        <mc:AlternateContent xmlns:mc="http://schemas.openxmlformats.org/markup-compatibility/2006">
          <mc:Choice Requires="x14">
            <control shapeId="2258" r:id="rId45" name="Option Button 210">
              <controlPr defaultSize="0" autoFill="0" autoLine="0" autoPict="0">
                <anchor moveWithCells="1">
                  <from>
                    <xdr:col>22</xdr:col>
                    <xdr:colOff>19050</xdr:colOff>
                    <xdr:row>91</xdr:row>
                    <xdr:rowOff>1076325</xdr:rowOff>
                  </from>
                  <to>
                    <xdr:col>23</xdr:col>
                    <xdr:colOff>0</xdr:colOff>
                    <xdr:row>91</xdr:row>
                    <xdr:rowOff>1266825</xdr:rowOff>
                  </to>
                </anchor>
              </controlPr>
            </control>
          </mc:Choice>
        </mc:AlternateContent>
        <mc:AlternateContent xmlns:mc="http://schemas.openxmlformats.org/markup-compatibility/2006">
          <mc:Choice Requires="x14">
            <control shapeId="2259" r:id="rId46" name="Option Button 211">
              <controlPr defaultSize="0" autoFill="0" autoLine="0" autoPict="0">
                <anchor moveWithCells="1">
                  <from>
                    <xdr:col>22</xdr:col>
                    <xdr:colOff>19050</xdr:colOff>
                    <xdr:row>92</xdr:row>
                    <xdr:rowOff>1076325</xdr:rowOff>
                  </from>
                  <to>
                    <xdr:col>23</xdr:col>
                    <xdr:colOff>0</xdr:colOff>
                    <xdr:row>92</xdr:row>
                    <xdr:rowOff>1266825</xdr:rowOff>
                  </to>
                </anchor>
              </controlPr>
            </control>
          </mc:Choice>
        </mc:AlternateContent>
        <mc:AlternateContent xmlns:mc="http://schemas.openxmlformats.org/markup-compatibility/2006">
          <mc:Choice Requires="x14">
            <control shapeId="2260" r:id="rId47" name="Option Button 212">
              <controlPr defaultSize="0" autoFill="0" autoLine="0" autoPict="0">
                <anchor moveWithCells="1">
                  <from>
                    <xdr:col>23</xdr:col>
                    <xdr:colOff>19050</xdr:colOff>
                    <xdr:row>90</xdr:row>
                    <xdr:rowOff>1076325</xdr:rowOff>
                  </from>
                  <to>
                    <xdr:col>24</xdr:col>
                    <xdr:colOff>0</xdr:colOff>
                    <xdr:row>90</xdr:row>
                    <xdr:rowOff>2533650</xdr:rowOff>
                  </to>
                </anchor>
              </controlPr>
            </control>
          </mc:Choice>
        </mc:AlternateContent>
        <mc:AlternateContent xmlns:mc="http://schemas.openxmlformats.org/markup-compatibility/2006">
          <mc:Choice Requires="x14">
            <control shapeId="2261" r:id="rId48" name="Option Button 213">
              <controlPr defaultSize="0" autoFill="0" autoLine="0" autoPict="0">
                <anchor moveWithCells="1">
                  <from>
                    <xdr:col>23</xdr:col>
                    <xdr:colOff>19050</xdr:colOff>
                    <xdr:row>91</xdr:row>
                    <xdr:rowOff>1076325</xdr:rowOff>
                  </from>
                  <to>
                    <xdr:col>24</xdr:col>
                    <xdr:colOff>0</xdr:colOff>
                    <xdr:row>91</xdr:row>
                    <xdr:rowOff>1266825</xdr:rowOff>
                  </to>
                </anchor>
              </controlPr>
            </control>
          </mc:Choice>
        </mc:AlternateContent>
        <mc:AlternateContent xmlns:mc="http://schemas.openxmlformats.org/markup-compatibility/2006">
          <mc:Choice Requires="x14">
            <control shapeId="2262" r:id="rId49" name="Option Button 214">
              <controlPr defaultSize="0" autoFill="0" autoLine="0" autoPict="0">
                <anchor moveWithCells="1">
                  <from>
                    <xdr:col>23</xdr:col>
                    <xdr:colOff>19050</xdr:colOff>
                    <xdr:row>92</xdr:row>
                    <xdr:rowOff>1076325</xdr:rowOff>
                  </from>
                  <to>
                    <xdr:col>24</xdr:col>
                    <xdr:colOff>0</xdr:colOff>
                    <xdr:row>92</xdr:row>
                    <xdr:rowOff>1266825</xdr:rowOff>
                  </to>
                </anchor>
              </controlPr>
            </control>
          </mc:Choice>
        </mc:AlternateContent>
        <mc:AlternateContent xmlns:mc="http://schemas.openxmlformats.org/markup-compatibility/2006">
          <mc:Choice Requires="x14">
            <control shapeId="2263" r:id="rId50" name="Option Button 215">
              <controlPr defaultSize="0" autoFill="0" autoLine="0" autoPict="0">
                <anchor moveWithCells="1">
                  <from>
                    <xdr:col>24</xdr:col>
                    <xdr:colOff>19050</xdr:colOff>
                    <xdr:row>90</xdr:row>
                    <xdr:rowOff>1076325</xdr:rowOff>
                  </from>
                  <to>
                    <xdr:col>25</xdr:col>
                    <xdr:colOff>0</xdr:colOff>
                    <xdr:row>90</xdr:row>
                    <xdr:rowOff>2533650</xdr:rowOff>
                  </to>
                </anchor>
              </controlPr>
            </control>
          </mc:Choice>
        </mc:AlternateContent>
        <mc:AlternateContent xmlns:mc="http://schemas.openxmlformats.org/markup-compatibility/2006">
          <mc:Choice Requires="x14">
            <control shapeId="2264" r:id="rId51" name="Option Button 216">
              <controlPr defaultSize="0" autoFill="0" autoLine="0" autoPict="0">
                <anchor moveWithCells="1">
                  <from>
                    <xdr:col>24</xdr:col>
                    <xdr:colOff>19050</xdr:colOff>
                    <xdr:row>91</xdr:row>
                    <xdr:rowOff>1076325</xdr:rowOff>
                  </from>
                  <to>
                    <xdr:col>25</xdr:col>
                    <xdr:colOff>0</xdr:colOff>
                    <xdr:row>91</xdr:row>
                    <xdr:rowOff>1266825</xdr:rowOff>
                  </to>
                </anchor>
              </controlPr>
            </control>
          </mc:Choice>
        </mc:AlternateContent>
        <mc:AlternateContent xmlns:mc="http://schemas.openxmlformats.org/markup-compatibility/2006">
          <mc:Choice Requires="x14">
            <control shapeId="2265" r:id="rId52" name="Option Button 217">
              <controlPr defaultSize="0" autoFill="0" autoLine="0" autoPict="0">
                <anchor moveWithCells="1">
                  <from>
                    <xdr:col>24</xdr:col>
                    <xdr:colOff>19050</xdr:colOff>
                    <xdr:row>92</xdr:row>
                    <xdr:rowOff>1076325</xdr:rowOff>
                  </from>
                  <to>
                    <xdr:col>25</xdr:col>
                    <xdr:colOff>0</xdr:colOff>
                    <xdr:row>92</xdr:row>
                    <xdr:rowOff>1266825</xdr:rowOff>
                  </to>
                </anchor>
              </controlPr>
            </control>
          </mc:Choice>
        </mc:AlternateContent>
        <mc:AlternateContent xmlns:mc="http://schemas.openxmlformats.org/markup-compatibility/2006">
          <mc:Choice Requires="x14">
            <control shapeId="2266" r:id="rId53" name="Group Box 218">
              <controlPr defaultSize="0" autoFill="0" autoPict="0">
                <anchor moveWithCells="1">
                  <from>
                    <xdr:col>20</xdr:col>
                    <xdr:colOff>0</xdr:colOff>
                    <xdr:row>104</xdr:row>
                    <xdr:rowOff>9525</xdr:rowOff>
                  </from>
                  <to>
                    <xdr:col>25</xdr:col>
                    <xdr:colOff>0</xdr:colOff>
                    <xdr:row>106</xdr:row>
                    <xdr:rowOff>0</xdr:rowOff>
                  </to>
                </anchor>
              </controlPr>
            </control>
          </mc:Choice>
        </mc:AlternateContent>
        <mc:AlternateContent xmlns:mc="http://schemas.openxmlformats.org/markup-compatibility/2006">
          <mc:Choice Requires="x14">
            <control shapeId="2270" r:id="rId54" name="Option Button 223">
              <controlPr defaultSize="0" autoFill="0" autoLine="0" autoPict="0">
                <anchor moveWithCells="1">
                  <from>
                    <xdr:col>20</xdr:col>
                    <xdr:colOff>19050</xdr:colOff>
                    <xdr:row>105</xdr:row>
                    <xdr:rowOff>200025</xdr:rowOff>
                  </from>
                  <to>
                    <xdr:col>21</xdr:col>
                    <xdr:colOff>0</xdr:colOff>
                    <xdr:row>106</xdr:row>
                    <xdr:rowOff>0</xdr:rowOff>
                  </to>
                </anchor>
              </controlPr>
            </control>
          </mc:Choice>
        </mc:AlternateContent>
        <mc:AlternateContent xmlns:mc="http://schemas.openxmlformats.org/markup-compatibility/2006">
          <mc:Choice Requires="x14">
            <control shapeId="2272" r:id="rId55" name="Option Button 224">
              <controlPr defaultSize="0" autoFill="0" autoLine="0" autoPict="0">
                <anchor moveWithCells="1">
                  <from>
                    <xdr:col>20</xdr:col>
                    <xdr:colOff>19050</xdr:colOff>
                    <xdr:row>108</xdr:row>
                    <xdr:rowOff>342900</xdr:rowOff>
                  </from>
                  <to>
                    <xdr:col>21</xdr:col>
                    <xdr:colOff>0</xdr:colOff>
                    <xdr:row>109</xdr:row>
                    <xdr:rowOff>752475</xdr:rowOff>
                  </to>
                </anchor>
              </controlPr>
            </control>
          </mc:Choice>
        </mc:AlternateContent>
        <mc:AlternateContent xmlns:mc="http://schemas.openxmlformats.org/markup-compatibility/2006">
          <mc:Choice Requires="x14">
            <control shapeId="2273" r:id="rId56" name="Option Button 225">
              <controlPr defaultSize="0" autoFill="0" autoLine="0" autoPict="0">
                <anchor moveWithCells="1">
                  <from>
                    <xdr:col>20</xdr:col>
                    <xdr:colOff>19050</xdr:colOff>
                    <xdr:row>110</xdr:row>
                    <xdr:rowOff>352425</xdr:rowOff>
                  </from>
                  <to>
                    <xdr:col>21</xdr:col>
                    <xdr:colOff>0</xdr:colOff>
                    <xdr:row>111</xdr:row>
                    <xdr:rowOff>704850</xdr:rowOff>
                  </to>
                </anchor>
              </controlPr>
            </control>
          </mc:Choice>
        </mc:AlternateContent>
        <mc:AlternateContent xmlns:mc="http://schemas.openxmlformats.org/markup-compatibility/2006">
          <mc:Choice Requires="x14">
            <control shapeId="2274" r:id="rId57" name="Option Button 226">
              <controlPr defaultSize="0" autoFill="0" autoLine="0" autoPict="0">
                <anchor moveWithCells="1">
                  <from>
                    <xdr:col>21</xdr:col>
                    <xdr:colOff>19050</xdr:colOff>
                    <xdr:row>105</xdr:row>
                    <xdr:rowOff>200025</xdr:rowOff>
                  </from>
                  <to>
                    <xdr:col>22</xdr:col>
                    <xdr:colOff>0</xdr:colOff>
                    <xdr:row>106</xdr:row>
                    <xdr:rowOff>0</xdr:rowOff>
                  </to>
                </anchor>
              </controlPr>
            </control>
          </mc:Choice>
        </mc:AlternateContent>
        <mc:AlternateContent xmlns:mc="http://schemas.openxmlformats.org/markup-compatibility/2006">
          <mc:Choice Requires="x14">
            <control shapeId="2276" r:id="rId58" name="Option Button 228">
              <controlPr defaultSize="0" autoFill="0" autoLine="0" autoPict="0">
                <anchor moveWithCells="1">
                  <from>
                    <xdr:col>21</xdr:col>
                    <xdr:colOff>19050</xdr:colOff>
                    <xdr:row>108</xdr:row>
                    <xdr:rowOff>342900</xdr:rowOff>
                  </from>
                  <to>
                    <xdr:col>22</xdr:col>
                    <xdr:colOff>0</xdr:colOff>
                    <xdr:row>109</xdr:row>
                    <xdr:rowOff>752475</xdr:rowOff>
                  </to>
                </anchor>
              </controlPr>
            </control>
          </mc:Choice>
        </mc:AlternateContent>
        <mc:AlternateContent xmlns:mc="http://schemas.openxmlformats.org/markup-compatibility/2006">
          <mc:Choice Requires="x14">
            <control shapeId="2277" r:id="rId59" name="Option Button 229">
              <controlPr defaultSize="0" autoFill="0" autoLine="0" autoPict="0">
                <anchor moveWithCells="1">
                  <from>
                    <xdr:col>21</xdr:col>
                    <xdr:colOff>19050</xdr:colOff>
                    <xdr:row>110</xdr:row>
                    <xdr:rowOff>352425</xdr:rowOff>
                  </from>
                  <to>
                    <xdr:col>22</xdr:col>
                    <xdr:colOff>0</xdr:colOff>
                    <xdr:row>111</xdr:row>
                    <xdr:rowOff>704850</xdr:rowOff>
                  </to>
                </anchor>
              </controlPr>
            </control>
          </mc:Choice>
        </mc:AlternateContent>
        <mc:AlternateContent xmlns:mc="http://schemas.openxmlformats.org/markup-compatibility/2006">
          <mc:Choice Requires="x14">
            <control shapeId="2278" r:id="rId60" name="Option Button 230">
              <controlPr defaultSize="0" autoFill="0" autoLine="0" autoPict="0">
                <anchor moveWithCells="1">
                  <from>
                    <xdr:col>22</xdr:col>
                    <xdr:colOff>19050</xdr:colOff>
                    <xdr:row>105</xdr:row>
                    <xdr:rowOff>209550</xdr:rowOff>
                  </from>
                  <to>
                    <xdr:col>23</xdr:col>
                    <xdr:colOff>0</xdr:colOff>
                    <xdr:row>106</xdr:row>
                    <xdr:rowOff>0</xdr:rowOff>
                  </to>
                </anchor>
              </controlPr>
            </control>
          </mc:Choice>
        </mc:AlternateContent>
        <mc:AlternateContent xmlns:mc="http://schemas.openxmlformats.org/markup-compatibility/2006">
          <mc:Choice Requires="x14">
            <control shapeId="2280" r:id="rId61" name="Option Button 232">
              <controlPr defaultSize="0" autoFill="0" autoLine="0" autoPict="0">
                <anchor moveWithCells="1">
                  <from>
                    <xdr:col>22</xdr:col>
                    <xdr:colOff>19050</xdr:colOff>
                    <xdr:row>108</xdr:row>
                    <xdr:rowOff>352425</xdr:rowOff>
                  </from>
                  <to>
                    <xdr:col>23</xdr:col>
                    <xdr:colOff>0</xdr:colOff>
                    <xdr:row>109</xdr:row>
                    <xdr:rowOff>752475</xdr:rowOff>
                  </to>
                </anchor>
              </controlPr>
            </control>
          </mc:Choice>
        </mc:AlternateContent>
        <mc:AlternateContent xmlns:mc="http://schemas.openxmlformats.org/markup-compatibility/2006">
          <mc:Choice Requires="x14">
            <control shapeId="2281" r:id="rId62" name="Option Button 233">
              <controlPr defaultSize="0" autoFill="0" autoLine="0" autoPict="0">
                <anchor moveWithCells="1">
                  <from>
                    <xdr:col>22</xdr:col>
                    <xdr:colOff>19050</xdr:colOff>
                    <xdr:row>110</xdr:row>
                    <xdr:rowOff>361950</xdr:rowOff>
                  </from>
                  <to>
                    <xdr:col>23</xdr:col>
                    <xdr:colOff>0</xdr:colOff>
                    <xdr:row>111</xdr:row>
                    <xdr:rowOff>704850</xdr:rowOff>
                  </to>
                </anchor>
              </controlPr>
            </control>
          </mc:Choice>
        </mc:AlternateContent>
        <mc:AlternateContent xmlns:mc="http://schemas.openxmlformats.org/markup-compatibility/2006">
          <mc:Choice Requires="x14">
            <control shapeId="2282" r:id="rId63" name="Option Button 234">
              <controlPr defaultSize="0" autoFill="0" autoLine="0" autoPict="0">
                <anchor moveWithCells="1">
                  <from>
                    <xdr:col>23</xdr:col>
                    <xdr:colOff>19050</xdr:colOff>
                    <xdr:row>105</xdr:row>
                    <xdr:rowOff>209550</xdr:rowOff>
                  </from>
                  <to>
                    <xdr:col>24</xdr:col>
                    <xdr:colOff>0</xdr:colOff>
                    <xdr:row>106</xdr:row>
                    <xdr:rowOff>0</xdr:rowOff>
                  </to>
                </anchor>
              </controlPr>
            </control>
          </mc:Choice>
        </mc:AlternateContent>
        <mc:AlternateContent xmlns:mc="http://schemas.openxmlformats.org/markup-compatibility/2006">
          <mc:Choice Requires="x14">
            <control shapeId="2284" r:id="rId64" name="Option Button 236">
              <controlPr defaultSize="0" autoFill="0" autoLine="0" autoPict="0">
                <anchor moveWithCells="1">
                  <from>
                    <xdr:col>23</xdr:col>
                    <xdr:colOff>19050</xdr:colOff>
                    <xdr:row>108</xdr:row>
                    <xdr:rowOff>352425</xdr:rowOff>
                  </from>
                  <to>
                    <xdr:col>24</xdr:col>
                    <xdr:colOff>0</xdr:colOff>
                    <xdr:row>109</xdr:row>
                    <xdr:rowOff>752475</xdr:rowOff>
                  </to>
                </anchor>
              </controlPr>
            </control>
          </mc:Choice>
        </mc:AlternateContent>
        <mc:AlternateContent xmlns:mc="http://schemas.openxmlformats.org/markup-compatibility/2006">
          <mc:Choice Requires="x14">
            <control shapeId="2285" r:id="rId65" name="Option Button 237">
              <controlPr defaultSize="0" autoFill="0" autoLine="0" autoPict="0">
                <anchor moveWithCells="1">
                  <from>
                    <xdr:col>23</xdr:col>
                    <xdr:colOff>19050</xdr:colOff>
                    <xdr:row>110</xdr:row>
                    <xdr:rowOff>361950</xdr:rowOff>
                  </from>
                  <to>
                    <xdr:col>24</xdr:col>
                    <xdr:colOff>0</xdr:colOff>
                    <xdr:row>111</xdr:row>
                    <xdr:rowOff>704850</xdr:rowOff>
                  </to>
                </anchor>
              </controlPr>
            </control>
          </mc:Choice>
        </mc:AlternateContent>
        <mc:AlternateContent xmlns:mc="http://schemas.openxmlformats.org/markup-compatibility/2006">
          <mc:Choice Requires="x14">
            <control shapeId="2286" r:id="rId66" name="Option Button 238">
              <controlPr defaultSize="0" autoFill="0" autoLine="0" autoPict="0">
                <anchor moveWithCells="1">
                  <from>
                    <xdr:col>24</xdr:col>
                    <xdr:colOff>19050</xdr:colOff>
                    <xdr:row>105</xdr:row>
                    <xdr:rowOff>228600</xdr:rowOff>
                  </from>
                  <to>
                    <xdr:col>25</xdr:col>
                    <xdr:colOff>0</xdr:colOff>
                    <xdr:row>106</xdr:row>
                    <xdr:rowOff>0</xdr:rowOff>
                  </to>
                </anchor>
              </controlPr>
            </control>
          </mc:Choice>
        </mc:AlternateContent>
        <mc:AlternateContent xmlns:mc="http://schemas.openxmlformats.org/markup-compatibility/2006">
          <mc:Choice Requires="x14">
            <control shapeId="2288" r:id="rId67" name="Option Button 240">
              <controlPr defaultSize="0" autoFill="0" autoLine="0" autoPict="0">
                <anchor moveWithCells="1">
                  <from>
                    <xdr:col>24</xdr:col>
                    <xdr:colOff>19050</xdr:colOff>
                    <xdr:row>109</xdr:row>
                    <xdr:rowOff>0</xdr:rowOff>
                  </from>
                  <to>
                    <xdr:col>25</xdr:col>
                    <xdr:colOff>0</xdr:colOff>
                    <xdr:row>109</xdr:row>
                    <xdr:rowOff>752475</xdr:rowOff>
                  </to>
                </anchor>
              </controlPr>
            </control>
          </mc:Choice>
        </mc:AlternateContent>
        <mc:AlternateContent xmlns:mc="http://schemas.openxmlformats.org/markup-compatibility/2006">
          <mc:Choice Requires="x14">
            <control shapeId="2289" r:id="rId68" name="Option Button 241">
              <controlPr defaultSize="0" autoFill="0" autoLine="0" autoPict="0">
                <anchor moveWithCells="1">
                  <from>
                    <xdr:col>24</xdr:col>
                    <xdr:colOff>19050</xdr:colOff>
                    <xdr:row>111</xdr:row>
                    <xdr:rowOff>9525</xdr:rowOff>
                  </from>
                  <to>
                    <xdr:col>25</xdr:col>
                    <xdr:colOff>0</xdr:colOff>
                    <xdr:row>111</xdr:row>
                    <xdr:rowOff>704850</xdr:rowOff>
                  </to>
                </anchor>
              </controlPr>
            </control>
          </mc:Choice>
        </mc:AlternateContent>
        <mc:AlternateContent xmlns:mc="http://schemas.openxmlformats.org/markup-compatibility/2006">
          <mc:Choice Requires="x14">
            <control shapeId="2290" r:id="rId69" name="Group Box 242">
              <controlPr defaultSize="0" autoFill="0" autoPict="0">
                <anchor moveWithCells="1">
                  <from>
                    <xdr:col>20</xdr:col>
                    <xdr:colOff>0</xdr:colOff>
                    <xdr:row>120</xdr:row>
                    <xdr:rowOff>9525</xdr:rowOff>
                  </from>
                  <to>
                    <xdr:col>25</xdr:col>
                    <xdr:colOff>0</xdr:colOff>
                    <xdr:row>121</xdr:row>
                    <xdr:rowOff>9525</xdr:rowOff>
                  </to>
                </anchor>
              </controlPr>
            </control>
          </mc:Choice>
        </mc:AlternateContent>
        <mc:AlternateContent xmlns:mc="http://schemas.openxmlformats.org/markup-compatibility/2006">
          <mc:Choice Requires="x14">
            <control shapeId="2292" r:id="rId70" name="Group Box 244">
              <controlPr defaultSize="0" autoFill="0" autoPict="0">
                <anchor moveWithCells="1">
                  <from>
                    <xdr:col>20</xdr:col>
                    <xdr:colOff>0</xdr:colOff>
                    <xdr:row>121</xdr:row>
                    <xdr:rowOff>9525</xdr:rowOff>
                  </from>
                  <to>
                    <xdr:col>25</xdr:col>
                    <xdr:colOff>0</xdr:colOff>
                    <xdr:row>122</xdr:row>
                    <xdr:rowOff>9525</xdr:rowOff>
                  </to>
                </anchor>
              </controlPr>
            </control>
          </mc:Choice>
        </mc:AlternateContent>
        <mc:AlternateContent xmlns:mc="http://schemas.openxmlformats.org/markup-compatibility/2006">
          <mc:Choice Requires="x14">
            <control shapeId="2294" r:id="rId71" name="Group Box 246">
              <controlPr defaultSize="0" autoFill="0" autoPict="0">
                <anchor moveWithCells="1">
                  <from>
                    <xdr:col>20</xdr:col>
                    <xdr:colOff>0</xdr:colOff>
                    <xdr:row>123</xdr:row>
                    <xdr:rowOff>9525</xdr:rowOff>
                  </from>
                  <to>
                    <xdr:col>25</xdr:col>
                    <xdr:colOff>0</xdr:colOff>
                    <xdr:row>124</xdr:row>
                    <xdr:rowOff>0</xdr:rowOff>
                  </to>
                </anchor>
              </controlPr>
            </control>
          </mc:Choice>
        </mc:AlternateContent>
        <mc:AlternateContent xmlns:mc="http://schemas.openxmlformats.org/markup-compatibility/2006">
          <mc:Choice Requires="x14">
            <control shapeId="2295" r:id="rId72" name="Option Button 247">
              <controlPr defaultSize="0" autoFill="0" autoLine="0" autoPict="0">
                <anchor moveWithCells="1">
                  <from>
                    <xdr:col>20</xdr:col>
                    <xdr:colOff>19050</xdr:colOff>
                    <xdr:row>120</xdr:row>
                    <xdr:rowOff>638175</xdr:rowOff>
                  </from>
                  <to>
                    <xdr:col>21</xdr:col>
                    <xdr:colOff>0</xdr:colOff>
                    <xdr:row>120</xdr:row>
                    <xdr:rowOff>1428750</xdr:rowOff>
                  </to>
                </anchor>
              </controlPr>
            </control>
          </mc:Choice>
        </mc:AlternateContent>
        <mc:AlternateContent xmlns:mc="http://schemas.openxmlformats.org/markup-compatibility/2006">
          <mc:Choice Requires="x14">
            <control shapeId="2296" r:id="rId73" name="Option Button 248">
              <controlPr defaultSize="0" autoFill="0" autoLine="0" autoPict="0">
                <anchor moveWithCells="1">
                  <from>
                    <xdr:col>20</xdr:col>
                    <xdr:colOff>19050</xdr:colOff>
                    <xdr:row>121</xdr:row>
                    <xdr:rowOff>638175</xdr:rowOff>
                  </from>
                  <to>
                    <xdr:col>21</xdr:col>
                    <xdr:colOff>0</xdr:colOff>
                    <xdr:row>121</xdr:row>
                    <xdr:rowOff>800100</xdr:rowOff>
                  </to>
                </anchor>
              </controlPr>
            </control>
          </mc:Choice>
        </mc:AlternateContent>
        <mc:AlternateContent xmlns:mc="http://schemas.openxmlformats.org/markup-compatibility/2006">
          <mc:Choice Requires="x14">
            <control shapeId="2297" r:id="rId74" name="Option Button 249">
              <controlPr defaultSize="0" autoFill="0" autoLine="0" autoPict="0">
                <anchor moveWithCells="1">
                  <from>
                    <xdr:col>20</xdr:col>
                    <xdr:colOff>19050</xdr:colOff>
                    <xdr:row>122</xdr:row>
                    <xdr:rowOff>638175</xdr:rowOff>
                  </from>
                  <to>
                    <xdr:col>21</xdr:col>
                    <xdr:colOff>0</xdr:colOff>
                    <xdr:row>122</xdr:row>
                    <xdr:rowOff>800100</xdr:rowOff>
                  </to>
                </anchor>
              </controlPr>
            </control>
          </mc:Choice>
        </mc:AlternateContent>
        <mc:AlternateContent xmlns:mc="http://schemas.openxmlformats.org/markup-compatibility/2006">
          <mc:Choice Requires="x14">
            <control shapeId="2298" r:id="rId75" name="Option Button 250">
              <controlPr defaultSize="0" autoFill="0" autoLine="0" autoPict="0">
                <anchor moveWithCells="1">
                  <from>
                    <xdr:col>20</xdr:col>
                    <xdr:colOff>19050</xdr:colOff>
                    <xdr:row>123</xdr:row>
                    <xdr:rowOff>638175</xdr:rowOff>
                  </from>
                  <to>
                    <xdr:col>21</xdr:col>
                    <xdr:colOff>0</xdr:colOff>
                    <xdr:row>123</xdr:row>
                    <xdr:rowOff>800100</xdr:rowOff>
                  </to>
                </anchor>
              </controlPr>
            </control>
          </mc:Choice>
        </mc:AlternateContent>
        <mc:AlternateContent xmlns:mc="http://schemas.openxmlformats.org/markup-compatibility/2006">
          <mc:Choice Requires="x14">
            <control shapeId="2299" r:id="rId76" name="Option Button 251">
              <controlPr defaultSize="0" autoFill="0" autoLine="0" autoPict="0">
                <anchor moveWithCells="1">
                  <from>
                    <xdr:col>21</xdr:col>
                    <xdr:colOff>19050</xdr:colOff>
                    <xdr:row>120</xdr:row>
                    <xdr:rowOff>638175</xdr:rowOff>
                  </from>
                  <to>
                    <xdr:col>22</xdr:col>
                    <xdr:colOff>0</xdr:colOff>
                    <xdr:row>120</xdr:row>
                    <xdr:rowOff>1428750</xdr:rowOff>
                  </to>
                </anchor>
              </controlPr>
            </control>
          </mc:Choice>
        </mc:AlternateContent>
        <mc:AlternateContent xmlns:mc="http://schemas.openxmlformats.org/markup-compatibility/2006">
          <mc:Choice Requires="x14">
            <control shapeId="2300" r:id="rId77" name="Option Button 252">
              <controlPr defaultSize="0" autoFill="0" autoLine="0" autoPict="0">
                <anchor moveWithCells="1">
                  <from>
                    <xdr:col>21</xdr:col>
                    <xdr:colOff>19050</xdr:colOff>
                    <xdr:row>121</xdr:row>
                    <xdr:rowOff>638175</xdr:rowOff>
                  </from>
                  <to>
                    <xdr:col>22</xdr:col>
                    <xdr:colOff>0</xdr:colOff>
                    <xdr:row>121</xdr:row>
                    <xdr:rowOff>800100</xdr:rowOff>
                  </to>
                </anchor>
              </controlPr>
            </control>
          </mc:Choice>
        </mc:AlternateContent>
        <mc:AlternateContent xmlns:mc="http://schemas.openxmlformats.org/markup-compatibility/2006">
          <mc:Choice Requires="x14">
            <control shapeId="2301" r:id="rId78" name="Option Button 253">
              <controlPr defaultSize="0" autoFill="0" autoLine="0" autoPict="0">
                <anchor moveWithCells="1">
                  <from>
                    <xdr:col>21</xdr:col>
                    <xdr:colOff>19050</xdr:colOff>
                    <xdr:row>122</xdr:row>
                    <xdr:rowOff>638175</xdr:rowOff>
                  </from>
                  <to>
                    <xdr:col>22</xdr:col>
                    <xdr:colOff>0</xdr:colOff>
                    <xdr:row>122</xdr:row>
                    <xdr:rowOff>800100</xdr:rowOff>
                  </to>
                </anchor>
              </controlPr>
            </control>
          </mc:Choice>
        </mc:AlternateContent>
        <mc:AlternateContent xmlns:mc="http://schemas.openxmlformats.org/markup-compatibility/2006">
          <mc:Choice Requires="x14">
            <control shapeId="2302" r:id="rId79" name="Option Button 254">
              <controlPr defaultSize="0" autoFill="0" autoLine="0" autoPict="0">
                <anchor moveWithCells="1">
                  <from>
                    <xdr:col>21</xdr:col>
                    <xdr:colOff>19050</xdr:colOff>
                    <xdr:row>123</xdr:row>
                    <xdr:rowOff>638175</xdr:rowOff>
                  </from>
                  <to>
                    <xdr:col>22</xdr:col>
                    <xdr:colOff>0</xdr:colOff>
                    <xdr:row>123</xdr:row>
                    <xdr:rowOff>800100</xdr:rowOff>
                  </to>
                </anchor>
              </controlPr>
            </control>
          </mc:Choice>
        </mc:AlternateContent>
        <mc:AlternateContent xmlns:mc="http://schemas.openxmlformats.org/markup-compatibility/2006">
          <mc:Choice Requires="x14">
            <control shapeId="2303" r:id="rId80" name="Option Button 255">
              <controlPr defaultSize="0" autoFill="0" autoLine="0" autoPict="0">
                <anchor moveWithCells="1">
                  <from>
                    <xdr:col>22</xdr:col>
                    <xdr:colOff>19050</xdr:colOff>
                    <xdr:row>120</xdr:row>
                    <xdr:rowOff>638175</xdr:rowOff>
                  </from>
                  <to>
                    <xdr:col>23</xdr:col>
                    <xdr:colOff>0</xdr:colOff>
                    <xdr:row>120</xdr:row>
                    <xdr:rowOff>1428750</xdr:rowOff>
                  </to>
                </anchor>
              </controlPr>
            </control>
          </mc:Choice>
        </mc:AlternateContent>
        <mc:AlternateContent xmlns:mc="http://schemas.openxmlformats.org/markup-compatibility/2006">
          <mc:Choice Requires="x14">
            <control shapeId="2304" r:id="rId81" name="Option Button 256">
              <controlPr defaultSize="0" autoFill="0" autoLine="0" autoPict="0">
                <anchor moveWithCells="1">
                  <from>
                    <xdr:col>22</xdr:col>
                    <xdr:colOff>19050</xdr:colOff>
                    <xdr:row>121</xdr:row>
                    <xdr:rowOff>638175</xdr:rowOff>
                  </from>
                  <to>
                    <xdr:col>23</xdr:col>
                    <xdr:colOff>0</xdr:colOff>
                    <xdr:row>121</xdr:row>
                    <xdr:rowOff>800100</xdr:rowOff>
                  </to>
                </anchor>
              </controlPr>
            </control>
          </mc:Choice>
        </mc:AlternateContent>
        <mc:AlternateContent xmlns:mc="http://schemas.openxmlformats.org/markup-compatibility/2006">
          <mc:Choice Requires="x14">
            <control shapeId="2305" r:id="rId82" name="Option Button 257">
              <controlPr defaultSize="0" autoFill="0" autoLine="0" autoPict="0">
                <anchor moveWithCells="1">
                  <from>
                    <xdr:col>22</xdr:col>
                    <xdr:colOff>19050</xdr:colOff>
                    <xdr:row>122</xdr:row>
                    <xdr:rowOff>638175</xdr:rowOff>
                  </from>
                  <to>
                    <xdr:col>23</xdr:col>
                    <xdr:colOff>0</xdr:colOff>
                    <xdr:row>122</xdr:row>
                    <xdr:rowOff>800100</xdr:rowOff>
                  </to>
                </anchor>
              </controlPr>
            </control>
          </mc:Choice>
        </mc:AlternateContent>
        <mc:AlternateContent xmlns:mc="http://schemas.openxmlformats.org/markup-compatibility/2006">
          <mc:Choice Requires="x14">
            <control shapeId="2306" r:id="rId83" name="Option Button 258">
              <controlPr defaultSize="0" autoFill="0" autoLine="0" autoPict="0">
                <anchor moveWithCells="1">
                  <from>
                    <xdr:col>22</xdr:col>
                    <xdr:colOff>19050</xdr:colOff>
                    <xdr:row>123</xdr:row>
                    <xdr:rowOff>638175</xdr:rowOff>
                  </from>
                  <to>
                    <xdr:col>23</xdr:col>
                    <xdr:colOff>0</xdr:colOff>
                    <xdr:row>123</xdr:row>
                    <xdr:rowOff>800100</xdr:rowOff>
                  </to>
                </anchor>
              </controlPr>
            </control>
          </mc:Choice>
        </mc:AlternateContent>
        <mc:AlternateContent xmlns:mc="http://schemas.openxmlformats.org/markup-compatibility/2006">
          <mc:Choice Requires="x14">
            <control shapeId="2307" r:id="rId84" name="Option Button 259">
              <controlPr defaultSize="0" autoFill="0" autoLine="0" autoPict="0">
                <anchor moveWithCells="1">
                  <from>
                    <xdr:col>23</xdr:col>
                    <xdr:colOff>19050</xdr:colOff>
                    <xdr:row>120</xdr:row>
                    <xdr:rowOff>638175</xdr:rowOff>
                  </from>
                  <to>
                    <xdr:col>24</xdr:col>
                    <xdr:colOff>0</xdr:colOff>
                    <xdr:row>120</xdr:row>
                    <xdr:rowOff>1428750</xdr:rowOff>
                  </to>
                </anchor>
              </controlPr>
            </control>
          </mc:Choice>
        </mc:AlternateContent>
        <mc:AlternateContent xmlns:mc="http://schemas.openxmlformats.org/markup-compatibility/2006">
          <mc:Choice Requires="x14">
            <control shapeId="2308" r:id="rId85" name="Option Button 260">
              <controlPr defaultSize="0" autoFill="0" autoLine="0" autoPict="0">
                <anchor moveWithCells="1">
                  <from>
                    <xdr:col>23</xdr:col>
                    <xdr:colOff>19050</xdr:colOff>
                    <xdr:row>121</xdr:row>
                    <xdr:rowOff>638175</xdr:rowOff>
                  </from>
                  <to>
                    <xdr:col>24</xdr:col>
                    <xdr:colOff>0</xdr:colOff>
                    <xdr:row>121</xdr:row>
                    <xdr:rowOff>800100</xdr:rowOff>
                  </to>
                </anchor>
              </controlPr>
            </control>
          </mc:Choice>
        </mc:AlternateContent>
        <mc:AlternateContent xmlns:mc="http://schemas.openxmlformats.org/markup-compatibility/2006">
          <mc:Choice Requires="x14">
            <control shapeId="2309" r:id="rId86" name="Option Button 261">
              <controlPr defaultSize="0" autoFill="0" autoLine="0" autoPict="0">
                <anchor moveWithCells="1">
                  <from>
                    <xdr:col>23</xdr:col>
                    <xdr:colOff>19050</xdr:colOff>
                    <xdr:row>122</xdr:row>
                    <xdr:rowOff>638175</xdr:rowOff>
                  </from>
                  <to>
                    <xdr:col>24</xdr:col>
                    <xdr:colOff>0</xdr:colOff>
                    <xdr:row>122</xdr:row>
                    <xdr:rowOff>800100</xdr:rowOff>
                  </to>
                </anchor>
              </controlPr>
            </control>
          </mc:Choice>
        </mc:AlternateContent>
        <mc:AlternateContent xmlns:mc="http://schemas.openxmlformats.org/markup-compatibility/2006">
          <mc:Choice Requires="x14">
            <control shapeId="2310" r:id="rId87" name="Option Button 262">
              <controlPr defaultSize="0" autoFill="0" autoLine="0" autoPict="0">
                <anchor moveWithCells="1">
                  <from>
                    <xdr:col>23</xdr:col>
                    <xdr:colOff>19050</xdr:colOff>
                    <xdr:row>123</xdr:row>
                    <xdr:rowOff>638175</xdr:rowOff>
                  </from>
                  <to>
                    <xdr:col>24</xdr:col>
                    <xdr:colOff>0</xdr:colOff>
                    <xdr:row>123</xdr:row>
                    <xdr:rowOff>800100</xdr:rowOff>
                  </to>
                </anchor>
              </controlPr>
            </control>
          </mc:Choice>
        </mc:AlternateContent>
        <mc:AlternateContent xmlns:mc="http://schemas.openxmlformats.org/markup-compatibility/2006">
          <mc:Choice Requires="x14">
            <control shapeId="2311" r:id="rId88" name="Option Button 263">
              <controlPr defaultSize="0" autoFill="0" autoLine="0" autoPict="0">
                <anchor moveWithCells="1">
                  <from>
                    <xdr:col>24</xdr:col>
                    <xdr:colOff>19050</xdr:colOff>
                    <xdr:row>120</xdr:row>
                    <xdr:rowOff>638175</xdr:rowOff>
                  </from>
                  <to>
                    <xdr:col>25</xdr:col>
                    <xdr:colOff>0</xdr:colOff>
                    <xdr:row>120</xdr:row>
                    <xdr:rowOff>1428750</xdr:rowOff>
                  </to>
                </anchor>
              </controlPr>
            </control>
          </mc:Choice>
        </mc:AlternateContent>
        <mc:AlternateContent xmlns:mc="http://schemas.openxmlformats.org/markup-compatibility/2006">
          <mc:Choice Requires="x14">
            <control shapeId="2312" r:id="rId89" name="Option Button 264">
              <controlPr defaultSize="0" autoFill="0" autoLine="0" autoPict="0">
                <anchor moveWithCells="1">
                  <from>
                    <xdr:col>24</xdr:col>
                    <xdr:colOff>19050</xdr:colOff>
                    <xdr:row>121</xdr:row>
                    <xdr:rowOff>638175</xdr:rowOff>
                  </from>
                  <to>
                    <xdr:col>25</xdr:col>
                    <xdr:colOff>0</xdr:colOff>
                    <xdr:row>121</xdr:row>
                    <xdr:rowOff>800100</xdr:rowOff>
                  </to>
                </anchor>
              </controlPr>
            </control>
          </mc:Choice>
        </mc:AlternateContent>
        <mc:AlternateContent xmlns:mc="http://schemas.openxmlformats.org/markup-compatibility/2006">
          <mc:Choice Requires="x14">
            <control shapeId="2313" r:id="rId90" name="Option Button 265">
              <controlPr defaultSize="0" autoFill="0" autoLine="0" autoPict="0">
                <anchor moveWithCells="1">
                  <from>
                    <xdr:col>24</xdr:col>
                    <xdr:colOff>19050</xdr:colOff>
                    <xdr:row>122</xdr:row>
                    <xdr:rowOff>638175</xdr:rowOff>
                  </from>
                  <to>
                    <xdr:col>25</xdr:col>
                    <xdr:colOff>0</xdr:colOff>
                    <xdr:row>122</xdr:row>
                    <xdr:rowOff>800100</xdr:rowOff>
                  </to>
                </anchor>
              </controlPr>
            </control>
          </mc:Choice>
        </mc:AlternateContent>
        <mc:AlternateContent xmlns:mc="http://schemas.openxmlformats.org/markup-compatibility/2006">
          <mc:Choice Requires="x14">
            <control shapeId="2314" r:id="rId91" name="Option Button 266">
              <controlPr defaultSize="0" autoFill="0" autoLine="0" autoPict="0">
                <anchor moveWithCells="1">
                  <from>
                    <xdr:col>24</xdr:col>
                    <xdr:colOff>19050</xdr:colOff>
                    <xdr:row>123</xdr:row>
                    <xdr:rowOff>638175</xdr:rowOff>
                  </from>
                  <to>
                    <xdr:col>25</xdr:col>
                    <xdr:colOff>0</xdr:colOff>
                    <xdr:row>123</xdr:row>
                    <xdr:rowOff>800100</xdr:rowOff>
                  </to>
                </anchor>
              </controlPr>
            </control>
          </mc:Choice>
        </mc:AlternateContent>
        <mc:AlternateContent xmlns:mc="http://schemas.openxmlformats.org/markup-compatibility/2006">
          <mc:Choice Requires="x14">
            <control shapeId="2166" r:id="rId92" name="Group Box 118">
              <controlPr defaultSize="0" autoFill="0" autoPict="0">
                <anchor moveWithCells="1">
                  <from>
                    <xdr:col>19</xdr:col>
                    <xdr:colOff>0</xdr:colOff>
                    <xdr:row>35</xdr:row>
                    <xdr:rowOff>0</xdr:rowOff>
                  </from>
                  <to>
                    <xdr:col>24</xdr:col>
                    <xdr:colOff>0</xdr:colOff>
                    <xdr:row>35</xdr:row>
                    <xdr:rowOff>504825</xdr:rowOff>
                  </to>
                </anchor>
              </controlPr>
            </control>
          </mc:Choice>
        </mc:AlternateContent>
        <mc:AlternateContent xmlns:mc="http://schemas.openxmlformats.org/markup-compatibility/2006">
          <mc:Choice Requires="x14">
            <control shapeId="2193" r:id="rId93" name="Group Box 145">
              <controlPr defaultSize="0" autoFill="0" autoPict="0">
                <anchor moveWithCells="1">
                  <from>
                    <xdr:col>20</xdr:col>
                    <xdr:colOff>0</xdr:colOff>
                    <xdr:row>45</xdr:row>
                    <xdr:rowOff>9525</xdr:rowOff>
                  </from>
                  <to>
                    <xdr:col>25</xdr:col>
                    <xdr:colOff>0</xdr:colOff>
                    <xdr:row>46</xdr:row>
                    <xdr:rowOff>0</xdr:rowOff>
                  </to>
                </anchor>
              </controlPr>
            </control>
          </mc:Choice>
        </mc:AlternateContent>
        <mc:AlternateContent xmlns:mc="http://schemas.openxmlformats.org/markup-compatibility/2006">
          <mc:Choice Requires="x14">
            <control shapeId="2194" r:id="rId94" name="Group Box 146">
              <controlPr defaultSize="0" autoFill="0" autoPict="0">
                <anchor moveWithCells="1">
                  <from>
                    <xdr:col>20</xdr:col>
                    <xdr:colOff>0</xdr:colOff>
                    <xdr:row>46</xdr:row>
                    <xdr:rowOff>9525</xdr:rowOff>
                  </from>
                  <to>
                    <xdr:col>25</xdr:col>
                    <xdr:colOff>0</xdr:colOff>
                    <xdr:row>47</xdr:row>
                    <xdr:rowOff>0</xdr:rowOff>
                  </to>
                </anchor>
              </controlPr>
            </control>
          </mc:Choice>
        </mc:AlternateContent>
        <mc:AlternateContent xmlns:mc="http://schemas.openxmlformats.org/markup-compatibility/2006">
          <mc:Choice Requires="x14">
            <control shapeId="2195" r:id="rId95" name="Group Box 147">
              <controlPr defaultSize="0" autoFill="0" autoPict="0">
                <anchor moveWithCells="1">
                  <from>
                    <xdr:col>20</xdr:col>
                    <xdr:colOff>0</xdr:colOff>
                    <xdr:row>47</xdr:row>
                    <xdr:rowOff>9525</xdr:rowOff>
                  </from>
                  <to>
                    <xdr:col>25</xdr:col>
                    <xdr:colOff>0</xdr:colOff>
                    <xdr:row>48</xdr:row>
                    <xdr:rowOff>0</xdr:rowOff>
                  </to>
                </anchor>
              </controlPr>
            </control>
          </mc:Choice>
        </mc:AlternateContent>
        <mc:AlternateContent xmlns:mc="http://schemas.openxmlformats.org/markup-compatibility/2006">
          <mc:Choice Requires="x14">
            <control shapeId="2268" r:id="rId96" name="Group Box 220">
              <controlPr defaultSize="0" autoFill="0" autoPict="0">
                <anchor moveWithCells="1">
                  <from>
                    <xdr:col>20</xdr:col>
                    <xdr:colOff>0</xdr:colOff>
                    <xdr:row>108</xdr:row>
                    <xdr:rowOff>9525</xdr:rowOff>
                  </from>
                  <to>
                    <xdr:col>25</xdr:col>
                    <xdr:colOff>0</xdr:colOff>
                    <xdr:row>110</xdr:row>
                    <xdr:rowOff>0</xdr:rowOff>
                  </to>
                </anchor>
              </controlPr>
            </control>
          </mc:Choice>
        </mc:AlternateContent>
        <mc:AlternateContent xmlns:mc="http://schemas.openxmlformats.org/markup-compatibility/2006">
          <mc:Choice Requires="x14">
            <control shapeId="2269" r:id="rId97" name="Group Box 221">
              <controlPr defaultSize="0" autoFill="0" autoPict="0">
                <anchor moveWithCells="1">
                  <from>
                    <xdr:col>20</xdr:col>
                    <xdr:colOff>0</xdr:colOff>
                    <xdr:row>110</xdr:row>
                    <xdr:rowOff>9525</xdr:rowOff>
                  </from>
                  <to>
                    <xdr:col>25</xdr:col>
                    <xdr:colOff>0</xdr:colOff>
                    <xdr:row>112</xdr:row>
                    <xdr:rowOff>0</xdr:rowOff>
                  </to>
                </anchor>
              </controlPr>
            </control>
          </mc:Choice>
        </mc:AlternateContent>
        <mc:AlternateContent xmlns:mc="http://schemas.openxmlformats.org/markup-compatibility/2006">
          <mc:Choice Requires="x14">
            <control shapeId="2293" r:id="rId98" name="Group Box 245">
              <controlPr defaultSize="0" autoFill="0" autoPict="0">
                <anchor moveWithCells="1">
                  <from>
                    <xdr:col>20</xdr:col>
                    <xdr:colOff>0</xdr:colOff>
                    <xdr:row>122</xdr:row>
                    <xdr:rowOff>9525</xdr:rowOff>
                  </from>
                  <to>
                    <xdr:col>25</xdr:col>
                    <xdr:colOff>0</xdr:colOff>
                    <xdr:row>123</xdr:row>
                    <xdr:rowOff>9525</xdr:rowOff>
                  </to>
                </anchor>
              </controlPr>
            </control>
          </mc:Choice>
        </mc:AlternateContent>
        <mc:AlternateContent xmlns:mc="http://schemas.openxmlformats.org/markup-compatibility/2006">
          <mc:Choice Requires="x14">
            <control shapeId="2081" r:id="rId99" name="Group Box 33">
              <controlPr defaultSize="0" autoFill="0" autoPict="0">
                <anchor moveWithCells="1">
                  <from>
                    <xdr:col>19</xdr:col>
                    <xdr:colOff>0</xdr:colOff>
                    <xdr:row>20</xdr:row>
                    <xdr:rowOff>0</xdr:rowOff>
                  </from>
                  <to>
                    <xdr:col>24</xdr:col>
                    <xdr:colOff>0</xdr:colOff>
                    <xdr:row>21</xdr:row>
                    <xdr:rowOff>0</xdr:rowOff>
                  </to>
                </anchor>
              </controlPr>
            </control>
          </mc:Choice>
        </mc:AlternateContent>
        <mc:AlternateContent xmlns:mc="http://schemas.openxmlformats.org/markup-compatibility/2006">
          <mc:Choice Requires="x14">
            <control shapeId="2111" r:id="rId100" name="Option Button 63">
              <controlPr defaultSize="0" autoFill="0" autoLine="0" autoPict="0">
                <anchor moveWithCells="1">
                  <from>
                    <xdr:col>19</xdr:col>
                    <xdr:colOff>9525</xdr:colOff>
                    <xdr:row>20</xdr:row>
                    <xdr:rowOff>9525</xdr:rowOff>
                  </from>
                  <to>
                    <xdr:col>19</xdr:col>
                    <xdr:colOff>247650</xdr:colOff>
                    <xdr:row>20</xdr:row>
                    <xdr:rowOff>276225</xdr:rowOff>
                  </to>
                </anchor>
              </controlPr>
            </control>
          </mc:Choice>
        </mc:AlternateContent>
        <mc:AlternateContent xmlns:mc="http://schemas.openxmlformats.org/markup-compatibility/2006">
          <mc:Choice Requires="x14">
            <control shapeId="2125" r:id="rId101" name="Option Button 77">
              <controlPr defaultSize="0" autoFill="0" autoLine="0" autoPict="0">
                <anchor moveWithCells="1">
                  <from>
                    <xdr:col>20</xdr:col>
                    <xdr:colOff>9525</xdr:colOff>
                    <xdr:row>20</xdr:row>
                    <xdr:rowOff>9525</xdr:rowOff>
                  </from>
                  <to>
                    <xdr:col>20</xdr:col>
                    <xdr:colOff>247650</xdr:colOff>
                    <xdr:row>20</xdr:row>
                    <xdr:rowOff>276225</xdr:rowOff>
                  </to>
                </anchor>
              </controlPr>
            </control>
          </mc:Choice>
        </mc:AlternateContent>
        <mc:AlternateContent xmlns:mc="http://schemas.openxmlformats.org/markup-compatibility/2006">
          <mc:Choice Requires="x14">
            <control shapeId="2139" r:id="rId102" name="Option Button 91">
              <controlPr defaultSize="0" autoFill="0" autoLine="0" autoPict="0">
                <anchor moveWithCells="1">
                  <from>
                    <xdr:col>21</xdr:col>
                    <xdr:colOff>9525</xdr:colOff>
                    <xdr:row>20</xdr:row>
                    <xdr:rowOff>9525</xdr:rowOff>
                  </from>
                  <to>
                    <xdr:col>21</xdr:col>
                    <xdr:colOff>247650</xdr:colOff>
                    <xdr:row>20</xdr:row>
                    <xdr:rowOff>276225</xdr:rowOff>
                  </to>
                </anchor>
              </controlPr>
            </control>
          </mc:Choice>
        </mc:AlternateContent>
        <mc:AlternateContent xmlns:mc="http://schemas.openxmlformats.org/markup-compatibility/2006">
          <mc:Choice Requires="x14">
            <control shapeId="2153" r:id="rId103" name="Option Button 105">
              <controlPr defaultSize="0" autoFill="0" autoLine="0" autoPict="0">
                <anchor moveWithCells="1">
                  <from>
                    <xdr:col>22</xdr:col>
                    <xdr:colOff>9525</xdr:colOff>
                    <xdr:row>20</xdr:row>
                    <xdr:rowOff>9525</xdr:rowOff>
                  </from>
                  <to>
                    <xdr:col>22</xdr:col>
                    <xdr:colOff>247650</xdr:colOff>
                    <xdr:row>20</xdr:row>
                    <xdr:rowOff>276225</xdr:rowOff>
                  </to>
                </anchor>
              </controlPr>
            </control>
          </mc:Choice>
        </mc:AlternateContent>
        <mc:AlternateContent xmlns:mc="http://schemas.openxmlformats.org/markup-compatibility/2006">
          <mc:Choice Requires="x14">
            <control shapeId="2082" r:id="rId104" name="Group Box 34">
              <controlPr defaultSize="0" autoFill="0" autoPict="0">
                <anchor moveWithCells="1">
                  <from>
                    <xdr:col>19</xdr:col>
                    <xdr:colOff>0</xdr:colOff>
                    <xdr:row>21</xdr:row>
                    <xdr:rowOff>9525</xdr:rowOff>
                  </from>
                  <to>
                    <xdr:col>24</xdr:col>
                    <xdr:colOff>0</xdr:colOff>
                    <xdr:row>22</xdr:row>
                    <xdr:rowOff>9525</xdr:rowOff>
                  </to>
                </anchor>
              </controlPr>
            </control>
          </mc:Choice>
        </mc:AlternateContent>
        <mc:AlternateContent xmlns:mc="http://schemas.openxmlformats.org/markup-compatibility/2006">
          <mc:Choice Requires="x14">
            <control shapeId="2112" r:id="rId105" name="Option Button 64">
              <controlPr defaultSize="0" autoFill="0" autoLine="0" autoPict="0">
                <anchor moveWithCells="1">
                  <from>
                    <xdr:col>19</xdr:col>
                    <xdr:colOff>9525</xdr:colOff>
                    <xdr:row>21</xdr:row>
                    <xdr:rowOff>19050</xdr:rowOff>
                  </from>
                  <to>
                    <xdr:col>19</xdr:col>
                    <xdr:colOff>247650</xdr:colOff>
                    <xdr:row>22</xdr:row>
                    <xdr:rowOff>0</xdr:rowOff>
                  </to>
                </anchor>
              </controlPr>
            </control>
          </mc:Choice>
        </mc:AlternateContent>
        <mc:AlternateContent xmlns:mc="http://schemas.openxmlformats.org/markup-compatibility/2006">
          <mc:Choice Requires="x14">
            <control shapeId="2126" r:id="rId106" name="Option Button 78">
              <controlPr defaultSize="0" autoFill="0" autoLine="0" autoPict="0">
                <anchor moveWithCells="1">
                  <from>
                    <xdr:col>20</xdr:col>
                    <xdr:colOff>9525</xdr:colOff>
                    <xdr:row>21</xdr:row>
                    <xdr:rowOff>19050</xdr:rowOff>
                  </from>
                  <to>
                    <xdr:col>20</xdr:col>
                    <xdr:colOff>247650</xdr:colOff>
                    <xdr:row>22</xdr:row>
                    <xdr:rowOff>0</xdr:rowOff>
                  </to>
                </anchor>
              </controlPr>
            </control>
          </mc:Choice>
        </mc:AlternateContent>
        <mc:AlternateContent xmlns:mc="http://schemas.openxmlformats.org/markup-compatibility/2006">
          <mc:Choice Requires="x14">
            <control shapeId="2140" r:id="rId107" name="Option Button 92">
              <controlPr defaultSize="0" autoFill="0" autoLine="0" autoPict="0">
                <anchor moveWithCells="1">
                  <from>
                    <xdr:col>21</xdr:col>
                    <xdr:colOff>9525</xdr:colOff>
                    <xdr:row>21</xdr:row>
                    <xdr:rowOff>19050</xdr:rowOff>
                  </from>
                  <to>
                    <xdr:col>21</xdr:col>
                    <xdr:colOff>247650</xdr:colOff>
                    <xdr:row>22</xdr:row>
                    <xdr:rowOff>0</xdr:rowOff>
                  </to>
                </anchor>
              </controlPr>
            </control>
          </mc:Choice>
        </mc:AlternateContent>
        <mc:AlternateContent xmlns:mc="http://schemas.openxmlformats.org/markup-compatibility/2006">
          <mc:Choice Requires="x14">
            <control shapeId="2154" r:id="rId108" name="Option Button 106">
              <controlPr defaultSize="0" autoFill="0" autoLine="0" autoPict="0">
                <anchor moveWithCells="1">
                  <from>
                    <xdr:col>22</xdr:col>
                    <xdr:colOff>9525</xdr:colOff>
                    <xdr:row>21</xdr:row>
                    <xdr:rowOff>19050</xdr:rowOff>
                  </from>
                  <to>
                    <xdr:col>22</xdr:col>
                    <xdr:colOff>247650</xdr:colOff>
                    <xdr:row>22</xdr:row>
                    <xdr:rowOff>0</xdr:rowOff>
                  </to>
                </anchor>
              </controlPr>
            </control>
          </mc:Choice>
        </mc:AlternateContent>
        <mc:AlternateContent xmlns:mc="http://schemas.openxmlformats.org/markup-compatibility/2006">
          <mc:Choice Requires="x14">
            <control shapeId="2113" r:id="rId109" name="Option Button 65">
              <controlPr defaultSize="0" autoFill="0" autoLine="0" autoPict="0">
                <anchor moveWithCells="1">
                  <from>
                    <xdr:col>19</xdr:col>
                    <xdr:colOff>9525</xdr:colOff>
                    <xdr:row>22</xdr:row>
                    <xdr:rowOff>66675</xdr:rowOff>
                  </from>
                  <to>
                    <xdr:col>19</xdr:col>
                    <xdr:colOff>247650</xdr:colOff>
                    <xdr:row>22</xdr:row>
                    <xdr:rowOff>342900</xdr:rowOff>
                  </to>
                </anchor>
              </controlPr>
            </control>
          </mc:Choice>
        </mc:AlternateContent>
        <mc:AlternateContent xmlns:mc="http://schemas.openxmlformats.org/markup-compatibility/2006">
          <mc:Choice Requires="x14">
            <control shapeId="2127" r:id="rId110" name="Option Button 79">
              <controlPr defaultSize="0" autoFill="0" autoLine="0" autoPict="0">
                <anchor moveWithCells="1">
                  <from>
                    <xdr:col>20</xdr:col>
                    <xdr:colOff>9525</xdr:colOff>
                    <xdr:row>22</xdr:row>
                    <xdr:rowOff>66675</xdr:rowOff>
                  </from>
                  <to>
                    <xdr:col>20</xdr:col>
                    <xdr:colOff>247650</xdr:colOff>
                    <xdr:row>22</xdr:row>
                    <xdr:rowOff>342900</xdr:rowOff>
                  </to>
                </anchor>
              </controlPr>
            </control>
          </mc:Choice>
        </mc:AlternateContent>
        <mc:AlternateContent xmlns:mc="http://schemas.openxmlformats.org/markup-compatibility/2006">
          <mc:Choice Requires="x14">
            <control shapeId="2141" r:id="rId111" name="Option Button 93">
              <controlPr defaultSize="0" autoFill="0" autoLine="0" autoPict="0">
                <anchor moveWithCells="1">
                  <from>
                    <xdr:col>21</xdr:col>
                    <xdr:colOff>9525</xdr:colOff>
                    <xdr:row>22</xdr:row>
                    <xdr:rowOff>66675</xdr:rowOff>
                  </from>
                  <to>
                    <xdr:col>21</xdr:col>
                    <xdr:colOff>247650</xdr:colOff>
                    <xdr:row>22</xdr:row>
                    <xdr:rowOff>342900</xdr:rowOff>
                  </to>
                </anchor>
              </controlPr>
            </control>
          </mc:Choice>
        </mc:AlternateContent>
        <mc:AlternateContent xmlns:mc="http://schemas.openxmlformats.org/markup-compatibility/2006">
          <mc:Choice Requires="x14">
            <control shapeId="2155" r:id="rId112" name="Option Button 107">
              <controlPr defaultSize="0" autoFill="0" autoLine="0" autoPict="0">
                <anchor moveWithCells="1">
                  <from>
                    <xdr:col>22</xdr:col>
                    <xdr:colOff>9525</xdr:colOff>
                    <xdr:row>22</xdr:row>
                    <xdr:rowOff>66675</xdr:rowOff>
                  </from>
                  <to>
                    <xdr:col>22</xdr:col>
                    <xdr:colOff>247650</xdr:colOff>
                    <xdr:row>22</xdr:row>
                    <xdr:rowOff>342900</xdr:rowOff>
                  </to>
                </anchor>
              </controlPr>
            </control>
          </mc:Choice>
        </mc:AlternateContent>
        <mc:AlternateContent xmlns:mc="http://schemas.openxmlformats.org/markup-compatibility/2006">
          <mc:Choice Requires="x14">
            <control shapeId="2083" r:id="rId113" name="Group Box 35">
              <controlPr defaultSize="0" autoFill="0" autoPict="0">
                <anchor moveWithCells="1">
                  <from>
                    <xdr:col>19</xdr:col>
                    <xdr:colOff>0</xdr:colOff>
                    <xdr:row>22</xdr:row>
                    <xdr:rowOff>9525</xdr:rowOff>
                  </from>
                  <to>
                    <xdr:col>24</xdr:col>
                    <xdr:colOff>0</xdr:colOff>
                    <xdr:row>23</xdr:row>
                    <xdr:rowOff>0</xdr:rowOff>
                  </to>
                </anchor>
              </controlPr>
            </control>
          </mc:Choice>
        </mc:AlternateContent>
        <mc:AlternateContent xmlns:mc="http://schemas.openxmlformats.org/markup-compatibility/2006">
          <mc:Choice Requires="x14">
            <control shapeId="2084" r:id="rId114" name="Group Box 36">
              <controlPr defaultSize="0" autoFill="0" autoPict="0">
                <anchor moveWithCells="1">
                  <from>
                    <xdr:col>19</xdr:col>
                    <xdr:colOff>0</xdr:colOff>
                    <xdr:row>23</xdr:row>
                    <xdr:rowOff>9525</xdr:rowOff>
                  </from>
                  <to>
                    <xdr:col>24</xdr:col>
                    <xdr:colOff>0</xdr:colOff>
                    <xdr:row>24</xdr:row>
                    <xdr:rowOff>0</xdr:rowOff>
                  </to>
                </anchor>
              </controlPr>
            </control>
          </mc:Choice>
        </mc:AlternateContent>
        <mc:AlternateContent xmlns:mc="http://schemas.openxmlformats.org/markup-compatibility/2006">
          <mc:Choice Requires="x14">
            <control shapeId="2114" r:id="rId115" name="Option Button 66">
              <controlPr defaultSize="0" autoFill="0" autoLine="0" autoPict="0">
                <anchor moveWithCells="1">
                  <from>
                    <xdr:col>19</xdr:col>
                    <xdr:colOff>9525</xdr:colOff>
                    <xdr:row>23</xdr:row>
                    <xdr:rowOff>19050</xdr:rowOff>
                  </from>
                  <to>
                    <xdr:col>19</xdr:col>
                    <xdr:colOff>247650</xdr:colOff>
                    <xdr:row>23</xdr:row>
                    <xdr:rowOff>276225</xdr:rowOff>
                  </to>
                </anchor>
              </controlPr>
            </control>
          </mc:Choice>
        </mc:AlternateContent>
        <mc:AlternateContent xmlns:mc="http://schemas.openxmlformats.org/markup-compatibility/2006">
          <mc:Choice Requires="x14">
            <control shapeId="2128" r:id="rId116" name="Option Button 80">
              <controlPr defaultSize="0" autoFill="0" autoLine="0" autoPict="0">
                <anchor moveWithCells="1">
                  <from>
                    <xdr:col>20</xdr:col>
                    <xdr:colOff>9525</xdr:colOff>
                    <xdr:row>23</xdr:row>
                    <xdr:rowOff>19050</xdr:rowOff>
                  </from>
                  <to>
                    <xdr:col>20</xdr:col>
                    <xdr:colOff>247650</xdr:colOff>
                    <xdr:row>23</xdr:row>
                    <xdr:rowOff>276225</xdr:rowOff>
                  </to>
                </anchor>
              </controlPr>
            </control>
          </mc:Choice>
        </mc:AlternateContent>
        <mc:AlternateContent xmlns:mc="http://schemas.openxmlformats.org/markup-compatibility/2006">
          <mc:Choice Requires="x14">
            <control shapeId="2142" r:id="rId117" name="Option Button 94">
              <controlPr defaultSize="0" autoFill="0" autoLine="0" autoPict="0">
                <anchor moveWithCells="1">
                  <from>
                    <xdr:col>21</xdr:col>
                    <xdr:colOff>9525</xdr:colOff>
                    <xdr:row>23</xdr:row>
                    <xdr:rowOff>19050</xdr:rowOff>
                  </from>
                  <to>
                    <xdr:col>21</xdr:col>
                    <xdr:colOff>247650</xdr:colOff>
                    <xdr:row>23</xdr:row>
                    <xdr:rowOff>276225</xdr:rowOff>
                  </to>
                </anchor>
              </controlPr>
            </control>
          </mc:Choice>
        </mc:AlternateContent>
        <mc:AlternateContent xmlns:mc="http://schemas.openxmlformats.org/markup-compatibility/2006">
          <mc:Choice Requires="x14">
            <control shapeId="2156" r:id="rId118" name="Option Button 108">
              <controlPr defaultSize="0" autoFill="0" autoLine="0" autoPict="0">
                <anchor moveWithCells="1">
                  <from>
                    <xdr:col>22</xdr:col>
                    <xdr:colOff>9525</xdr:colOff>
                    <xdr:row>23</xdr:row>
                    <xdr:rowOff>19050</xdr:rowOff>
                  </from>
                  <to>
                    <xdr:col>22</xdr:col>
                    <xdr:colOff>247650</xdr:colOff>
                    <xdr:row>23</xdr:row>
                    <xdr:rowOff>276225</xdr:rowOff>
                  </to>
                </anchor>
              </controlPr>
            </control>
          </mc:Choice>
        </mc:AlternateContent>
        <mc:AlternateContent xmlns:mc="http://schemas.openxmlformats.org/markup-compatibility/2006">
          <mc:Choice Requires="x14">
            <control shapeId="2115" r:id="rId119" name="Option Button 67">
              <controlPr defaultSize="0" autoFill="0" autoLine="0" autoPict="0">
                <anchor moveWithCells="1">
                  <from>
                    <xdr:col>19</xdr:col>
                    <xdr:colOff>9525</xdr:colOff>
                    <xdr:row>24</xdr:row>
                    <xdr:rowOff>19050</xdr:rowOff>
                  </from>
                  <to>
                    <xdr:col>19</xdr:col>
                    <xdr:colOff>247650</xdr:colOff>
                    <xdr:row>25</xdr:row>
                    <xdr:rowOff>0</xdr:rowOff>
                  </to>
                </anchor>
              </controlPr>
            </control>
          </mc:Choice>
        </mc:AlternateContent>
        <mc:AlternateContent xmlns:mc="http://schemas.openxmlformats.org/markup-compatibility/2006">
          <mc:Choice Requires="x14">
            <control shapeId="2129" r:id="rId120" name="Option Button 81">
              <controlPr defaultSize="0" autoFill="0" autoLine="0" autoPict="0">
                <anchor moveWithCells="1">
                  <from>
                    <xdr:col>20</xdr:col>
                    <xdr:colOff>9525</xdr:colOff>
                    <xdr:row>24</xdr:row>
                    <xdr:rowOff>19050</xdr:rowOff>
                  </from>
                  <to>
                    <xdr:col>20</xdr:col>
                    <xdr:colOff>247650</xdr:colOff>
                    <xdr:row>25</xdr:row>
                    <xdr:rowOff>0</xdr:rowOff>
                  </to>
                </anchor>
              </controlPr>
            </control>
          </mc:Choice>
        </mc:AlternateContent>
        <mc:AlternateContent xmlns:mc="http://schemas.openxmlformats.org/markup-compatibility/2006">
          <mc:Choice Requires="x14">
            <control shapeId="2143" r:id="rId121" name="Option Button 95">
              <controlPr defaultSize="0" autoFill="0" autoLine="0" autoPict="0">
                <anchor moveWithCells="1">
                  <from>
                    <xdr:col>21</xdr:col>
                    <xdr:colOff>9525</xdr:colOff>
                    <xdr:row>24</xdr:row>
                    <xdr:rowOff>19050</xdr:rowOff>
                  </from>
                  <to>
                    <xdr:col>21</xdr:col>
                    <xdr:colOff>247650</xdr:colOff>
                    <xdr:row>25</xdr:row>
                    <xdr:rowOff>0</xdr:rowOff>
                  </to>
                </anchor>
              </controlPr>
            </control>
          </mc:Choice>
        </mc:AlternateContent>
        <mc:AlternateContent xmlns:mc="http://schemas.openxmlformats.org/markup-compatibility/2006">
          <mc:Choice Requires="x14">
            <control shapeId="2157" r:id="rId122" name="Option Button 109">
              <controlPr defaultSize="0" autoFill="0" autoLine="0" autoPict="0">
                <anchor moveWithCells="1">
                  <from>
                    <xdr:col>22</xdr:col>
                    <xdr:colOff>9525</xdr:colOff>
                    <xdr:row>24</xdr:row>
                    <xdr:rowOff>19050</xdr:rowOff>
                  </from>
                  <to>
                    <xdr:col>22</xdr:col>
                    <xdr:colOff>247650</xdr:colOff>
                    <xdr:row>25</xdr:row>
                    <xdr:rowOff>0</xdr:rowOff>
                  </to>
                </anchor>
              </controlPr>
            </control>
          </mc:Choice>
        </mc:AlternateContent>
        <mc:AlternateContent xmlns:mc="http://schemas.openxmlformats.org/markup-compatibility/2006">
          <mc:Choice Requires="x14">
            <control shapeId="2085" r:id="rId123" name="Group Box 37">
              <controlPr defaultSize="0" autoFill="0" autoPict="0">
                <anchor moveWithCells="1">
                  <from>
                    <xdr:col>19</xdr:col>
                    <xdr:colOff>0</xdr:colOff>
                    <xdr:row>24</xdr:row>
                    <xdr:rowOff>9525</xdr:rowOff>
                  </from>
                  <to>
                    <xdr:col>24</xdr:col>
                    <xdr:colOff>0</xdr:colOff>
                    <xdr:row>25</xdr:row>
                    <xdr:rowOff>9525</xdr:rowOff>
                  </to>
                </anchor>
              </controlPr>
            </control>
          </mc:Choice>
        </mc:AlternateContent>
        <mc:AlternateContent xmlns:mc="http://schemas.openxmlformats.org/markup-compatibility/2006">
          <mc:Choice Requires="x14">
            <control shapeId="2116" r:id="rId124" name="Option Button 68">
              <controlPr defaultSize="0" autoFill="0" autoLine="0" autoPict="0">
                <anchor moveWithCells="1">
                  <from>
                    <xdr:col>19</xdr:col>
                    <xdr:colOff>9525</xdr:colOff>
                    <xdr:row>25</xdr:row>
                    <xdr:rowOff>19050</xdr:rowOff>
                  </from>
                  <to>
                    <xdr:col>19</xdr:col>
                    <xdr:colOff>247650</xdr:colOff>
                    <xdr:row>26</xdr:row>
                    <xdr:rowOff>0</xdr:rowOff>
                  </to>
                </anchor>
              </controlPr>
            </control>
          </mc:Choice>
        </mc:AlternateContent>
        <mc:AlternateContent xmlns:mc="http://schemas.openxmlformats.org/markup-compatibility/2006">
          <mc:Choice Requires="x14">
            <control shapeId="2130" r:id="rId125" name="Option Button 82">
              <controlPr defaultSize="0" autoFill="0" autoLine="0" autoPict="0">
                <anchor moveWithCells="1">
                  <from>
                    <xdr:col>20</xdr:col>
                    <xdr:colOff>9525</xdr:colOff>
                    <xdr:row>25</xdr:row>
                    <xdr:rowOff>19050</xdr:rowOff>
                  </from>
                  <to>
                    <xdr:col>20</xdr:col>
                    <xdr:colOff>247650</xdr:colOff>
                    <xdr:row>26</xdr:row>
                    <xdr:rowOff>0</xdr:rowOff>
                  </to>
                </anchor>
              </controlPr>
            </control>
          </mc:Choice>
        </mc:AlternateContent>
        <mc:AlternateContent xmlns:mc="http://schemas.openxmlformats.org/markup-compatibility/2006">
          <mc:Choice Requires="x14">
            <control shapeId="2144" r:id="rId126" name="Option Button 96">
              <controlPr defaultSize="0" autoFill="0" autoLine="0" autoPict="0">
                <anchor moveWithCells="1">
                  <from>
                    <xdr:col>21</xdr:col>
                    <xdr:colOff>9525</xdr:colOff>
                    <xdr:row>25</xdr:row>
                    <xdr:rowOff>19050</xdr:rowOff>
                  </from>
                  <to>
                    <xdr:col>21</xdr:col>
                    <xdr:colOff>247650</xdr:colOff>
                    <xdr:row>26</xdr:row>
                    <xdr:rowOff>0</xdr:rowOff>
                  </to>
                </anchor>
              </controlPr>
            </control>
          </mc:Choice>
        </mc:AlternateContent>
        <mc:AlternateContent xmlns:mc="http://schemas.openxmlformats.org/markup-compatibility/2006">
          <mc:Choice Requires="x14">
            <control shapeId="2158" r:id="rId127" name="Option Button 110">
              <controlPr defaultSize="0" autoFill="0" autoLine="0" autoPict="0">
                <anchor moveWithCells="1">
                  <from>
                    <xdr:col>22</xdr:col>
                    <xdr:colOff>9525</xdr:colOff>
                    <xdr:row>25</xdr:row>
                    <xdr:rowOff>19050</xdr:rowOff>
                  </from>
                  <to>
                    <xdr:col>22</xdr:col>
                    <xdr:colOff>247650</xdr:colOff>
                    <xdr:row>26</xdr:row>
                    <xdr:rowOff>0</xdr:rowOff>
                  </to>
                </anchor>
              </controlPr>
            </control>
          </mc:Choice>
        </mc:AlternateContent>
        <mc:AlternateContent xmlns:mc="http://schemas.openxmlformats.org/markup-compatibility/2006">
          <mc:Choice Requires="x14">
            <control shapeId="2086" r:id="rId128" name="Group Box 38">
              <controlPr defaultSize="0" autoFill="0" autoPict="0">
                <anchor moveWithCells="1">
                  <from>
                    <xdr:col>19</xdr:col>
                    <xdr:colOff>0</xdr:colOff>
                    <xdr:row>25</xdr:row>
                    <xdr:rowOff>9525</xdr:rowOff>
                  </from>
                  <to>
                    <xdr:col>24</xdr:col>
                    <xdr:colOff>0</xdr:colOff>
                    <xdr:row>26</xdr:row>
                    <xdr:rowOff>9525</xdr:rowOff>
                  </to>
                </anchor>
              </controlPr>
            </control>
          </mc:Choice>
        </mc:AlternateContent>
        <mc:AlternateContent xmlns:mc="http://schemas.openxmlformats.org/markup-compatibility/2006">
          <mc:Choice Requires="x14">
            <control shapeId="2117" r:id="rId129" name="Option Button 69">
              <controlPr defaultSize="0" autoFill="0" autoLine="0" autoPict="0">
                <anchor moveWithCells="1">
                  <from>
                    <xdr:col>19</xdr:col>
                    <xdr:colOff>9525</xdr:colOff>
                    <xdr:row>26</xdr:row>
                    <xdr:rowOff>19050</xdr:rowOff>
                  </from>
                  <to>
                    <xdr:col>19</xdr:col>
                    <xdr:colOff>247650</xdr:colOff>
                    <xdr:row>27</xdr:row>
                    <xdr:rowOff>0</xdr:rowOff>
                  </to>
                </anchor>
              </controlPr>
            </control>
          </mc:Choice>
        </mc:AlternateContent>
        <mc:AlternateContent xmlns:mc="http://schemas.openxmlformats.org/markup-compatibility/2006">
          <mc:Choice Requires="x14">
            <control shapeId="2131" r:id="rId130" name="Option Button 83">
              <controlPr defaultSize="0" autoFill="0" autoLine="0" autoPict="0">
                <anchor moveWithCells="1">
                  <from>
                    <xdr:col>20</xdr:col>
                    <xdr:colOff>9525</xdr:colOff>
                    <xdr:row>26</xdr:row>
                    <xdr:rowOff>19050</xdr:rowOff>
                  </from>
                  <to>
                    <xdr:col>20</xdr:col>
                    <xdr:colOff>247650</xdr:colOff>
                    <xdr:row>27</xdr:row>
                    <xdr:rowOff>0</xdr:rowOff>
                  </to>
                </anchor>
              </controlPr>
            </control>
          </mc:Choice>
        </mc:AlternateContent>
        <mc:AlternateContent xmlns:mc="http://schemas.openxmlformats.org/markup-compatibility/2006">
          <mc:Choice Requires="x14">
            <control shapeId="2145" r:id="rId131" name="Option Button 97">
              <controlPr defaultSize="0" autoFill="0" autoLine="0" autoPict="0">
                <anchor moveWithCells="1">
                  <from>
                    <xdr:col>21</xdr:col>
                    <xdr:colOff>9525</xdr:colOff>
                    <xdr:row>26</xdr:row>
                    <xdr:rowOff>19050</xdr:rowOff>
                  </from>
                  <to>
                    <xdr:col>21</xdr:col>
                    <xdr:colOff>247650</xdr:colOff>
                    <xdr:row>27</xdr:row>
                    <xdr:rowOff>0</xdr:rowOff>
                  </to>
                </anchor>
              </controlPr>
            </control>
          </mc:Choice>
        </mc:AlternateContent>
        <mc:AlternateContent xmlns:mc="http://schemas.openxmlformats.org/markup-compatibility/2006">
          <mc:Choice Requires="x14">
            <control shapeId="2159" r:id="rId132" name="Option Button 111">
              <controlPr defaultSize="0" autoFill="0" autoLine="0" autoPict="0">
                <anchor moveWithCells="1">
                  <from>
                    <xdr:col>22</xdr:col>
                    <xdr:colOff>9525</xdr:colOff>
                    <xdr:row>26</xdr:row>
                    <xdr:rowOff>19050</xdr:rowOff>
                  </from>
                  <to>
                    <xdr:col>22</xdr:col>
                    <xdr:colOff>247650</xdr:colOff>
                    <xdr:row>27</xdr:row>
                    <xdr:rowOff>0</xdr:rowOff>
                  </to>
                </anchor>
              </controlPr>
            </control>
          </mc:Choice>
        </mc:AlternateContent>
        <mc:AlternateContent xmlns:mc="http://schemas.openxmlformats.org/markup-compatibility/2006">
          <mc:Choice Requires="x14">
            <control shapeId="2087" r:id="rId133" name="Group Box 39">
              <controlPr defaultSize="0" autoFill="0" autoPict="0">
                <anchor moveWithCells="1">
                  <from>
                    <xdr:col>19</xdr:col>
                    <xdr:colOff>0</xdr:colOff>
                    <xdr:row>26</xdr:row>
                    <xdr:rowOff>9525</xdr:rowOff>
                  </from>
                  <to>
                    <xdr:col>24</xdr:col>
                    <xdr:colOff>0</xdr:colOff>
                    <xdr:row>27</xdr:row>
                    <xdr:rowOff>9525</xdr:rowOff>
                  </to>
                </anchor>
              </controlPr>
            </control>
          </mc:Choice>
        </mc:AlternateContent>
        <mc:AlternateContent xmlns:mc="http://schemas.openxmlformats.org/markup-compatibility/2006">
          <mc:Choice Requires="x14">
            <control shapeId="2983" r:id="rId134" name="Option Button 935">
              <controlPr defaultSize="0" autoFill="0" autoLine="0" autoPict="0">
                <anchor moveWithCells="1">
                  <from>
                    <xdr:col>23</xdr:col>
                    <xdr:colOff>9525</xdr:colOff>
                    <xdr:row>20</xdr:row>
                    <xdr:rowOff>9525</xdr:rowOff>
                  </from>
                  <to>
                    <xdr:col>23</xdr:col>
                    <xdr:colOff>247650</xdr:colOff>
                    <xdr:row>20</xdr:row>
                    <xdr:rowOff>276225</xdr:rowOff>
                  </to>
                </anchor>
              </controlPr>
            </control>
          </mc:Choice>
        </mc:AlternateContent>
        <mc:AlternateContent xmlns:mc="http://schemas.openxmlformats.org/markup-compatibility/2006">
          <mc:Choice Requires="x14">
            <control shapeId="2984" r:id="rId135" name="Option Button 936">
              <controlPr defaultSize="0" autoFill="0" autoLine="0" autoPict="0">
                <anchor moveWithCells="1">
                  <from>
                    <xdr:col>23</xdr:col>
                    <xdr:colOff>9525</xdr:colOff>
                    <xdr:row>21</xdr:row>
                    <xdr:rowOff>19050</xdr:rowOff>
                  </from>
                  <to>
                    <xdr:col>23</xdr:col>
                    <xdr:colOff>247650</xdr:colOff>
                    <xdr:row>22</xdr:row>
                    <xdr:rowOff>0</xdr:rowOff>
                  </to>
                </anchor>
              </controlPr>
            </control>
          </mc:Choice>
        </mc:AlternateContent>
        <mc:AlternateContent xmlns:mc="http://schemas.openxmlformats.org/markup-compatibility/2006">
          <mc:Choice Requires="x14">
            <control shapeId="2985" r:id="rId136" name="Option Button 937">
              <controlPr defaultSize="0" autoFill="0" autoLine="0" autoPict="0">
                <anchor moveWithCells="1">
                  <from>
                    <xdr:col>23</xdr:col>
                    <xdr:colOff>9525</xdr:colOff>
                    <xdr:row>22</xdr:row>
                    <xdr:rowOff>66675</xdr:rowOff>
                  </from>
                  <to>
                    <xdr:col>23</xdr:col>
                    <xdr:colOff>247650</xdr:colOff>
                    <xdr:row>22</xdr:row>
                    <xdr:rowOff>342900</xdr:rowOff>
                  </to>
                </anchor>
              </controlPr>
            </control>
          </mc:Choice>
        </mc:AlternateContent>
        <mc:AlternateContent xmlns:mc="http://schemas.openxmlformats.org/markup-compatibility/2006">
          <mc:Choice Requires="x14">
            <control shapeId="2986" r:id="rId137" name="Option Button 938">
              <controlPr defaultSize="0" autoFill="0" autoLine="0" autoPict="0">
                <anchor moveWithCells="1">
                  <from>
                    <xdr:col>23</xdr:col>
                    <xdr:colOff>9525</xdr:colOff>
                    <xdr:row>23</xdr:row>
                    <xdr:rowOff>19050</xdr:rowOff>
                  </from>
                  <to>
                    <xdr:col>23</xdr:col>
                    <xdr:colOff>247650</xdr:colOff>
                    <xdr:row>23</xdr:row>
                    <xdr:rowOff>276225</xdr:rowOff>
                  </to>
                </anchor>
              </controlPr>
            </control>
          </mc:Choice>
        </mc:AlternateContent>
        <mc:AlternateContent xmlns:mc="http://schemas.openxmlformats.org/markup-compatibility/2006">
          <mc:Choice Requires="x14">
            <control shapeId="2987" r:id="rId138" name="Option Button 939">
              <controlPr defaultSize="0" autoFill="0" autoLine="0" autoPict="0">
                <anchor moveWithCells="1">
                  <from>
                    <xdr:col>23</xdr:col>
                    <xdr:colOff>9525</xdr:colOff>
                    <xdr:row>24</xdr:row>
                    <xdr:rowOff>19050</xdr:rowOff>
                  </from>
                  <to>
                    <xdr:col>23</xdr:col>
                    <xdr:colOff>247650</xdr:colOff>
                    <xdr:row>25</xdr:row>
                    <xdr:rowOff>0</xdr:rowOff>
                  </to>
                </anchor>
              </controlPr>
            </control>
          </mc:Choice>
        </mc:AlternateContent>
        <mc:AlternateContent xmlns:mc="http://schemas.openxmlformats.org/markup-compatibility/2006">
          <mc:Choice Requires="x14">
            <control shapeId="2988" r:id="rId139" name="Option Button 940">
              <controlPr defaultSize="0" autoFill="0" autoLine="0" autoPict="0">
                <anchor moveWithCells="1">
                  <from>
                    <xdr:col>23</xdr:col>
                    <xdr:colOff>9525</xdr:colOff>
                    <xdr:row>25</xdr:row>
                    <xdr:rowOff>19050</xdr:rowOff>
                  </from>
                  <to>
                    <xdr:col>23</xdr:col>
                    <xdr:colOff>247650</xdr:colOff>
                    <xdr:row>26</xdr:row>
                    <xdr:rowOff>0</xdr:rowOff>
                  </to>
                </anchor>
              </controlPr>
            </control>
          </mc:Choice>
        </mc:AlternateContent>
        <mc:AlternateContent xmlns:mc="http://schemas.openxmlformats.org/markup-compatibility/2006">
          <mc:Choice Requires="x14">
            <control shapeId="2989" r:id="rId140" name="Option Button 941">
              <controlPr defaultSize="0" autoFill="0" autoLine="0" autoPict="0">
                <anchor moveWithCells="1">
                  <from>
                    <xdr:col>23</xdr:col>
                    <xdr:colOff>9525</xdr:colOff>
                    <xdr:row>26</xdr:row>
                    <xdr:rowOff>19050</xdr:rowOff>
                  </from>
                  <to>
                    <xdr:col>23</xdr:col>
                    <xdr:colOff>247650</xdr:colOff>
                    <xdr:row>27</xdr:row>
                    <xdr:rowOff>0</xdr:rowOff>
                  </to>
                </anchor>
              </controlPr>
            </control>
          </mc:Choice>
        </mc:AlternateContent>
        <mc:AlternateContent xmlns:mc="http://schemas.openxmlformats.org/markup-compatibility/2006">
          <mc:Choice Requires="x14">
            <control shapeId="2990" r:id="rId141" name="Option Button 942">
              <controlPr defaultSize="0" autoFill="0" autoLine="0" autoPict="0">
                <anchor moveWithCells="1">
                  <from>
                    <xdr:col>23</xdr:col>
                    <xdr:colOff>19050</xdr:colOff>
                    <xdr:row>34</xdr:row>
                    <xdr:rowOff>171450</xdr:rowOff>
                  </from>
                  <to>
                    <xdr:col>24</xdr:col>
                    <xdr:colOff>0</xdr:colOff>
                    <xdr:row>35</xdr:row>
                    <xdr:rowOff>0</xdr:rowOff>
                  </to>
                </anchor>
              </controlPr>
            </control>
          </mc:Choice>
        </mc:AlternateContent>
        <mc:AlternateContent xmlns:mc="http://schemas.openxmlformats.org/markup-compatibility/2006">
          <mc:Choice Requires="x14">
            <control shapeId="2991" r:id="rId142" name="Option Button 943">
              <controlPr defaultSize="0" autoFill="0" autoLine="0" autoPict="0">
                <anchor moveWithCells="1">
                  <from>
                    <xdr:col>23</xdr:col>
                    <xdr:colOff>19050</xdr:colOff>
                    <xdr:row>35</xdr:row>
                    <xdr:rowOff>133350</xdr:rowOff>
                  </from>
                  <to>
                    <xdr:col>24</xdr:col>
                    <xdr:colOff>0</xdr:colOff>
                    <xdr:row>35</xdr:row>
                    <xdr:rowOff>323850</xdr:rowOff>
                  </to>
                </anchor>
              </controlPr>
            </control>
          </mc:Choice>
        </mc:AlternateContent>
        <mc:AlternateContent xmlns:mc="http://schemas.openxmlformats.org/markup-compatibility/2006">
          <mc:Choice Requires="x14">
            <control shapeId="2992" r:id="rId143" name="Option Button 944">
              <controlPr defaultSize="0" autoFill="0" autoLine="0" autoPict="0">
                <anchor moveWithCells="1">
                  <from>
                    <xdr:col>23</xdr:col>
                    <xdr:colOff>19050</xdr:colOff>
                    <xdr:row>36</xdr:row>
                    <xdr:rowOff>171450</xdr:rowOff>
                  </from>
                  <to>
                    <xdr:col>24</xdr:col>
                    <xdr:colOff>0</xdr:colOff>
                    <xdr:row>36</xdr:row>
                    <xdr:rowOff>371475</xdr:rowOff>
                  </to>
                </anchor>
              </controlPr>
            </control>
          </mc:Choice>
        </mc:AlternateContent>
        <mc:AlternateContent xmlns:mc="http://schemas.openxmlformats.org/markup-compatibility/2006">
          <mc:Choice Requires="x14">
            <control shapeId="2993" r:id="rId144" name="Option Button 945">
              <controlPr defaultSize="0" autoFill="0" autoLine="0" autoPict="0">
                <anchor moveWithCells="1">
                  <from>
                    <xdr:col>23</xdr:col>
                    <xdr:colOff>19050</xdr:colOff>
                    <xdr:row>37</xdr:row>
                    <xdr:rowOff>142875</xdr:rowOff>
                  </from>
                  <to>
                    <xdr:col>24</xdr:col>
                    <xdr:colOff>0</xdr:colOff>
                    <xdr:row>37</xdr:row>
                    <xdr:rowOff>342900</xdr:rowOff>
                  </to>
                </anchor>
              </controlPr>
            </control>
          </mc:Choice>
        </mc:AlternateContent>
        <mc:AlternateContent xmlns:mc="http://schemas.openxmlformats.org/markup-compatibility/2006">
          <mc:Choice Requires="x14">
            <control shapeId="2994" r:id="rId145" name="Option Button 946">
              <controlPr defaultSize="0" autoFill="0" autoLine="0" autoPict="0">
                <anchor moveWithCells="1">
                  <from>
                    <xdr:col>24</xdr:col>
                    <xdr:colOff>9525</xdr:colOff>
                    <xdr:row>45</xdr:row>
                    <xdr:rowOff>438150</xdr:rowOff>
                  </from>
                  <to>
                    <xdr:col>24</xdr:col>
                    <xdr:colOff>247650</xdr:colOff>
                    <xdr:row>46</xdr:row>
                    <xdr:rowOff>0</xdr:rowOff>
                  </to>
                </anchor>
              </controlPr>
            </control>
          </mc:Choice>
        </mc:AlternateContent>
        <mc:AlternateContent xmlns:mc="http://schemas.openxmlformats.org/markup-compatibility/2006">
          <mc:Choice Requires="x14">
            <control shapeId="2995" r:id="rId146" name="Option Button 947">
              <controlPr defaultSize="0" autoFill="0" autoLine="0" autoPict="0">
                <anchor moveWithCells="1">
                  <from>
                    <xdr:col>24</xdr:col>
                    <xdr:colOff>9525</xdr:colOff>
                    <xdr:row>46</xdr:row>
                    <xdr:rowOff>438150</xdr:rowOff>
                  </from>
                  <to>
                    <xdr:col>24</xdr:col>
                    <xdr:colOff>247650</xdr:colOff>
                    <xdr:row>46</xdr:row>
                    <xdr:rowOff>628650</xdr:rowOff>
                  </to>
                </anchor>
              </controlPr>
            </control>
          </mc:Choice>
        </mc:AlternateContent>
        <mc:AlternateContent xmlns:mc="http://schemas.openxmlformats.org/markup-compatibility/2006">
          <mc:Choice Requires="x14">
            <control shapeId="2996" r:id="rId147" name="Option Button 948">
              <controlPr defaultSize="0" autoFill="0" autoLine="0" autoPict="0">
                <anchor moveWithCells="1">
                  <from>
                    <xdr:col>24</xdr:col>
                    <xdr:colOff>9525</xdr:colOff>
                    <xdr:row>47</xdr:row>
                    <xdr:rowOff>438150</xdr:rowOff>
                  </from>
                  <to>
                    <xdr:col>24</xdr:col>
                    <xdr:colOff>247650</xdr:colOff>
                    <xdr:row>47</xdr:row>
                    <xdr:rowOff>628650</xdr:rowOff>
                  </to>
                </anchor>
              </controlPr>
            </control>
          </mc:Choice>
        </mc:AlternateContent>
        <mc:AlternateContent xmlns:mc="http://schemas.openxmlformats.org/markup-compatibility/2006">
          <mc:Choice Requires="x14">
            <control shapeId="25212" r:id="rId148" name="Group Box 4732">
              <controlPr defaultSize="0" autoFill="0" autoPict="0">
                <anchor moveWithCells="1">
                  <from>
                    <xdr:col>20</xdr:col>
                    <xdr:colOff>0</xdr:colOff>
                    <xdr:row>93</xdr:row>
                    <xdr:rowOff>9525</xdr:rowOff>
                  </from>
                  <to>
                    <xdr:col>25</xdr:col>
                    <xdr:colOff>0</xdr:colOff>
                    <xdr:row>94</xdr:row>
                    <xdr:rowOff>0</xdr:rowOff>
                  </to>
                </anchor>
              </controlPr>
            </control>
          </mc:Choice>
        </mc:AlternateContent>
        <mc:AlternateContent xmlns:mc="http://schemas.openxmlformats.org/markup-compatibility/2006">
          <mc:Choice Requires="x14">
            <control shapeId="25213" r:id="rId149" name="Option Button 4733">
              <controlPr defaultSize="0" autoFill="0" autoLine="0" autoPict="0">
                <anchor moveWithCells="1">
                  <from>
                    <xdr:col>20</xdr:col>
                    <xdr:colOff>19050</xdr:colOff>
                    <xdr:row>93</xdr:row>
                    <xdr:rowOff>1076325</xdr:rowOff>
                  </from>
                  <to>
                    <xdr:col>21</xdr:col>
                    <xdr:colOff>0</xdr:colOff>
                    <xdr:row>93</xdr:row>
                    <xdr:rowOff>1266825</xdr:rowOff>
                  </to>
                </anchor>
              </controlPr>
            </control>
          </mc:Choice>
        </mc:AlternateContent>
        <mc:AlternateContent xmlns:mc="http://schemas.openxmlformats.org/markup-compatibility/2006">
          <mc:Choice Requires="x14">
            <control shapeId="25214" r:id="rId150" name="Option Button 4734">
              <controlPr defaultSize="0" autoFill="0" autoLine="0" autoPict="0">
                <anchor moveWithCells="1">
                  <from>
                    <xdr:col>21</xdr:col>
                    <xdr:colOff>19050</xdr:colOff>
                    <xdr:row>93</xdr:row>
                    <xdr:rowOff>1076325</xdr:rowOff>
                  </from>
                  <to>
                    <xdr:col>22</xdr:col>
                    <xdr:colOff>0</xdr:colOff>
                    <xdr:row>93</xdr:row>
                    <xdr:rowOff>1266825</xdr:rowOff>
                  </to>
                </anchor>
              </controlPr>
            </control>
          </mc:Choice>
        </mc:AlternateContent>
        <mc:AlternateContent xmlns:mc="http://schemas.openxmlformats.org/markup-compatibility/2006">
          <mc:Choice Requires="x14">
            <control shapeId="25215" r:id="rId151" name="Option Button 4735">
              <controlPr defaultSize="0" autoFill="0" autoLine="0" autoPict="0">
                <anchor moveWithCells="1">
                  <from>
                    <xdr:col>22</xdr:col>
                    <xdr:colOff>19050</xdr:colOff>
                    <xdr:row>93</xdr:row>
                    <xdr:rowOff>1076325</xdr:rowOff>
                  </from>
                  <to>
                    <xdr:col>23</xdr:col>
                    <xdr:colOff>0</xdr:colOff>
                    <xdr:row>93</xdr:row>
                    <xdr:rowOff>1266825</xdr:rowOff>
                  </to>
                </anchor>
              </controlPr>
            </control>
          </mc:Choice>
        </mc:AlternateContent>
        <mc:AlternateContent xmlns:mc="http://schemas.openxmlformats.org/markup-compatibility/2006">
          <mc:Choice Requires="x14">
            <control shapeId="25216" r:id="rId152" name="Option Button 4736">
              <controlPr defaultSize="0" autoFill="0" autoLine="0" autoPict="0">
                <anchor moveWithCells="1">
                  <from>
                    <xdr:col>23</xdr:col>
                    <xdr:colOff>19050</xdr:colOff>
                    <xdr:row>93</xdr:row>
                    <xdr:rowOff>1076325</xdr:rowOff>
                  </from>
                  <to>
                    <xdr:col>24</xdr:col>
                    <xdr:colOff>0</xdr:colOff>
                    <xdr:row>93</xdr:row>
                    <xdr:rowOff>1266825</xdr:rowOff>
                  </to>
                </anchor>
              </controlPr>
            </control>
          </mc:Choice>
        </mc:AlternateContent>
        <mc:AlternateContent xmlns:mc="http://schemas.openxmlformats.org/markup-compatibility/2006">
          <mc:Choice Requires="x14">
            <control shapeId="25217" r:id="rId153" name="Option Button 4737">
              <controlPr defaultSize="0" autoFill="0" autoLine="0" autoPict="0">
                <anchor moveWithCells="1">
                  <from>
                    <xdr:col>24</xdr:col>
                    <xdr:colOff>19050</xdr:colOff>
                    <xdr:row>93</xdr:row>
                    <xdr:rowOff>1076325</xdr:rowOff>
                  </from>
                  <to>
                    <xdr:col>25</xdr:col>
                    <xdr:colOff>0</xdr:colOff>
                    <xdr:row>93</xdr:row>
                    <xdr:rowOff>1266825</xdr:rowOff>
                  </to>
                </anchor>
              </controlPr>
            </control>
          </mc:Choice>
        </mc:AlternateContent>
        <mc:AlternateContent xmlns:mc="http://schemas.openxmlformats.org/markup-compatibility/2006">
          <mc:Choice Requires="x14">
            <control shapeId="589121" r:id="rId154" name="Option Button 122177">
              <controlPr defaultSize="0" autoFill="0" autoLine="0" autoPict="0">
                <anchor moveWithCells="1">
                  <from>
                    <xdr:col>20</xdr:col>
                    <xdr:colOff>19050</xdr:colOff>
                    <xdr:row>126</xdr:row>
                    <xdr:rowOff>638175</xdr:rowOff>
                  </from>
                  <to>
                    <xdr:col>21</xdr:col>
                    <xdr:colOff>0</xdr:colOff>
                    <xdr:row>126</xdr:row>
                    <xdr:rowOff>800100</xdr:rowOff>
                  </to>
                </anchor>
              </controlPr>
            </control>
          </mc:Choice>
        </mc:AlternateContent>
        <mc:AlternateContent xmlns:mc="http://schemas.openxmlformats.org/markup-compatibility/2006">
          <mc:Choice Requires="x14">
            <control shapeId="589122" r:id="rId155" name="Option Button 122178">
              <controlPr defaultSize="0" autoFill="0" autoLine="0" autoPict="0">
                <anchor moveWithCells="1">
                  <from>
                    <xdr:col>21</xdr:col>
                    <xdr:colOff>19050</xdr:colOff>
                    <xdr:row>126</xdr:row>
                    <xdr:rowOff>638175</xdr:rowOff>
                  </from>
                  <to>
                    <xdr:col>22</xdr:col>
                    <xdr:colOff>0</xdr:colOff>
                    <xdr:row>126</xdr:row>
                    <xdr:rowOff>800100</xdr:rowOff>
                  </to>
                </anchor>
              </controlPr>
            </control>
          </mc:Choice>
        </mc:AlternateContent>
        <mc:AlternateContent xmlns:mc="http://schemas.openxmlformats.org/markup-compatibility/2006">
          <mc:Choice Requires="x14">
            <control shapeId="589123" r:id="rId156" name="Option Button 122179">
              <controlPr defaultSize="0" autoFill="0" autoLine="0" autoPict="0">
                <anchor moveWithCells="1">
                  <from>
                    <xdr:col>22</xdr:col>
                    <xdr:colOff>19050</xdr:colOff>
                    <xdr:row>126</xdr:row>
                    <xdr:rowOff>638175</xdr:rowOff>
                  </from>
                  <to>
                    <xdr:col>23</xdr:col>
                    <xdr:colOff>0</xdr:colOff>
                    <xdr:row>126</xdr:row>
                    <xdr:rowOff>800100</xdr:rowOff>
                  </to>
                </anchor>
              </controlPr>
            </control>
          </mc:Choice>
        </mc:AlternateContent>
        <mc:AlternateContent xmlns:mc="http://schemas.openxmlformats.org/markup-compatibility/2006">
          <mc:Choice Requires="x14">
            <control shapeId="589124" r:id="rId157" name="Option Button 122180">
              <controlPr defaultSize="0" autoFill="0" autoLine="0" autoPict="0">
                <anchor moveWithCells="1">
                  <from>
                    <xdr:col>23</xdr:col>
                    <xdr:colOff>19050</xdr:colOff>
                    <xdr:row>126</xdr:row>
                    <xdr:rowOff>638175</xdr:rowOff>
                  </from>
                  <to>
                    <xdr:col>24</xdr:col>
                    <xdr:colOff>0</xdr:colOff>
                    <xdr:row>126</xdr:row>
                    <xdr:rowOff>800100</xdr:rowOff>
                  </to>
                </anchor>
              </controlPr>
            </control>
          </mc:Choice>
        </mc:AlternateContent>
        <mc:AlternateContent xmlns:mc="http://schemas.openxmlformats.org/markup-compatibility/2006">
          <mc:Choice Requires="x14">
            <control shapeId="589125" r:id="rId158" name="Option Button 122181">
              <controlPr defaultSize="0" autoFill="0" autoLine="0" autoPict="0">
                <anchor moveWithCells="1">
                  <from>
                    <xdr:col>24</xdr:col>
                    <xdr:colOff>19050</xdr:colOff>
                    <xdr:row>126</xdr:row>
                    <xdr:rowOff>638175</xdr:rowOff>
                  </from>
                  <to>
                    <xdr:col>25</xdr:col>
                    <xdr:colOff>0</xdr:colOff>
                    <xdr:row>126</xdr:row>
                    <xdr:rowOff>800100</xdr:rowOff>
                  </to>
                </anchor>
              </controlPr>
            </control>
          </mc:Choice>
        </mc:AlternateContent>
        <mc:AlternateContent xmlns:mc="http://schemas.openxmlformats.org/markup-compatibility/2006">
          <mc:Choice Requires="x14">
            <control shapeId="589126" r:id="rId159" name="Group Box 122182">
              <controlPr defaultSize="0" autoFill="0" autoPict="0">
                <anchor moveWithCells="1">
                  <from>
                    <xdr:col>20</xdr:col>
                    <xdr:colOff>0</xdr:colOff>
                    <xdr:row>126</xdr:row>
                    <xdr:rowOff>9525</xdr:rowOff>
                  </from>
                  <to>
                    <xdr:col>25</xdr:col>
                    <xdr:colOff>0</xdr:colOff>
                    <xdr:row>127</xdr:row>
                    <xdr:rowOff>9525</xdr:rowOff>
                  </to>
                </anchor>
              </controlPr>
            </control>
          </mc:Choice>
        </mc:AlternateContent>
        <mc:AlternateContent xmlns:mc="http://schemas.openxmlformats.org/markup-compatibility/2006">
          <mc:Choice Requires="x14">
            <control shapeId="589127" r:id="rId160" name="Option Button 122183">
              <controlPr defaultSize="0" autoFill="0" autoLine="0" autoPict="0">
                <anchor moveWithCells="1">
                  <from>
                    <xdr:col>20</xdr:col>
                    <xdr:colOff>19050</xdr:colOff>
                    <xdr:row>125</xdr:row>
                    <xdr:rowOff>638175</xdr:rowOff>
                  </from>
                  <to>
                    <xdr:col>21</xdr:col>
                    <xdr:colOff>0</xdr:colOff>
                    <xdr:row>125</xdr:row>
                    <xdr:rowOff>800100</xdr:rowOff>
                  </to>
                </anchor>
              </controlPr>
            </control>
          </mc:Choice>
        </mc:AlternateContent>
        <mc:AlternateContent xmlns:mc="http://schemas.openxmlformats.org/markup-compatibility/2006">
          <mc:Choice Requires="x14">
            <control shapeId="589128" r:id="rId161" name="Option Button 122184">
              <controlPr defaultSize="0" autoFill="0" autoLine="0" autoPict="0">
                <anchor moveWithCells="1">
                  <from>
                    <xdr:col>21</xdr:col>
                    <xdr:colOff>19050</xdr:colOff>
                    <xdr:row>125</xdr:row>
                    <xdr:rowOff>638175</xdr:rowOff>
                  </from>
                  <to>
                    <xdr:col>22</xdr:col>
                    <xdr:colOff>0</xdr:colOff>
                    <xdr:row>125</xdr:row>
                    <xdr:rowOff>800100</xdr:rowOff>
                  </to>
                </anchor>
              </controlPr>
            </control>
          </mc:Choice>
        </mc:AlternateContent>
        <mc:AlternateContent xmlns:mc="http://schemas.openxmlformats.org/markup-compatibility/2006">
          <mc:Choice Requires="x14">
            <control shapeId="589129" r:id="rId162" name="Option Button 122185">
              <controlPr defaultSize="0" autoFill="0" autoLine="0" autoPict="0">
                <anchor moveWithCells="1">
                  <from>
                    <xdr:col>22</xdr:col>
                    <xdr:colOff>19050</xdr:colOff>
                    <xdr:row>125</xdr:row>
                    <xdr:rowOff>638175</xdr:rowOff>
                  </from>
                  <to>
                    <xdr:col>23</xdr:col>
                    <xdr:colOff>0</xdr:colOff>
                    <xdr:row>125</xdr:row>
                    <xdr:rowOff>800100</xdr:rowOff>
                  </to>
                </anchor>
              </controlPr>
            </control>
          </mc:Choice>
        </mc:AlternateContent>
        <mc:AlternateContent xmlns:mc="http://schemas.openxmlformats.org/markup-compatibility/2006">
          <mc:Choice Requires="x14">
            <control shapeId="589130" r:id="rId163" name="Option Button 122186">
              <controlPr defaultSize="0" autoFill="0" autoLine="0" autoPict="0">
                <anchor moveWithCells="1">
                  <from>
                    <xdr:col>23</xdr:col>
                    <xdr:colOff>19050</xdr:colOff>
                    <xdr:row>125</xdr:row>
                    <xdr:rowOff>638175</xdr:rowOff>
                  </from>
                  <to>
                    <xdr:col>24</xdr:col>
                    <xdr:colOff>0</xdr:colOff>
                    <xdr:row>125</xdr:row>
                    <xdr:rowOff>800100</xdr:rowOff>
                  </to>
                </anchor>
              </controlPr>
            </control>
          </mc:Choice>
        </mc:AlternateContent>
        <mc:AlternateContent xmlns:mc="http://schemas.openxmlformats.org/markup-compatibility/2006">
          <mc:Choice Requires="x14">
            <control shapeId="589131" r:id="rId164" name="Option Button 122187">
              <controlPr defaultSize="0" autoFill="0" autoLine="0" autoPict="0">
                <anchor moveWithCells="1">
                  <from>
                    <xdr:col>24</xdr:col>
                    <xdr:colOff>19050</xdr:colOff>
                    <xdr:row>125</xdr:row>
                    <xdr:rowOff>638175</xdr:rowOff>
                  </from>
                  <to>
                    <xdr:col>25</xdr:col>
                    <xdr:colOff>0</xdr:colOff>
                    <xdr:row>125</xdr:row>
                    <xdr:rowOff>800100</xdr:rowOff>
                  </to>
                </anchor>
              </controlPr>
            </control>
          </mc:Choice>
        </mc:AlternateContent>
        <mc:AlternateContent xmlns:mc="http://schemas.openxmlformats.org/markup-compatibility/2006">
          <mc:Choice Requires="x14">
            <control shapeId="589132" r:id="rId165" name="Group Box 122188">
              <controlPr defaultSize="0" autoFill="0" autoPict="0">
                <anchor moveWithCells="1">
                  <from>
                    <xdr:col>20</xdr:col>
                    <xdr:colOff>0</xdr:colOff>
                    <xdr:row>125</xdr:row>
                    <xdr:rowOff>9525</xdr:rowOff>
                  </from>
                  <to>
                    <xdr:col>25</xdr:col>
                    <xdr:colOff>0</xdr:colOff>
                    <xdr:row>126</xdr:row>
                    <xdr:rowOff>9525</xdr:rowOff>
                  </to>
                </anchor>
              </controlPr>
            </control>
          </mc:Choice>
        </mc:AlternateContent>
        <mc:AlternateContent xmlns:mc="http://schemas.openxmlformats.org/markup-compatibility/2006">
          <mc:Choice Requires="x14">
            <control shapeId="589133" r:id="rId166" name="Option Button 122189">
              <controlPr defaultSize="0" autoFill="0" autoLine="0" autoPict="0">
                <anchor moveWithCells="1">
                  <from>
                    <xdr:col>20</xdr:col>
                    <xdr:colOff>19050</xdr:colOff>
                    <xdr:row>124</xdr:row>
                    <xdr:rowOff>638175</xdr:rowOff>
                  </from>
                  <to>
                    <xdr:col>21</xdr:col>
                    <xdr:colOff>0</xdr:colOff>
                    <xdr:row>124</xdr:row>
                    <xdr:rowOff>800100</xdr:rowOff>
                  </to>
                </anchor>
              </controlPr>
            </control>
          </mc:Choice>
        </mc:AlternateContent>
        <mc:AlternateContent xmlns:mc="http://schemas.openxmlformats.org/markup-compatibility/2006">
          <mc:Choice Requires="x14">
            <control shapeId="589134" r:id="rId167" name="Option Button 122190">
              <controlPr defaultSize="0" autoFill="0" autoLine="0" autoPict="0">
                <anchor moveWithCells="1">
                  <from>
                    <xdr:col>21</xdr:col>
                    <xdr:colOff>19050</xdr:colOff>
                    <xdr:row>124</xdr:row>
                    <xdr:rowOff>638175</xdr:rowOff>
                  </from>
                  <to>
                    <xdr:col>22</xdr:col>
                    <xdr:colOff>0</xdr:colOff>
                    <xdr:row>124</xdr:row>
                    <xdr:rowOff>800100</xdr:rowOff>
                  </to>
                </anchor>
              </controlPr>
            </control>
          </mc:Choice>
        </mc:AlternateContent>
        <mc:AlternateContent xmlns:mc="http://schemas.openxmlformats.org/markup-compatibility/2006">
          <mc:Choice Requires="x14">
            <control shapeId="589135" r:id="rId168" name="Option Button 122191">
              <controlPr defaultSize="0" autoFill="0" autoLine="0" autoPict="0">
                <anchor moveWithCells="1">
                  <from>
                    <xdr:col>22</xdr:col>
                    <xdr:colOff>19050</xdr:colOff>
                    <xdr:row>124</xdr:row>
                    <xdr:rowOff>638175</xdr:rowOff>
                  </from>
                  <to>
                    <xdr:col>23</xdr:col>
                    <xdr:colOff>0</xdr:colOff>
                    <xdr:row>124</xdr:row>
                    <xdr:rowOff>800100</xdr:rowOff>
                  </to>
                </anchor>
              </controlPr>
            </control>
          </mc:Choice>
        </mc:AlternateContent>
        <mc:AlternateContent xmlns:mc="http://schemas.openxmlformats.org/markup-compatibility/2006">
          <mc:Choice Requires="x14">
            <control shapeId="589136" r:id="rId169" name="Option Button 122192">
              <controlPr defaultSize="0" autoFill="0" autoLine="0" autoPict="0">
                <anchor moveWithCells="1">
                  <from>
                    <xdr:col>23</xdr:col>
                    <xdr:colOff>19050</xdr:colOff>
                    <xdr:row>124</xdr:row>
                    <xdr:rowOff>638175</xdr:rowOff>
                  </from>
                  <to>
                    <xdr:col>24</xdr:col>
                    <xdr:colOff>0</xdr:colOff>
                    <xdr:row>124</xdr:row>
                    <xdr:rowOff>800100</xdr:rowOff>
                  </to>
                </anchor>
              </controlPr>
            </control>
          </mc:Choice>
        </mc:AlternateContent>
        <mc:AlternateContent xmlns:mc="http://schemas.openxmlformats.org/markup-compatibility/2006">
          <mc:Choice Requires="x14">
            <control shapeId="589137" r:id="rId170" name="Option Button 122193">
              <controlPr defaultSize="0" autoFill="0" autoLine="0" autoPict="0">
                <anchor moveWithCells="1">
                  <from>
                    <xdr:col>24</xdr:col>
                    <xdr:colOff>19050</xdr:colOff>
                    <xdr:row>124</xdr:row>
                    <xdr:rowOff>638175</xdr:rowOff>
                  </from>
                  <to>
                    <xdr:col>25</xdr:col>
                    <xdr:colOff>0</xdr:colOff>
                    <xdr:row>124</xdr:row>
                    <xdr:rowOff>800100</xdr:rowOff>
                  </to>
                </anchor>
              </controlPr>
            </control>
          </mc:Choice>
        </mc:AlternateContent>
        <mc:AlternateContent xmlns:mc="http://schemas.openxmlformats.org/markup-compatibility/2006">
          <mc:Choice Requires="x14">
            <control shapeId="589138" r:id="rId171" name="Group Box 122194">
              <controlPr defaultSize="0" autoFill="0" autoPict="0">
                <anchor moveWithCells="1">
                  <from>
                    <xdr:col>20</xdr:col>
                    <xdr:colOff>0</xdr:colOff>
                    <xdr:row>124</xdr:row>
                    <xdr:rowOff>9525</xdr:rowOff>
                  </from>
                  <to>
                    <xdr:col>25</xdr:col>
                    <xdr:colOff>0</xdr:colOff>
                    <xdr:row>125</xdr:row>
                    <xdr:rowOff>9525</xdr:rowOff>
                  </to>
                </anchor>
              </controlPr>
            </control>
          </mc:Choice>
        </mc:AlternateContent>
        <mc:AlternateContent xmlns:mc="http://schemas.openxmlformats.org/markup-compatibility/2006">
          <mc:Choice Requires="x14">
            <control shapeId="2077" r:id="rId172" name="Group Box 29">
              <controlPr defaultSize="0" autoFill="0" autoPict="0">
                <anchor moveWithCells="1" sizeWithCells="1">
                  <from>
                    <xdr:col>19</xdr:col>
                    <xdr:colOff>0</xdr:colOff>
                    <xdr:row>16</xdr:row>
                    <xdr:rowOff>9525</xdr:rowOff>
                  </from>
                  <to>
                    <xdr:col>24</xdr:col>
                    <xdr:colOff>0</xdr:colOff>
                    <xdr:row>17</xdr:row>
                    <xdr:rowOff>9525</xdr:rowOff>
                  </to>
                </anchor>
              </controlPr>
            </control>
          </mc:Choice>
        </mc:AlternateContent>
        <mc:AlternateContent xmlns:mc="http://schemas.openxmlformats.org/markup-compatibility/2006">
          <mc:Choice Requires="x14">
            <control shapeId="2092" r:id="rId173" name="Option Button 44">
              <controlPr defaultSize="0" autoFill="0" autoLine="0" autoPict="0">
                <anchor moveWithCells="1" sizeWithCells="1">
                  <from>
                    <xdr:col>19</xdr:col>
                    <xdr:colOff>19050</xdr:colOff>
                    <xdr:row>16</xdr:row>
                    <xdr:rowOff>19050</xdr:rowOff>
                  </from>
                  <to>
                    <xdr:col>19</xdr:col>
                    <xdr:colOff>257175</xdr:colOff>
                    <xdr:row>16</xdr:row>
                    <xdr:rowOff>285750</xdr:rowOff>
                  </to>
                </anchor>
              </controlPr>
            </control>
          </mc:Choice>
        </mc:AlternateContent>
        <mc:AlternateContent xmlns:mc="http://schemas.openxmlformats.org/markup-compatibility/2006">
          <mc:Choice Requires="x14">
            <control shapeId="2107" r:id="rId174" name="Option Button 59">
              <controlPr defaultSize="0" autoFill="0" autoLine="0" autoPict="0">
                <anchor moveWithCells="1" sizeWithCells="1">
                  <from>
                    <xdr:col>20</xdr:col>
                    <xdr:colOff>19050</xdr:colOff>
                    <xdr:row>16</xdr:row>
                    <xdr:rowOff>19050</xdr:rowOff>
                  </from>
                  <to>
                    <xdr:col>20</xdr:col>
                    <xdr:colOff>257175</xdr:colOff>
                    <xdr:row>16</xdr:row>
                    <xdr:rowOff>285750</xdr:rowOff>
                  </to>
                </anchor>
              </controlPr>
            </control>
          </mc:Choice>
        </mc:AlternateContent>
        <mc:AlternateContent xmlns:mc="http://schemas.openxmlformats.org/markup-compatibility/2006">
          <mc:Choice Requires="x14">
            <control shapeId="2121" r:id="rId175" name="Option Button 73">
              <controlPr defaultSize="0" autoFill="0" autoLine="0" autoPict="0">
                <anchor moveWithCells="1" sizeWithCells="1">
                  <from>
                    <xdr:col>21</xdr:col>
                    <xdr:colOff>19050</xdr:colOff>
                    <xdr:row>16</xdr:row>
                    <xdr:rowOff>19050</xdr:rowOff>
                  </from>
                  <to>
                    <xdr:col>21</xdr:col>
                    <xdr:colOff>257175</xdr:colOff>
                    <xdr:row>16</xdr:row>
                    <xdr:rowOff>285750</xdr:rowOff>
                  </to>
                </anchor>
              </controlPr>
            </control>
          </mc:Choice>
        </mc:AlternateContent>
        <mc:AlternateContent xmlns:mc="http://schemas.openxmlformats.org/markup-compatibility/2006">
          <mc:Choice Requires="x14">
            <control shapeId="2135" r:id="rId176" name="Option Button 87">
              <controlPr defaultSize="0" autoFill="0" autoLine="0" autoPict="0">
                <anchor moveWithCells="1" sizeWithCells="1">
                  <from>
                    <xdr:col>22</xdr:col>
                    <xdr:colOff>19050</xdr:colOff>
                    <xdr:row>16</xdr:row>
                    <xdr:rowOff>19050</xdr:rowOff>
                  </from>
                  <to>
                    <xdr:col>22</xdr:col>
                    <xdr:colOff>257175</xdr:colOff>
                    <xdr:row>16</xdr:row>
                    <xdr:rowOff>285750</xdr:rowOff>
                  </to>
                </anchor>
              </controlPr>
            </control>
          </mc:Choice>
        </mc:AlternateContent>
        <mc:AlternateContent xmlns:mc="http://schemas.openxmlformats.org/markup-compatibility/2006">
          <mc:Choice Requires="x14">
            <control shapeId="2149" r:id="rId177" name="Option Button 101">
              <controlPr defaultSize="0" autoFill="0" autoLine="0" autoPict="0">
                <anchor moveWithCells="1" sizeWithCells="1">
                  <from>
                    <xdr:col>23</xdr:col>
                    <xdr:colOff>19050</xdr:colOff>
                    <xdr:row>16</xdr:row>
                    <xdr:rowOff>19050</xdr:rowOff>
                  </from>
                  <to>
                    <xdr:col>23</xdr:col>
                    <xdr:colOff>257175</xdr:colOff>
                    <xdr:row>16</xdr:row>
                    <xdr:rowOff>285750</xdr:rowOff>
                  </to>
                </anchor>
              </controlPr>
            </control>
          </mc:Choice>
        </mc:AlternateContent>
        <mc:AlternateContent xmlns:mc="http://schemas.openxmlformats.org/markup-compatibility/2006">
          <mc:Choice Requires="x14">
            <control shapeId="2080" r:id="rId178" name="Group Box 32">
              <controlPr defaultSize="0" autoFill="0" autoPict="0">
                <anchor moveWithCells="1" sizeWithCells="1">
                  <from>
                    <xdr:col>19</xdr:col>
                    <xdr:colOff>0</xdr:colOff>
                    <xdr:row>19</xdr:row>
                    <xdr:rowOff>9525</xdr:rowOff>
                  </from>
                  <to>
                    <xdr:col>24</xdr:col>
                    <xdr:colOff>0</xdr:colOff>
                    <xdr:row>20</xdr:row>
                    <xdr:rowOff>9525</xdr:rowOff>
                  </to>
                </anchor>
              </controlPr>
            </control>
          </mc:Choice>
        </mc:AlternateContent>
        <mc:AlternateContent xmlns:mc="http://schemas.openxmlformats.org/markup-compatibility/2006">
          <mc:Choice Requires="x14">
            <control shapeId="2095" r:id="rId179" name="Option Button 47">
              <controlPr defaultSize="0" autoFill="0" autoLine="0" autoPict="0">
                <anchor moveWithCells="1" sizeWithCells="1">
                  <from>
                    <xdr:col>19</xdr:col>
                    <xdr:colOff>19050</xdr:colOff>
                    <xdr:row>19</xdr:row>
                    <xdr:rowOff>19050</xdr:rowOff>
                  </from>
                  <to>
                    <xdr:col>19</xdr:col>
                    <xdr:colOff>257175</xdr:colOff>
                    <xdr:row>19</xdr:row>
                    <xdr:rowOff>285750</xdr:rowOff>
                  </to>
                </anchor>
              </controlPr>
            </control>
          </mc:Choice>
        </mc:AlternateContent>
        <mc:AlternateContent xmlns:mc="http://schemas.openxmlformats.org/markup-compatibility/2006">
          <mc:Choice Requires="x14">
            <control shapeId="2110" r:id="rId180" name="Option Button 62">
              <controlPr defaultSize="0" autoFill="0" autoLine="0" autoPict="0">
                <anchor moveWithCells="1" sizeWithCells="1">
                  <from>
                    <xdr:col>20</xdr:col>
                    <xdr:colOff>19050</xdr:colOff>
                    <xdr:row>19</xdr:row>
                    <xdr:rowOff>19050</xdr:rowOff>
                  </from>
                  <to>
                    <xdr:col>20</xdr:col>
                    <xdr:colOff>257175</xdr:colOff>
                    <xdr:row>19</xdr:row>
                    <xdr:rowOff>285750</xdr:rowOff>
                  </to>
                </anchor>
              </controlPr>
            </control>
          </mc:Choice>
        </mc:AlternateContent>
        <mc:AlternateContent xmlns:mc="http://schemas.openxmlformats.org/markup-compatibility/2006">
          <mc:Choice Requires="x14">
            <control shapeId="2124" r:id="rId181" name="Option Button 76">
              <controlPr defaultSize="0" autoFill="0" autoLine="0" autoPict="0">
                <anchor moveWithCells="1" sizeWithCells="1">
                  <from>
                    <xdr:col>21</xdr:col>
                    <xdr:colOff>19050</xdr:colOff>
                    <xdr:row>19</xdr:row>
                    <xdr:rowOff>19050</xdr:rowOff>
                  </from>
                  <to>
                    <xdr:col>21</xdr:col>
                    <xdr:colOff>257175</xdr:colOff>
                    <xdr:row>19</xdr:row>
                    <xdr:rowOff>285750</xdr:rowOff>
                  </to>
                </anchor>
              </controlPr>
            </control>
          </mc:Choice>
        </mc:AlternateContent>
        <mc:AlternateContent xmlns:mc="http://schemas.openxmlformats.org/markup-compatibility/2006">
          <mc:Choice Requires="x14">
            <control shapeId="2138" r:id="rId182" name="Option Button 90">
              <controlPr defaultSize="0" autoFill="0" autoLine="0" autoPict="0">
                <anchor moveWithCells="1" sizeWithCells="1">
                  <from>
                    <xdr:col>22</xdr:col>
                    <xdr:colOff>19050</xdr:colOff>
                    <xdr:row>19</xdr:row>
                    <xdr:rowOff>19050</xdr:rowOff>
                  </from>
                  <to>
                    <xdr:col>22</xdr:col>
                    <xdr:colOff>257175</xdr:colOff>
                    <xdr:row>19</xdr:row>
                    <xdr:rowOff>285750</xdr:rowOff>
                  </to>
                </anchor>
              </controlPr>
            </control>
          </mc:Choice>
        </mc:AlternateContent>
        <mc:AlternateContent xmlns:mc="http://schemas.openxmlformats.org/markup-compatibility/2006">
          <mc:Choice Requires="x14">
            <control shapeId="2152" r:id="rId183" name="Option Button 104">
              <controlPr defaultSize="0" autoFill="0" autoLine="0" autoPict="0">
                <anchor moveWithCells="1" sizeWithCells="1">
                  <from>
                    <xdr:col>23</xdr:col>
                    <xdr:colOff>19050</xdr:colOff>
                    <xdr:row>19</xdr:row>
                    <xdr:rowOff>19050</xdr:rowOff>
                  </from>
                  <to>
                    <xdr:col>23</xdr:col>
                    <xdr:colOff>257175</xdr:colOff>
                    <xdr:row>19</xdr:row>
                    <xdr:rowOff>285750</xdr:rowOff>
                  </to>
                </anchor>
              </controlPr>
            </control>
          </mc:Choice>
        </mc:AlternateContent>
        <mc:AlternateContent xmlns:mc="http://schemas.openxmlformats.org/markup-compatibility/2006">
          <mc:Choice Requires="x14">
            <control shapeId="2091" r:id="rId184" name="Option Button 43">
              <controlPr defaultSize="0" autoFill="0" autoLine="0" autoPict="0">
                <anchor moveWithCells="1" sizeWithCells="1">
                  <from>
                    <xdr:col>19</xdr:col>
                    <xdr:colOff>19050</xdr:colOff>
                    <xdr:row>15</xdr:row>
                    <xdr:rowOff>19050</xdr:rowOff>
                  </from>
                  <to>
                    <xdr:col>19</xdr:col>
                    <xdr:colOff>257175</xdr:colOff>
                    <xdr:row>15</xdr:row>
                    <xdr:rowOff>285750</xdr:rowOff>
                  </to>
                </anchor>
              </controlPr>
            </control>
          </mc:Choice>
        </mc:AlternateContent>
        <mc:AlternateContent xmlns:mc="http://schemas.openxmlformats.org/markup-compatibility/2006">
          <mc:Choice Requires="x14">
            <control shapeId="2106" r:id="rId185" name="Option Button 58">
              <controlPr defaultSize="0" autoFill="0" autoLine="0" autoPict="0">
                <anchor moveWithCells="1" sizeWithCells="1">
                  <from>
                    <xdr:col>20</xdr:col>
                    <xdr:colOff>19050</xdr:colOff>
                    <xdr:row>15</xdr:row>
                    <xdr:rowOff>19050</xdr:rowOff>
                  </from>
                  <to>
                    <xdr:col>20</xdr:col>
                    <xdr:colOff>257175</xdr:colOff>
                    <xdr:row>15</xdr:row>
                    <xdr:rowOff>285750</xdr:rowOff>
                  </to>
                </anchor>
              </controlPr>
            </control>
          </mc:Choice>
        </mc:AlternateContent>
        <mc:AlternateContent xmlns:mc="http://schemas.openxmlformats.org/markup-compatibility/2006">
          <mc:Choice Requires="x14">
            <control shapeId="2120" r:id="rId186" name="Option Button 72">
              <controlPr defaultSize="0" autoFill="0" autoLine="0" autoPict="0">
                <anchor moveWithCells="1" sizeWithCells="1">
                  <from>
                    <xdr:col>21</xdr:col>
                    <xdr:colOff>19050</xdr:colOff>
                    <xdr:row>15</xdr:row>
                    <xdr:rowOff>19050</xdr:rowOff>
                  </from>
                  <to>
                    <xdr:col>21</xdr:col>
                    <xdr:colOff>257175</xdr:colOff>
                    <xdr:row>15</xdr:row>
                    <xdr:rowOff>285750</xdr:rowOff>
                  </to>
                </anchor>
              </controlPr>
            </control>
          </mc:Choice>
        </mc:AlternateContent>
        <mc:AlternateContent xmlns:mc="http://schemas.openxmlformats.org/markup-compatibility/2006">
          <mc:Choice Requires="x14">
            <control shapeId="2134" r:id="rId187" name="Option Button 86">
              <controlPr defaultSize="0" autoFill="0" autoLine="0" autoPict="0">
                <anchor moveWithCells="1" sizeWithCells="1">
                  <from>
                    <xdr:col>22</xdr:col>
                    <xdr:colOff>19050</xdr:colOff>
                    <xdr:row>15</xdr:row>
                    <xdr:rowOff>19050</xdr:rowOff>
                  </from>
                  <to>
                    <xdr:col>22</xdr:col>
                    <xdr:colOff>257175</xdr:colOff>
                    <xdr:row>15</xdr:row>
                    <xdr:rowOff>285750</xdr:rowOff>
                  </to>
                </anchor>
              </controlPr>
            </control>
          </mc:Choice>
        </mc:AlternateContent>
        <mc:AlternateContent xmlns:mc="http://schemas.openxmlformats.org/markup-compatibility/2006">
          <mc:Choice Requires="x14">
            <control shapeId="2148" r:id="rId188" name="Option Button 100">
              <controlPr defaultSize="0" autoFill="0" autoLine="0" autoPict="0">
                <anchor moveWithCells="1" sizeWithCells="1">
                  <from>
                    <xdr:col>23</xdr:col>
                    <xdr:colOff>19050</xdr:colOff>
                    <xdr:row>15</xdr:row>
                    <xdr:rowOff>19050</xdr:rowOff>
                  </from>
                  <to>
                    <xdr:col>23</xdr:col>
                    <xdr:colOff>257175</xdr:colOff>
                    <xdr:row>15</xdr:row>
                    <xdr:rowOff>285750</xdr:rowOff>
                  </to>
                </anchor>
              </controlPr>
            </control>
          </mc:Choice>
        </mc:AlternateContent>
        <mc:AlternateContent xmlns:mc="http://schemas.openxmlformats.org/markup-compatibility/2006">
          <mc:Choice Requires="x14">
            <control shapeId="2076" r:id="rId189" name="Group Box 28">
              <controlPr defaultSize="0" autoFill="0" autoPict="0">
                <anchor moveWithCells="1" sizeWithCells="1">
                  <from>
                    <xdr:col>19</xdr:col>
                    <xdr:colOff>0</xdr:colOff>
                    <xdr:row>15</xdr:row>
                    <xdr:rowOff>9525</xdr:rowOff>
                  </from>
                  <to>
                    <xdr:col>24</xdr:col>
                    <xdr:colOff>0</xdr:colOff>
                    <xdr:row>16</xdr:row>
                    <xdr:rowOff>9525</xdr:rowOff>
                  </to>
                </anchor>
              </controlPr>
            </control>
          </mc:Choice>
        </mc:AlternateContent>
        <mc:AlternateContent xmlns:mc="http://schemas.openxmlformats.org/markup-compatibility/2006">
          <mc:Choice Requires="x14">
            <control shapeId="2093" r:id="rId190" name="Option Button 45">
              <controlPr defaultSize="0" autoFill="0" autoLine="0" autoPict="0">
                <anchor moveWithCells="1" sizeWithCells="1">
                  <from>
                    <xdr:col>19</xdr:col>
                    <xdr:colOff>19050</xdr:colOff>
                    <xdr:row>17</xdr:row>
                    <xdr:rowOff>19050</xdr:rowOff>
                  </from>
                  <to>
                    <xdr:col>19</xdr:col>
                    <xdr:colOff>257175</xdr:colOff>
                    <xdr:row>17</xdr:row>
                    <xdr:rowOff>285750</xdr:rowOff>
                  </to>
                </anchor>
              </controlPr>
            </control>
          </mc:Choice>
        </mc:AlternateContent>
        <mc:AlternateContent xmlns:mc="http://schemas.openxmlformats.org/markup-compatibility/2006">
          <mc:Choice Requires="x14">
            <control shapeId="2108" r:id="rId191" name="Option Button 60">
              <controlPr defaultSize="0" autoFill="0" autoLine="0" autoPict="0">
                <anchor moveWithCells="1" sizeWithCells="1">
                  <from>
                    <xdr:col>20</xdr:col>
                    <xdr:colOff>19050</xdr:colOff>
                    <xdr:row>17</xdr:row>
                    <xdr:rowOff>19050</xdr:rowOff>
                  </from>
                  <to>
                    <xdr:col>20</xdr:col>
                    <xdr:colOff>257175</xdr:colOff>
                    <xdr:row>17</xdr:row>
                    <xdr:rowOff>285750</xdr:rowOff>
                  </to>
                </anchor>
              </controlPr>
            </control>
          </mc:Choice>
        </mc:AlternateContent>
        <mc:AlternateContent xmlns:mc="http://schemas.openxmlformats.org/markup-compatibility/2006">
          <mc:Choice Requires="x14">
            <control shapeId="2122" r:id="rId192" name="Option Button 74">
              <controlPr defaultSize="0" autoFill="0" autoLine="0" autoPict="0">
                <anchor moveWithCells="1" sizeWithCells="1">
                  <from>
                    <xdr:col>21</xdr:col>
                    <xdr:colOff>19050</xdr:colOff>
                    <xdr:row>17</xdr:row>
                    <xdr:rowOff>19050</xdr:rowOff>
                  </from>
                  <to>
                    <xdr:col>21</xdr:col>
                    <xdr:colOff>257175</xdr:colOff>
                    <xdr:row>17</xdr:row>
                    <xdr:rowOff>285750</xdr:rowOff>
                  </to>
                </anchor>
              </controlPr>
            </control>
          </mc:Choice>
        </mc:AlternateContent>
        <mc:AlternateContent xmlns:mc="http://schemas.openxmlformats.org/markup-compatibility/2006">
          <mc:Choice Requires="x14">
            <control shapeId="2136" r:id="rId193" name="Option Button 88">
              <controlPr defaultSize="0" autoFill="0" autoLine="0" autoPict="0">
                <anchor moveWithCells="1" sizeWithCells="1">
                  <from>
                    <xdr:col>22</xdr:col>
                    <xdr:colOff>19050</xdr:colOff>
                    <xdr:row>17</xdr:row>
                    <xdr:rowOff>19050</xdr:rowOff>
                  </from>
                  <to>
                    <xdr:col>22</xdr:col>
                    <xdr:colOff>257175</xdr:colOff>
                    <xdr:row>17</xdr:row>
                    <xdr:rowOff>285750</xdr:rowOff>
                  </to>
                </anchor>
              </controlPr>
            </control>
          </mc:Choice>
        </mc:AlternateContent>
        <mc:AlternateContent xmlns:mc="http://schemas.openxmlformats.org/markup-compatibility/2006">
          <mc:Choice Requires="x14">
            <control shapeId="2150" r:id="rId194" name="Option Button 102">
              <controlPr defaultSize="0" autoFill="0" autoLine="0" autoPict="0">
                <anchor moveWithCells="1" sizeWithCells="1">
                  <from>
                    <xdr:col>23</xdr:col>
                    <xdr:colOff>19050</xdr:colOff>
                    <xdr:row>17</xdr:row>
                    <xdr:rowOff>19050</xdr:rowOff>
                  </from>
                  <to>
                    <xdr:col>23</xdr:col>
                    <xdr:colOff>257175</xdr:colOff>
                    <xdr:row>17</xdr:row>
                    <xdr:rowOff>285750</xdr:rowOff>
                  </to>
                </anchor>
              </controlPr>
            </control>
          </mc:Choice>
        </mc:AlternateContent>
        <mc:AlternateContent xmlns:mc="http://schemas.openxmlformats.org/markup-compatibility/2006">
          <mc:Choice Requires="x14">
            <control shapeId="2078" r:id="rId195" name="Group Box 30">
              <controlPr defaultSize="0" autoFill="0" autoPict="0">
                <anchor moveWithCells="1" sizeWithCells="1">
                  <from>
                    <xdr:col>19</xdr:col>
                    <xdr:colOff>0</xdr:colOff>
                    <xdr:row>17</xdr:row>
                    <xdr:rowOff>9525</xdr:rowOff>
                  </from>
                  <to>
                    <xdr:col>24</xdr:col>
                    <xdr:colOff>0</xdr:colOff>
                    <xdr:row>18</xdr:row>
                    <xdr:rowOff>9525</xdr:rowOff>
                  </to>
                </anchor>
              </controlPr>
            </control>
          </mc:Choice>
        </mc:AlternateContent>
        <mc:AlternateContent xmlns:mc="http://schemas.openxmlformats.org/markup-compatibility/2006">
          <mc:Choice Requires="x14">
            <control shapeId="2074" r:id="rId196" name="Group Box 26">
              <controlPr defaultSize="0" autoFill="0" autoPict="0">
                <anchor moveWithCells="1" sizeWithCells="1">
                  <from>
                    <xdr:col>19</xdr:col>
                    <xdr:colOff>0</xdr:colOff>
                    <xdr:row>13</xdr:row>
                    <xdr:rowOff>9525</xdr:rowOff>
                  </from>
                  <to>
                    <xdr:col>24</xdr:col>
                    <xdr:colOff>0</xdr:colOff>
                    <xdr:row>14</xdr:row>
                    <xdr:rowOff>9525</xdr:rowOff>
                  </to>
                </anchor>
              </controlPr>
            </control>
          </mc:Choice>
        </mc:AlternateContent>
        <mc:AlternateContent xmlns:mc="http://schemas.openxmlformats.org/markup-compatibility/2006">
          <mc:Choice Requires="x14">
            <control shapeId="2104" r:id="rId197" name="Option Button 56">
              <controlPr defaultSize="0" autoFill="0" autoLine="0" autoPict="0">
                <anchor moveWithCells="1" sizeWithCells="1">
                  <from>
                    <xdr:col>19</xdr:col>
                    <xdr:colOff>19050</xdr:colOff>
                    <xdr:row>13</xdr:row>
                    <xdr:rowOff>19050</xdr:rowOff>
                  </from>
                  <to>
                    <xdr:col>19</xdr:col>
                    <xdr:colOff>257175</xdr:colOff>
                    <xdr:row>13</xdr:row>
                    <xdr:rowOff>285750</xdr:rowOff>
                  </to>
                </anchor>
              </controlPr>
            </control>
          </mc:Choice>
        </mc:AlternateContent>
        <mc:AlternateContent xmlns:mc="http://schemas.openxmlformats.org/markup-compatibility/2006">
          <mc:Choice Requires="x14">
            <control shapeId="2118" r:id="rId198" name="Option Button 70">
              <controlPr defaultSize="0" autoFill="0" autoLine="0" autoPict="0">
                <anchor moveWithCells="1" sizeWithCells="1">
                  <from>
                    <xdr:col>20</xdr:col>
                    <xdr:colOff>19050</xdr:colOff>
                    <xdr:row>13</xdr:row>
                    <xdr:rowOff>19050</xdr:rowOff>
                  </from>
                  <to>
                    <xdr:col>20</xdr:col>
                    <xdr:colOff>257175</xdr:colOff>
                    <xdr:row>13</xdr:row>
                    <xdr:rowOff>285750</xdr:rowOff>
                  </to>
                </anchor>
              </controlPr>
            </control>
          </mc:Choice>
        </mc:AlternateContent>
        <mc:AlternateContent xmlns:mc="http://schemas.openxmlformats.org/markup-compatibility/2006">
          <mc:Choice Requires="x14">
            <control shapeId="2978" r:id="rId199" name="Option Button 930">
              <controlPr defaultSize="0" autoFill="0" autoLine="0" autoPict="0">
                <anchor moveWithCells="1" sizeWithCells="1">
                  <from>
                    <xdr:col>21</xdr:col>
                    <xdr:colOff>19050</xdr:colOff>
                    <xdr:row>13</xdr:row>
                    <xdr:rowOff>19050</xdr:rowOff>
                  </from>
                  <to>
                    <xdr:col>21</xdr:col>
                    <xdr:colOff>257175</xdr:colOff>
                    <xdr:row>14</xdr:row>
                    <xdr:rowOff>0</xdr:rowOff>
                  </to>
                </anchor>
              </controlPr>
            </control>
          </mc:Choice>
        </mc:AlternateContent>
        <mc:AlternateContent xmlns:mc="http://schemas.openxmlformats.org/markup-compatibility/2006">
          <mc:Choice Requires="x14">
            <control shapeId="2979" r:id="rId200" name="Option Button 931">
              <controlPr defaultSize="0" autoFill="0" autoLine="0" autoPict="0">
                <anchor moveWithCells="1" sizeWithCells="1">
                  <from>
                    <xdr:col>22</xdr:col>
                    <xdr:colOff>19050</xdr:colOff>
                    <xdr:row>13</xdr:row>
                    <xdr:rowOff>19050</xdr:rowOff>
                  </from>
                  <to>
                    <xdr:col>22</xdr:col>
                    <xdr:colOff>257175</xdr:colOff>
                    <xdr:row>14</xdr:row>
                    <xdr:rowOff>0</xdr:rowOff>
                  </to>
                </anchor>
              </controlPr>
            </control>
          </mc:Choice>
        </mc:AlternateContent>
        <mc:AlternateContent xmlns:mc="http://schemas.openxmlformats.org/markup-compatibility/2006">
          <mc:Choice Requires="x14">
            <control shapeId="2980" r:id="rId201" name="Option Button 932">
              <controlPr defaultSize="0" autoFill="0" autoLine="0" autoPict="0">
                <anchor moveWithCells="1" sizeWithCells="1">
                  <from>
                    <xdr:col>23</xdr:col>
                    <xdr:colOff>19050</xdr:colOff>
                    <xdr:row>13</xdr:row>
                    <xdr:rowOff>19050</xdr:rowOff>
                  </from>
                  <to>
                    <xdr:col>23</xdr:col>
                    <xdr:colOff>257175</xdr:colOff>
                    <xdr:row>14</xdr:row>
                    <xdr:rowOff>0</xdr:rowOff>
                  </to>
                </anchor>
              </controlPr>
            </control>
          </mc:Choice>
        </mc:AlternateContent>
        <mc:AlternateContent xmlns:mc="http://schemas.openxmlformats.org/markup-compatibility/2006">
          <mc:Choice Requires="x14">
            <control shapeId="2105" r:id="rId202" name="Option Button 57">
              <controlPr defaultSize="0" autoFill="0" autoLine="0" autoPict="0">
                <anchor moveWithCells="1" sizeWithCells="1">
                  <from>
                    <xdr:col>19</xdr:col>
                    <xdr:colOff>19050</xdr:colOff>
                    <xdr:row>14</xdr:row>
                    <xdr:rowOff>19050</xdr:rowOff>
                  </from>
                  <to>
                    <xdr:col>19</xdr:col>
                    <xdr:colOff>257175</xdr:colOff>
                    <xdr:row>14</xdr:row>
                    <xdr:rowOff>285750</xdr:rowOff>
                  </to>
                </anchor>
              </controlPr>
            </control>
          </mc:Choice>
        </mc:AlternateContent>
        <mc:AlternateContent xmlns:mc="http://schemas.openxmlformats.org/markup-compatibility/2006">
          <mc:Choice Requires="x14">
            <control shapeId="2119" r:id="rId203" name="Option Button 71">
              <controlPr defaultSize="0" autoFill="0" autoLine="0" autoPict="0">
                <anchor moveWithCells="1" sizeWithCells="1">
                  <from>
                    <xdr:col>20</xdr:col>
                    <xdr:colOff>19050</xdr:colOff>
                    <xdr:row>14</xdr:row>
                    <xdr:rowOff>19050</xdr:rowOff>
                  </from>
                  <to>
                    <xdr:col>20</xdr:col>
                    <xdr:colOff>257175</xdr:colOff>
                    <xdr:row>14</xdr:row>
                    <xdr:rowOff>285750</xdr:rowOff>
                  </to>
                </anchor>
              </controlPr>
            </control>
          </mc:Choice>
        </mc:AlternateContent>
        <mc:AlternateContent xmlns:mc="http://schemas.openxmlformats.org/markup-compatibility/2006">
          <mc:Choice Requires="x14">
            <control shapeId="2133" r:id="rId204" name="Option Button 85">
              <controlPr defaultSize="0" autoFill="0" autoLine="0" autoPict="0">
                <anchor moveWithCells="1" sizeWithCells="1">
                  <from>
                    <xdr:col>21</xdr:col>
                    <xdr:colOff>19050</xdr:colOff>
                    <xdr:row>14</xdr:row>
                    <xdr:rowOff>19050</xdr:rowOff>
                  </from>
                  <to>
                    <xdr:col>21</xdr:col>
                    <xdr:colOff>257175</xdr:colOff>
                    <xdr:row>14</xdr:row>
                    <xdr:rowOff>285750</xdr:rowOff>
                  </to>
                </anchor>
              </controlPr>
            </control>
          </mc:Choice>
        </mc:AlternateContent>
        <mc:AlternateContent xmlns:mc="http://schemas.openxmlformats.org/markup-compatibility/2006">
          <mc:Choice Requires="x14">
            <control shapeId="2147" r:id="rId205" name="Option Button 99">
              <controlPr defaultSize="0" autoFill="0" autoLine="0" autoPict="0">
                <anchor moveWithCells="1" sizeWithCells="1">
                  <from>
                    <xdr:col>22</xdr:col>
                    <xdr:colOff>19050</xdr:colOff>
                    <xdr:row>14</xdr:row>
                    <xdr:rowOff>19050</xdr:rowOff>
                  </from>
                  <to>
                    <xdr:col>22</xdr:col>
                    <xdr:colOff>257175</xdr:colOff>
                    <xdr:row>14</xdr:row>
                    <xdr:rowOff>285750</xdr:rowOff>
                  </to>
                </anchor>
              </controlPr>
            </control>
          </mc:Choice>
        </mc:AlternateContent>
        <mc:AlternateContent xmlns:mc="http://schemas.openxmlformats.org/markup-compatibility/2006">
          <mc:Choice Requires="x14">
            <control shapeId="2075" r:id="rId206" name="Group Box 27">
              <controlPr defaultSize="0" autoFill="0" autoPict="0">
                <anchor moveWithCells="1" sizeWithCells="1">
                  <from>
                    <xdr:col>19</xdr:col>
                    <xdr:colOff>0</xdr:colOff>
                    <xdr:row>14</xdr:row>
                    <xdr:rowOff>9525</xdr:rowOff>
                  </from>
                  <to>
                    <xdr:col>24</xdr:col>
                    <xdr:colOff>0</xdr:colOff>
                    <xdr:row>15</xdr:row>
                    <xdr:rowOff>9525</xdr:rowOff>
                  </to>
                </anchor>
              </controlPr>
            </control>
          </mc:Choice>
        </mc:AlternateContent>
        <mc:AlternateContent xmlns:mc="http://schemas.openxmlformats.org/markup-compatibility/2006">
          <mc:Choice Requires="x14">
            <control shapeId="2981" r:id="rId207" name="Option Button 933">
              <controlPr defaultSize="0" autoFill="0" autoLine="0" autoPict="0">
                <anchor moveWithCells="1" sizeWithCells="1">
                  <from>
                    <xdr:col>23</xdr:col>
                    <xdr:colOff>19050</xdr:colOff>
                    <xdr:row>14</xdr:row>
                    <xdr:rowOff>19050</xdr:rowOff>
                  </from>
                  <to>
                    <xdr:col>23</xdr:col>
                    <xdr:colOff>257175</xdr:colOff>
                    <xdr:row>15</xdr:row>
                    <xdr:rowOff>0</xdr:rowOff>
                  </to>
                </anchor>
              </controlPr>
            </control>
          </mc:Choice>
        </mc:AlternateContent>
        <mc:AlternateContent xmlns:mc="http://schemas.openxmlformats.org/markup-compatibility/2006">
          <mc:Choice Requires="x14">
            <control shapeId="2079" r:id="rId208" name="Group Box 31">
              <controlPr defaultSize="0" autoFill="0" autoPict="0">
                <anchor moveWithCells="1" sizeWithCells="1">
                  <from>
                    <xdr:col>19</xdr:col>
                    <xdr:colOff>0</xdr:colOff>
                    <xdr:row>18</xdr:row>
                    <xdr:rowOff>9525</xdr:rowOff>
                  </from>
                  <to>
                    <xdr:col>24</xdr:col>
                    <xdr:colOff>0</xdr:colOff>
                    <xdr:row>19</xdr:row>
                    <xdr:rowOff>9525</xdr:rowOff>
                  </to>
                </anchor>
              </controlPr>
            </control>
          </mc:Choice>
        </mc:AlternateContent>
        <mc:AlternateContent xmlns:mc="http://schemas.openxmlformats.org/markup-compatibility/2006">
          <mc:Choice Requires="x14">
            <control shapeId="2109" r:id="rId209" name="Option Button 61">
              <controlPr defaultSize="0" autoFill="0" autoLine="0" autoPict="0">
                <anchor moveWithCells="1" sizeWithCells="1">
                  <from>
                    <xdr:col>19</xdr:col>
                    <xdr:colOff>19050</xdr:colOff>
                    <xdr:row>18</xdr:row>
                    <xdr:rowOff>19050</xdr:rowOff>
                  </from>
                  <to>
                    <xdr:col>19</xdr:col>
                    <xdr:colOff>257175</xdr:colOff>
                    <xdr:row>18</xdr:row>
                    <xdr:rowOff>285750</xdr:rowOff>
                  </to>
                </anchor>
              </controlPr>
            </control>
          </mc:Choice>
        </mc:AlternateContent>
        <mc:AlternateContent xmlns:mc="http://schemas.openxmlformats.org/markup-compatibility/2006">
          <mc:Choice Requires="x14">
            <control shapeId="2123" r:id="rId210" name="Option Button 75">
              <controlPr defaultSize="0" autoFill="0" autoLine="0" autoPict="0">
                <anchor moveWithCells="1" sizeWithCells="1">
                  <from>
                    <xdr:col>20</xdr:col>
                    <xdr:colOff>19050</xdr:colOff>
                    <xdr:row>18</xdr:row>
                    <xdr:rowOff>19050</xdr:rowOff>
                  </from>
                  <to>
                    <xdr:col>20</xdr:col>
                    <xdr:colOff>257175</xdr:colOff>
                    <xdr:row>18</xdr:row>
                    <xdr:rowOff>285750</xdr:rowOff>
                  </to>
                </anchor>
              </controlPr>
            </control>
          </mc:Choice>
        </mc:AlternateContent>
        <mc:AlternateContent xmlns:mc="http://schemas.openxmlformats.org/markup-compatibility/2006">
          <mc:Choice Requires="x14">
            <control shapeId="2137" r:id="rId211" name="Option Button 89">
              <controlPr defaultSize="0" autoFill="0" autoLine="0" autoPict="0">
                <anchor moveWithCells="1" sizeWithCells="1">
                  <from>
                    <xdr:col>21</xdr:col>
                    <xdr:colOff>19050</xdr:colOff>
                    <xdr:row>18</xdr:row>
                    <xdr:rowOff>19050</xdr:rowOff>
                  </from>
                  <to>
                    <xdr:col>21</xdr:col>
                    <xdr:colOff>257175</xdr:colOff>
                    <xdr:row>18</xdr:row>
                    <xdr:rowOff>285750</xdr:rowOff>
                  </to>
                </anchor>
              </controlPr>
            </control>
          </mc:Choice>
        </mc:AlternateContent>
        <mc:AlternateContent xmlns:mc="http://schemas.openxmlformats.org/markup-compatibility/2006">
          <mc:Choice Requires="x14">
            <control shapeId="2151" r:id="rId212" name="Option Button 103">
              <controlPr defaultSize="0" autoFill="0" autoLine="0" autoPict="0">
                <anchor moveWithCells="1" sizeWithCells="1">
                  <from>
                    <xdr:col>22</xdr:col>
                    <xdr:colOff>19050</xdr:colOff>
                    <xdr:row>18</xdr:row>
                    <xdr:rowOff>19050</xdr:rowOff>
                  </from>
                  <to>
                    <xdr:col>22</xdr:col>
                    <xdr:colOff>257175</xdr:colOff>
                    <xdr:row>18</xdr:row>
                    <xdr:rowOff>285750</xdr:rowOff>
                  </to>
                </anchor>
              </controlPr>
            </control>
          </mc:Choice>
        </mc:AlternateContent>
        <mc:AlternateContent xmlns:mc="http://schemas.openxmlformats.org/markup-compatibility/2006">
          <mc:Choice Requires="x14">
            <control shapeId="2982" r:id="rId213" name="Option Button 934">
              <controlPr defaultSize="0" autoFill="0" autoLine="0" autoPict="0">
                <anchor moveWithCells="1" sizeWithCells="1">
                  <from>
                    <xdr:col>23</xdr:col>
                    <xdr:colOff>19050</xdr:colOff>
                    <xdr:row>18</xdr:row>
                    <xdr:rowOff>19050</xdr:rowOff>
                  </from>
                  <to>
                    <xdr:col>23</xdr:col>
                    <xdr:colOff>257175</xdr:colOff>
                    <xdr:row>19</xdr:row>
                    <xdr:rowOff>0</xdr:rowOff>
                  </to>
                </anchor>
              </controlPr>
            </control>
          </mc:Choice>
        </mc:AlternateContent>
        <mc:AlternateContent xmlns:mc="http://schemas.openxmlformats.org/markup-compatibility/2006">
          <mc:Choice Requires="x14">
            <control shapeId="2211" r:id="rId214" name="Group Box 163">
              <controlPr defaultSize="0" autoFill="0" autoPict="0">
                <anchor moveWithCells="1" sizeWithCells="1">
                  <from>
                    <xdr:col>20</xdr:col>
                    <xdr:colOff>0</xdr:colOff>
                    <xdr:row>56</xdr:row>
                    <xdr:rowOff>9525</xdr:rowOff>
                  </from>
                  <to>
                    <xdr:col>25</xdr:col>
                    <xdr:colOff>9525</xdr:colOff>
                    <xdr:row>57</xdr:row>
                    <xdr:rowOff>0</xdr:rowOff>
                  </to>
                </anchor>
              </controlPr>
            </control>
          </mc:Choice>
        </mc:AlternateContent>
        <mc:AlternateContent xmlns:mc="http://schemas.openxmlformats.org/markup-compatibility/2006">
          <mc:Choice Requires="x14">
            <control shapeId="2218" r:id="rId215" name="Option Button 170">
              <controlPr defaultSize="0" autoFill="0" autoLine="0" autoPict="0">
                <anchor moveWithCells="1" sizeWithCells="1">
                  <from>
                    <xdr:col>20</xdr:col>
                    <xdr:colOff>38100</xdr:colOff>
                    <xdr:row>56</xdr:row>
                    <xdr:rowOff>438150</xdr:rowOff>
                  </from>
                  <to>
                    <xdr:col>21</xdr:col>
                    <xdr:colOff>19050</xdr:colOff>
                    <xdr:row>56</xdr:row>
                    <xdr:rowOff>1447800</xdr:rowOff>
                  </to>
                </anchor>
              </controlPr>
            </control>
          </mc:Choice>
        </mc:AlternateContent>
        <mc:AlternateContent xmlns:mc="http://schemas.openxmlformats.org/markup-compatibility/2006">
          <mc:Choice Requires="x14">
            <control shapeId="2221" r:id="rId216" name="Option Button 173">
              <controlPr defaultSize="0" autoFill="0" autoLine="0" autoPict="0">
                <anchor moveWithCells="1" sizeWithCells="1">
                  <from>
                    <xdr:col>21</xdr:col>
                    <xdr:colOff>38100</xdr:colOff>
                    <xdr:row>56</xdr:row>
                    <xdr:rowOff>438150</xdr:rowOff>
                  </from>
                  <to>
                    <xdr:col>22</xdr:col>
                    <xdr:colOff>19050</xdr:colOff>
                    <xdr:row>56</xdr:row>
                    <xdr:rowOff>1447800</xdr:rowOff>
                  </to>
                </anchor>
              </controlPr>
            </control>
          </mc:Choice>
        </mc:AlternateContent>
        <mc:AlternateContent xmlns:mc="http://schemas.openxmlformats.org/markup-compatibility/2006">
          <mc:Choice Requires="x14">
            <control shapeId="2224" r:id="rId217" name="Option Button 176">
              <controlPr defaultSize="0" autoFill="0" autoLine="0" autoPict="0">
                <anchor moveWithCells="1" sizeWithCells="1">
                  <from>
                    <xdr:col>22</xdr:col>
                    <xdr:colOff>38100</xdr:colOff>
                    <xdr:row>56</xdr:row>
                    <xdr:rowOff>438150</xdr:rowOff>
                  </from>
                  <to>
                    <xdr:col>23</xdr:col>
                    <xdr:colOff>19050</xdr:colOff>
                    <xdr:row>56</xdr:row>
                    <xdr:rowOff>1447800</xdr:rowOff>
                  </to>
                </anchor>
              </controlPr>
            </control>
          </mc:Choice>
        </mc:AlternateContent>
        <mc:AlternateContent xmlns:mc="http://schemas.openxmlformats.org/markup-compatibility/2006">
          <mc:Choice Requires="x14">
            <control shapeId="2227" r:id="rId218" name="Option Button 179">
              <controlPr defaultSize="0" autoFill="0" autoLine="0" autoPict="0">
                <anchor moveWithCells="1" sizeWithCells="1">
                  <from>
                    <xdr:col>23</xdr:col>
                    <xdr:colOff>19050</xdr:colOff>
                    <xdr:row>56</xdr:row>
                    <xdr:rowOff>438150</xdr:rowOff>
                  </from>
                  <to>
                    <xdr:col>24</xdr:col>
                    <xdr:colOff>0</xdr:colOff>
                    <xdr:row>56</xdr:row>
                    <xdr:rowOff>1447800</xdr:rowOff>
                  </to>
                </anchor>
              </controlPr>
            </control>
          </mc:Choice>
        </mc:AlternateContent>
        <mc:AlternateContent xmlns:mc="http://schemas.openxmlformats.org/markup-compatibility/2006">
          <mc:Choice Requires="x14">
            <control shapeId="3005" r:id="rId219" name="Option Button 957">
              <controlPr defaultSize="0" autoFill="0" autoLine="0" autoPict="0">
                <anchor moveWithCells="1" sizeWithCells="1">
                  <from>
                    <xdr:col>24</xdr:col>
                    <xdr:colOff>19050</xdr:colOff>
                    <xdr:row>56</xdr:row>
                    <xdr:rowOff>438150</xdr:rowOff>
                  </from>
                  <to>
                    <xdr:col>25</xdr:col>
                    <xdr:colOff>0</xdr:colOff>
                    <xdr:row>56</xdr:row>
                    <xdr:rowOff>1447800</xdr:rowOff>
                  </to>
                </anchor>
              </controlPr>
            </control>
          </mc:Choice>
        </mc:AlternateContent>
        <mc:AlternateContent xmlns:mc="http://schemas.openxmlformats.org/markup-compatibility/2006">
          <mc:Choice Requires="x14">
            <control shapeId="2219" r:id="rId220" name="Option Button 171">
              <controlPr defaultSize="0" autoFill="0" autoLine="0" autoPict="0">
                <anchor moveWithCells="1" sizeWithCells="1">
                  <from>
                    <xdr:col>20</xdr:col>
                    <xdr:colOff>38100</xdr:colOff>
                    <xdr:row>57</xdr:row>
                    <xdr:rowOff>800100</xdr:rowOff>
                  </from>
                  <to>
                    <xdr:col>21</xdr:col>
                    <xdr:colOff>19050</xdr:colOff>
                    <xdr:row>57</xdr:row>
                    <xdr:rowOff>990600</xdr:rowOff>
                  </to>
                </anchor>
              </controlPr>
            </control>
          </mc:Choice>
        </mc:AlternateContent>
        <mc:AlternateContent xmlns:mc="http://schemas.openxmlformats.org/markup-compatibility/2006">
          <mc:Choice Requires="x14">
            <control shapeId="2222" r:id="rId221" name="Option Button 174">
              <controlPr defaultSize="0" autoFill="0" autoLine="0" autoPict="0">
                <anchor moveWithCells="1" sizeWithCells="1">
                  <from>
                    <xdr:col>21</xdr:col>
                    <xdr:colOff>38100</xdr:colOff>
                    <xdr:row>57</xdr:row>
                    <xdr:rowOff>800100</xdr:rowOff>
                  </from>
                  <to>
                    <xdr:col>22</xdr:col>
                    <xdr:colOff>19050</xdr:colOff>
                    <xdr:row>57</xdr:row>
                    <xdr:rowOff>990600</xdr:rowOff>
                  </to>
                </anchor>
              </controlPr>
            </control>
          </mc:Choice>
        </mc:AlternateContent>
        <mc:AlternateContent xmlns:mc="http://schemas.openxmlformats.org/markup-compatibility/2006">
          <mc:Choice Requires="x14">
            <control shapeId="2225" r:id="rId222" name="Option Button 177">
              <controlPr defaultSize="0" autoFill="0" autoLine="0" autoPict="0">
                <anchor moveWithCells="1" sizeWithCells="1">
                  <from>
                    <xdr:col>22</xdr:col>
                    <xdr:colOff>38100</xdr:colOff>
                    <xdr:row>57</xdr:row>
                    <xdr:rowOff>800100</xdr:rowOff>
                  </from>
                  <to>
                    <xdr:col>23</xdr:col>
                    <xdr:colOff>19050</xdr:colOff>
                    <xdr:row>57</xdr:row>
                    <xdr:rowOff>990600</xdr:rowOff>
                  </to>
                </anchor>
              </controlPr>
            </control>
          </mc:Choice>
        </mc:AlternateContent>
        <mc:AlternateContent xmlns:mc="http://schemas.openxmlformats.org/markup-compatibility/2006">
          <mc:Choice Requires="x14">
            <control shapeId="2228" r:id="rId223" name="Option Button 180">
              <controlPr defaultSize="0" autoFill="0" autoLine="0" autoPict="0">
                <anchor moveWithCells="1" sizeWithCells="1">
                  <from>
                    <xdr:col>23</xdr:col>
                    <xdr:colOff>38100</xdr:colOff>
                    <xdr:row>57</xdr:row>
                    <xdr:rowOff>800100</xdr:rowOff>
                  </from>
                  <to>
                    <xdr:col>24</xdr:col>
                    <xdr:colOff>19050</xdr:colOff>
                    <xdr:row>57</xdr:row>
                    <xdr:rowOff>990600</xdr:rowOff>
                  </to>
                </anchor>
              </controlPr>
            </control>
          </mc:Choice>
        </mc:AlternateContent>
        <mc:AlternateContent xmlns:mc="http://schemas.openxmlformats.org/markup-compatibility/2006">
          <mc:Choice Requires="x14">
            <control shapeId="2212" r:id="rId224" name="Group Box 164">
              <controlPr defaultSize="0" autoFill="0" autoPict="0">
                <anchor moveWithCells="1" sizeWithCells="1">
                  <from>
                    <xdr:col>20</xdr:col>
                    <xdr:colOff>0</xdr:colOff>
                    <xdr:row>57</xdr:row>
                    <xdr:rowOff>9525</xdr:rowOff>
                  </from>
                  <to>
                    <xdr:col>25</xdr:col>
                    <xdr:colOff>9525</xdr:colOff>
                    <xdr:row>58</xdr:row>
                    <xdr:rowOff>0</xdr:rowOff>
                  </to>
                </anchor>
              </controlPr>
            </control>
          </mc:Choice>
        </mc:AlternateContent>
        <mc:AlternateContent xmlns:mc="http://schemas.openxmlformats.org/markup-compatibility/2006">
          <mc:Choice Requires="x14">
            <control shapeId="3006" r:id="rId225" name="Option Button 958">
              <controlPr defaultSize="0" autoFill="0" autoLine="0" autoPict="0">
                <anchor moveWithCells="1" sizeWithCells="1">
                  <from>
                    <xdr:col>24</xdr:col>
                    <xdr:colOff>38100</xdr:colOff>
                    <xdr:row>57</xdr:row>
                    <xdr:rowOff>800100</xdr:rowOff>
                  </from>
                  <to>
                    <xdr:col>25</xdr:col>
                    <xdr:colOff>19050</xdr:colOff>
                    <xdr:row>57</xdr:row>
                    <xdr:rowOff>990600</xdr:rowOff>
                  </to>
                </anchor>
              </controlPr>
            </control>
          </mc:Choice>
        </mc:AlternateContent>
        <mc:AlternateContent xmlns:mc="http://schemas.openxmlformats.org/markup-compatibility/2006">
          <mc:Choice Requires="x14">
            <control shapeId="2220" r:id="rId226" name="Option Button 172">
              <controlPr defaultSize="0" autoFill="0" autoLine="0" autoPict="0">
                <anchor moveWithCells="1" sizeWithCells="1">
                  <from>
                    <xdr:col>20</xdr:col>
                    <xdr:colOff>38100</xdr:colOff>
                    <xdr:row>58</xdr:row>
                    <xdr:rowOff>800100</xdr:rowOff>
                  </from>
                  <to>
                    <xdr:col>21</xdr:col>
                    <xdr:colOff>19050</xdr:colOff>
                    <xdr:row>58</xdr:row>
                    <xdr:rowOff>990600</xdr:rowOff>
                  </to>
                </anchor>
              </controlPr>
            </control>
          </mc:Choice>
        </mc:AlternateContent>
        <mc:AlternateContent xmlns:mc="http://schemas.openxmlformats.org/markup-compatibility/2006">
          <mc:Choice Requires="x14">
            <control shapeId="2223" r:id="rId227" name="Option Button 175">
              <controlPr defaultSize="0" autoFill="0" autoLine="0" autoPict="0">
                <anchor moveWithCells="1" sizeWithCells="1">
                  <from>
                    <xdr:col>21</xdr:col>
                    <xdr:colOff>38100</xdr:colOff>
                    <xdr:row>58</xdr:row>
                    <xdr:rowOff>800100</xdr:rowOff>
                  </from>
                  <to>
                    <xdr:col>22</xdr:col>
                    <xdr:colOff>19050</xdr:colOff>
                    <xdr:row>58</xdr:row>
                    <xdr:rowOff>990600</xdr:rowOff>
                  </to>
                </anchor>
              </controlPr>
            </control>
          </mc:Choice>
        </mc:AlternateContent>
        <mc:AlternateContent xmlns:mc="http://schemas.openxmlformats.org/markup-compatibility/2006">
          <mc:Choice Requires="x14">
            <control shapeId="2226" r:id="rId228" name="Option Button 178">
              <controlPr defaultSize="0" autoFill="0" autoLine="0" autoPict="0">
                <anchor moveWithCells="1" sizeWithCells="1">
                  <from>
                    <xdr:col>22</xdr:col>
                    <xdr:colOff>38100</xdr:colOff>
                    <xdr:row>58</xdr:row>
                    <xdr:rowOff>800100</xdr:rowOff>
                  </from>
                  <to>
                    <xdr:col>23</xdr:col>
                    <xdr:colOff>19050</xdr:colOff>
                    <xdr:row>58</xdr:row>
                    <xdr:rowOff>990600</xdr:rowOff>
                  </to>
                </anchor>
              </controlPr>
            </control>
          </mc:Choice>
        </mc:AlternateContent>
        <mc:AlternateContent xmlns:mc="http://schemas.openxmlformats.org/markup-compatibility/2006">
          <mc:Choice Requires="x14">
            <control shapeId="2229" r:id="rId229" name="Option Button 181">
              <controlPr defaultSize="0" autoFill="0" autoLine="0" autoPict="0">
                <anchor moveWithCells="1" sizeWithCells="1">
                  <from>
                    <xdr:col>23</xdr:col>
                    <xdr:colOff>38100</xdr:colOff>
                    <xdr:row>58</xdr:row>
                    <xdr:rowOff>800100</xdr:rowOff>
                  </from>
                  <to>
                    <xdr:col>24</xdr:col>
                    <xdr:colOff>19050</xdr:colOff>
                    <xdr:row>58</xdr:row>
                    <xdr:rowOff>990600</xdr:rowOff>
                  </to>
                </anchor>
              </controlPr>
            </control>
          </mc:Choice>
        </mc:AlternateContent>
        <mc:AlternateContent xmlns:mc="http://schemas.openxmlformats.org/markup-compatibility/2006">
          <mc:Choice Requires="x14">
            <control shapeId="2213" r:id="rId230" name="Group Box 165">
              <controlPr defaultSize="0" autoFill="0" autoPict="0">
                <anchor moveWithCells="1" sizeWithCells="1">
                  <from>
                    <xdr:col>20</xdr:col>
                    <xdr:colOff>0</xdr:colOff>
                    <xdr:row>58</xdr:row>
                    <xdr:rowOff>9525</xdr:rowOff>
                  </from>
                  <to>
                    <xdr:col>25</xdr:col>
                    <xdr:colOff>9525</xdr:colOff>
                    <xdr:row>59</xdr:row>
                    <xdr:rowOff>0</xdr:rowOff>
                  </to>
                </anchor>
              </controlPr>
            </control>
          </mc:Choice>
        </mc:AlternateContent>
        <mc:AlternateContent xmlns:mc="http://schemas.openxmlformats.org/markup-compatibility/2006">
          <mc:Choice Requires="x14">
            <control shapeId="3007" r:id="rId231" name="Option Button 959">
              <controlPr defaultSize="0" autoFill="0" autoLine="0" autoPict="0">
                <anchor moveWithCells="1" sizeWithCells="1">
                  <from>
                    <xdr:col>24</xdr:col>
                    <xdr:colOff>38100</xdr:colOff>
                    <xdr:row>58</xdr:row>
                    <xdr:rowOff>800100</xdr:rowOff>
                  </from>
                  <to>
                    <xdr:col>25</xdr:col>
                    <xdr:colOff>19050</xdr:colOff>
                    <xdr:row>58</xdr:row>
                    <xdr:rowOff>990600</xdr:rowOff>
                  </to>
                </anchor>
              </controlPr>
            </control>
          </mc:Choice>
        </mc:AlternateContent>
        <mc:AlternateContent xmlns:mc="http://schemas.openxmlformats.org/markup-compatibility/2006">
          <mc:Choice Requires="x14">
            <control shapeId="2230" r:id="rId232" name="Group Box 182">
              <controlPr defaultSize="0" autoFill="0" autoPict="0">
                <anchor moveWithCells="1" sizeWithCells="1">
                  <from>
                    <xdr:col>20</xdr:col>
                    <xdr:colOff>0</xdr:colOff>
                    <xdr:row>77</xdr:row>
                    <xdr:rowOff>9525</xdr:rowOff>
                  </from>
                  <to>
                    <xdr:col>25</xdr:col>
                    <xdr:colOff>0</xdr:colOff>
                    <xdr:row>78</xdr:row>
                    <xdr:rowOff>0</xdr:rowOff>
                  </to>
                </anchor>
              </controlPr>
            </control>
          </mc:Choice>
        </mc:AlternateContent>
        <mc:AlternateContent xmlns:mc="http://schemas.openxmlformats.org/markup-compatibility/2006">
          <mc:Choice Requires="x14">
            <control shapeId="2236" r:id="rId233" name="Option Button 188">
              <controlPr defaultSize="0" autoFill="0" autoLine="0" autoPict="0">
                <anchor moveWithCells="1" sizeWithCells="1">
                  <from>
                    <xdr:col>20</xdr:col>
                    <xdr:colOff>19050</xdr:colOff>
                    <xdr:row>77</xdr:row>
                    <xdr:rowOff>457200</xdr:rowOff>
                  </from>
                  <to>
                    <xdr:col>20</xdr:col>
                    <xdr:colOff>257175</xdr:colOff>
                    <xdr:row>77</xdr:row>
                    <xdr:rowOff>1581150</xdr:rowOff>
                  </to>
                </anchor>
              </controlPr>
            </control>
          </mc:Choice>
        </mc:AlternateContent>
        <mc:AlternateContent xmlns:mc="http://schemas.openxmlformats.org/markup-compatibility/2006">
          <mc:Choice Requires="x14">
            <control shapeId="2239" r:id="rId234" name="Option Button 191">
              <controlPr defaultSize="0" autoFill="0" autoLine="0" autoPict="0">
                <anchor moveWithCells="1" sizeWithCells="1">
                  <from>
                    <xdr:col>21</xdr:col>
                    <xdr:colOff>19050</xdr:colOff>
                    <xdr:row>77</xdr:row>
                    <xdr:rowOff>457200</xdr:rowOff>
                  </from>
                  <to>
                    <xdr:col>21</xdr:col>
                    <xdr:colOff>257175</xdr:colOff>
                    <xdr:row>77</xdr:row>
                    <xdr:rowOff>1581150</xdr:rowOff>
                  </to>
                </anchor>
              </controlPr>
            </control>
          </mc:Choice>
        </mc:AlternateContent>
        <mc:AlternateContent xmlns:mc="http://schemas.openxmlformats.org/markup-compatibility/2006">
          <mc:Choice Requires="x14">
            <control shapeId="2242" r:id="rId235" name="Option Button 194">
              <controlPr defaultSize="0" autoFill="0" autoLine="0" autoPict="0">
                <anchor moveWithCells="1" sizeWithCells="1">
                  <from>
                    <xdr:col>22</xdr:col>
                    <xdr:colOff>19050</xdr:colOff>
                    <xdr:row>77</xdr:row>
                    <xdr:rowOff>457200</xdr:rowOff>
                  </from>
                  <to>
                    <xdr:col>22</xdr:col>
                    <xdr:colOff>257175</xdr:colOff>
                    <xdr:row>77</xdr:row>
                    <xdr:rowOff>1581150</xdr:rowOff>
                  </to>
                </anchor>
              </controlPr>
            </control>
          </mc:Choice>
        </mc:AlternateContent>
        <mc:AlternateContent xmlns:mc="http://schemas.openxmlformats.org/markup-compatibility/2006">
          <mc:Choice Requires="x14">
            <control shapeId="2245" r:id="rId236" name="Option Button 197">
              <controlPr defaultSize="0" autoFill="0" autoLine="0" autoPict="0">
                <anchor moveWithCells="1" sizeWithCells="1">
                  <from>
                    <xdr:col>23</xdr:col>
                    <xdr:colOff>19050</xdr:colOff>
                    <xdr:row>77</xdr:row>
                    <xdr:rowOff>457200</xdr:rowOff>
                  </from>
                  <to>
                    <xdr:col>23</xdr:col>
                    <xdr:colOff>257175</xdr:colOff>
                    <xdr:row>77</xdr:row>
                    <xdr:rowOff>1581150</xdr:rowOff>
                  </to>
                </anchor>
              </controlPr>
            </control>
          </mc:Choice>
        </mc:AlternateContent>
        <mc:AlternateContent xmlns:mc="http://schemas.openxmlformats.org/markup-compatibility/2006">
          <mc:Choice Requires="x14">
            <control shapeId="3008" r:id="rId237" name="Option Button 960">
              <controlPr defaultSize="0" autoFill="0" autoLine="0" autoPict="0">
                <anchor moveWithCells="1" sizeWithCells="1">
                  <from>
                    <xdr:col>24</xdr:col>
                    <xdr:colOff>19050</xdr:colOff>
                    <xdr:row>77</xdr:row>
                    <xdr:rowOff>457200</xdr:rowOff>
                  </from>
                  <to>
                    <xdr:col>24</xdr:col>
                    <xdr:colOff>257175</xdr:colOff>
                    <xdr:row>77</xdr:row>
                    <xdr:rowOff>1581150</xdr:rowOff>
                  </to>
                </anchor>
              </controlPr>
            </control>
          </mc:Choice>
        </mc:AlternateContent>
        <mc:AlternateContent xmlns:mc="http://schemas.openxmlformats.org/markup-compatibility/2006">
          <mc:Choice Requires="x14">
            <control shapeId="2237" r:id="rId238" name="Option Button 189">
              <controlPr defaultSize="0" autoFill="0" autoLine="0" autoPict="0">
                <anchor moveWithCells="1" sizeWithCells="1">
                  <from>
                    <xdr:col>20</xdr:col>
                    <xdr:colOff>19050</xdr:colOff>
                    <xdr:row>78</xdr:row>
                    <xdr:rowOff>895350</xdr:rowOff>
                  </from>
                  <to>
                    <xdr:col>20</xdr:col>
                    <xdr:colOff>257175</xdr:colOff>
                    <xdr:row>78</xdr:row>
                    <xdr:rowOff>1104900</xdr:rowOff>
                  </to>
                </anchor>
              </controlPr>
            </control>
          </mc:Choice>
        </mc:AlternateContent>
        <mc:AlternateContent xmlns:mc="http://schemas.openxmlformats.org/markup-compatibility/2006">
          <mc:Choice Requires="x14">
            <control shapeId="2240" r:id="rId239" name="Option Button 192">
              <controlPr defaultSize="0" autoFill="0" autoLine="0" autoPict="0">
                <anchor moveWithCells="1" sizeWithCells="1">
                  <from>
                    <xdr:col>21</xdr:col>
                    <xdr:colOff>19050</xdr:colOff>
                    <xdr:row>78</xdr:row>
                    <xdr:rowOff>895350</xdr:rowOff>
                  </from>
                  <to>
                    <xdr:col>21</xdr:col>
                    <xdr:colOff>257175</xdr:colOff>
                    <xdr:row>78</xdr:row>
                    <xdr:rowOff>1104900</xdr:rowOff>
                  </to>
                </anchor>
              </controlPr>
            </control>
          </mc:Choice>
        </mc:AlternateContent>
        <mc:AlternateContent xmlns:mc="http://schemas.openxmlformats.org/markup-compatibility/2006">
          <mc:Choice Requires="x14">
            <control shapeId="2243" r:id="rId240" name="Option Button 195">
              <controlPr defaultSize="0" autoFill="0" autoLine="0" autoPict="0">
                <anchor moveWithCells="1" sizeWithCells="1">
                  <from>
                    <xdr:col>22</xdr:col>
                    <xdr:colOff>19050</xdr:colOff>
                    <xdr:row>78</xdr:row>
                    <xdr:rowOff>895350</xdr:rowOff>
                  </from>
                  <to>
                    <xdr:col>22</xdr:col>
                    <xdr:colOff>257175</xdr:colOff>
                    <xdr:row>78</xdr:row>
                    <xdr:rowOff>1104900</xdr:rowOff>
                  </to>
                </anchor>
              </controlPr>
            </control>
          </mc:Choice>
        </mc:AlternateContent>
        <mc:AlternateContent xmlns:mc="http://schemas.openxmlformats.org/markup-compatibility/2006">
          <mc:Choice Requires="x14">
            <control shapeId="2246" r:id="rId241" name="Option Button 198">
              <controlPr defaultSize="0" autoFill="0" autoLine="0" autoPict="0">
                <anchor moveWithCells="1" sizeWithCells="1">
                  <from>
                    <xdr:col>23</xdr:col>
                    <xdr:colOff>19050</xdr:colOff>
                    <xdr:row>78</xdr:row>
                    <xdr:rowOff>895350</xdr:rowOff>
                  </from>
                  <to>
                    <xdr:col>23</xdr:col>
                    <xdr:colOff>257175</xdr:colOff>
                    <xdr:row>78</xdr:row>
                    <xdr:rowOff>1104900</xdr:rowOff>
                  </to>
                </anchor>
              </controlPr>
            </control>
          </mc:Choice>
        </mc:AlternateContent>
        <mc:AlternateContent xmlns:mc="http://schemas.openxmlformats.org/markup-compatibility/2006">
          <mc:Choice Requires="x14">
            <control shapeId="2231" r:id="rId242" name="Group Box 183">
              <controlPr defaultSize="0" autoFill="0" autoPict="0">
                <anchor moveWithCells="1" sizeWithCells="1">
                  <from>
                    <xdr:col>20</xdr:col>
                    <xdr:colOff>0</xdr:colOff>
                    <xdr:row>78</xdr:row>
                    <xdr:rowOff>9525</xdr:rowOff>
                  </from>
                  <to>
                    <xdr:col>25</xdr:col>
                    <xdr:colOff>0</xdr:colOff>
                    <xdr:row>79</xdr:row>
                    <xdr:rowOff>0</xdr:rowOff>
                  </to>
                </anchor>
              </controlPr>
            </control>
          </mc:Choice>
        </mc:AlternateContent>
        <mc:AlternateContent xmlns:mc="http://schemas.openxmlformats.org/markup-compatibility/2006">
          <mc:Choice Requires="x14">
            <control shapeId="3009" r:id="rId243" name="Option Button 961">
              <controlPr defaultSize="0" autoFill="0" autoLine="0" autoPict="0">
                <anchor moveWithCells="1" sizeWithCells="1">
                  <from>
                    <xdr:col>24</xdr:col>
                    <xdr:colOff>19050</xdr:colOff>
                    <xdr:row>78</xdr:row>
                    <xdr:rowOff>895350</xdr:rowOff>
                  </from>
                  <to>
                    <xdr:col>24</xdr:col>
                    <xdr:colOff>257175</xdr:colOff>
                    <xdr:row>78</xdr:row>
                    <xdr:rowOff>1104900</xdr:rowOff>
                  </to>
                </anchor>
              </controlPr>
            </control>
          </mc:Choice>
        </mc:AlternateContent>
        <mc:AlternateContent xmlns:mc="http://schemas.openxmlformats.org/markup-compatibility/2006">
          <mc:Choice Requires="x14">
            <control shapeId="2238" r:id="rId244" name="Option Button 190">
              <controlPr defaultSize="0" autoFill="0" autoLine="0" autoPict="0">
                <anchor moveWithCells="1" sizeWithCells="1">
                  <from>
                    <xdr:col>20</xdr:col>
                    <xdr:colOff>19050</xdr:colOff>
                    <xdr:row>79</xdr:row>
                    <xdr:rowOff>895350</xdr:rowOff>
                  </from>
                  <to>
                    <xdr:col>20</xdr:col>
                    <xdr:colOff>257175</xdr:colOff>
                    <xdr:row>79</xdr:row>
                    <xdr:rowOff>1104900</xdr:rowOff>
                  </to>
                </anchor>
              </controlPr>
            </control>
          </mc:Choice>
        </mc:AlternateContent>
        <mc:AlternateContent xmlns:mc="http://schemas.openxmlformats.org/markup-compatibility/2006">
          <mc:Choice Requires="x14">
            <control shapeId="2241" r:id="rId245" name="Option Button 193">
              <controlPr defaultSize="0" autoFill="0" autoLine="0" autoPict="0">
                <anchor moveWithCells="1" sizeWithCells="1">
                  <from>
                    <xdr:col>21</xdr:col>
                    <xdr:colOff>19050</xdr:colOff>
                    <xdr:row>79</xdr:row>
                    <xdr:rowOff>895350</xdr:rowOff>
                  </from>
                  <to>
                    <xdr:col>21</xdr:col>
                    <xdr:colOff>257175</xdr:colOff>
                    <xdr:row>79</xdr:row>
                    <xdr:rowOff>1104900</xdr:rowOff>
                  </to>
                </anchor>
              </controlPr>
            </control>
          </mc:Choice>
        </mc:AlternateContent>
        <mc:AlternateContent xmlns:mc="http://schemas.openxmlformats.org/markup-compatibility/2006">
          <mc:Choice Requires="x14">
            <control shapeId="2244" r:id="rId246" name="Option Button 196">
              <controlPr defaultSize="0" autoFill="0" autoLine="0" autoPict="0">
                <anchor moveWithCells="1" sizeWithCells="1">
                  <from>
                    <xdr:col>22</xdr:col>
                    <xdr:colOff>19050</xdr:colOff>
                    <xdr:row>79</xdr:row>
                    <xdr:rowOff>895350</xdr:rowOff>
                  </from>
                  <to>
                    <xdr:col>22</xdr:col>
                    <xdr:colOff>257175</xdr:colOff>
                    <xdr:row>79</xdr:row>
                    <xdr:rowOff>1104900</xdr:rowOff>
                  </to>
                </anchor>
              </controlPr>
            </control>
          </mc:Choice>
        </mc:AlternateContent>
        <mc:AlternateContent xmlns:mc="http://schemas.openxmlformats.org/markup-compatibility/2006">
          <mc:Choice Requires="x14">
            <control shapeId="2247" r:id="rId247" name="Option Button 199">
              <controlPr defaultSize="0" autoFill="0" autoLine="0" autoPict="0">
                <anchor moveWithCells="1" sizeWithCells="1">
                  <from>
                    <xdr:col>23</xdr:col>
                    <xdr:colOff>19050</xdr:colOff>
                    <xdr:row>79</xdr:row>
                    <xdr:rowOff>895350</xdr:rowOff>
                  </from>
                  <to>
                    <xdr:col>23</xdr:col>
                    <xdr:colOff>257175</xdr:colOff>
                    <xdr:row>79</xdr:row>
                    <xdr:rowOff>1104900</xdr:rowOff>
                  </to>
                </anchor>
              </controlPr>
            </control>
          </mc:Choice>
        </mc:AlternateContent>
        <mc:AlternateContent xmlns:mc="http://schemas.openxmlformats.org/markup-compatibility/2006">
          <mc:Choice Requires="x14">
            <control shapeId="2232" r:id="rId248" name="Group Box 184">
              <controlPr defaultSize="0" autoFill="0" autoPict="0">
                <anchor moveWithCells="1" sizeWithCells="1">
                  <from>
                    <xdr:col>20</xdr:col>
                    <xdr:colOff>0</xdr:colOff>
                    <xdr:row>79</xdr:row>
                    <xdr:rowOff>9525</xdr:rowOff>
                  </from>
                  <to>
                    <xdr:col>25</xdr:col>
                    <xdr:colOff>0</xdr:colOff>
                    <xdr:row>80</xdr:row>
                    <xdr:rowOff>0</xdr:rowOff>
                  </to>
                </anchor>
              </controlPr>
            </control>
          </mc:Choice>
        </mc:AlternateContent>
        <mc:AlternateContent xmlns:mc="http://schemas.openxmlformats.org/markup-compatibility/2006">
          <mc:Choice Requires="x14">
            <control shapeId="3010" r:id="rId249" name="Option Button 962">
              <controlPr defaultSize="0" autoFill="0" autoLine="0" autoPict="0">
                <anchor moveWithCells="1" sizeWithCells="1">
                  <from>
                    <xdr:col>24</xdr:col>
                    <xdr:colOff>19050</xdr:colOff>
                    <xdr:row>79</xdr:row>
                    <xdr:rowOff>895350</xdr:rowOff>
                  </from>
                  <to>
                    <xdr:col>24</xdr:col>
                    <xdr:colOff>257175</xdr:colOff>
                    <xdr:row>79</xdr:row>
                    <xdr:rowOff>1104900</xdr:rowOff>
                  </to>
                </anchor>
              </controlPr>
            </control>
          </mc:Choice>
        </mc:AlternateContent>
        <mc:AlternateContent xmlns:mc="http://schemas.openxmlformats.org/markup-compatibility/2006">
          <mc:Choice Requires="x14">
            <control shapeId="2267" r:id="rId250" name="Group Box 219">
              <controlPr defaultSize="0" autoFill="0" autoPict="0">
                <anchor moveWithCells="1" sizeWithCells="1">
                  <from>
                    <xdr:col>20</xdr:col>
                    <xdr:colOff>0</xdr:colOff>
                    <xdr:row>106</xdr:row>
                    <xdr:rowOff>9525</xdr:rowOff>
                  </from>
                  <to>
                    <xdr:col>25</xdr:col>
                    <xdr:colOff>9525</xdr:colOff>
                    <xdr:row>108</xdr:row>
                    <xdr:rowOff>0</xdr:rowOff>
                  </to>
                </anchor>
              </controlPr>
            </control>
          </mc:Choice>
        </mc:AlternateContent>
        <mc:AlternateContent xmlns:mc="http://schemas.openxmlformats.org/markup-compatibility/2006">
          <mc:Choice Requires="x14">
            <control shapeId="2275" r:id="rId251" name="Option Button 227">
              <controlPr defaultSize="0" autoFill="0" autoLine="0" autoPict="0">
                <anchor moveWithCells="1" sizeWithCells="1">
                  <from>
                    <xdr:col>20</xdr:col>
                    <xdr:colOff>19050</xdr:colOff>
                    <xdr:row>106</xdr:row>
                    <xdr:rowOff>323850</xdr:rowOff>
                  </from>
                  <to>
                    <xdr:col>20</xdr:col>
                    <xdr:colOff>257175</xdr:colOff>
                    <xdr:row>107</xdr:row>
                    <xdr:rowOff>762000</xdr:rowOff>
                  </to>
                </anchor>
              </controlPr>
            </control>
          </mc:Choice>
        </mc:AlternateContent>
        <mc:AlternateContent xmlns:mc="http://schemas.openxmlformats.org/markup-compatibility/2006">
          <mc:Choice Requires="x14">
            <control shapeId="2279" r:id="rId252" name="Option Button 231">
              <controlPr defaultSize="0" autoFill="0" autoLine="0" autoPict="0">
                <anchor moveWithCells="1" sizeWithCells="1">
                  <from>
                    <xdr:col>21</xdr:col>
                    <xdr:colOff>19050</xdr:colOff>
                    <xdr:row>106</xdr:row>
                    <xdr:rowOff>333375</xdr:rowOff>
                  </from>
                  <to>
                    <xdr:col>21</xdr:col>
                    <xdr:colOff>257175</xdr:colOff>
                    <xdr:row>107</xdr:row>
                    <xdr:rowOff>762000</xdr:rowOff>
                  </to>
                </anchor>
              </controlPr>
            </control>
          </mc:Choice>
        </mc:AlternateContent>
        <mc:AlternateContent xmlns:mc="http://schemas.openxmlformats.org/markup-compatibility/2006">
          <mc:Choice Requires="x14">
            <control shapeId="2283" r:id="rId253" name="Option Button 235">
              <controlPr defaultSize="0" autoFill="0" autoLine="0" autoPict="0">
                <anchor moveWithCells="1" sizeWithCells="1">
                  <from>
                    <xdr:col>22</xdr:col>
                    <xdr:colOff>19050</xdr:colOff>
                    <xdr:row>106</xdr:row>
                    <xdr:rowOff>333375</xdr:rowOff>
                  </from>
                  <to>
                    <xdr:col>22</xdr:col>
                    <xdr:colOff>257175</xdr:colOff>
                    <xdr:row>107</xdr:row>
                    <xdr:rowOff>762000</xdr:rowOff>
                  </to>
                </anchor>
              </controlPr>
            </control>
          </mc:Choice>
        </mc:AlternateContent>
        <mc:AlternateContent xmlns:mc="http://schemas.openxmlformats.org/markup-compatibility/2006">
          <mc:Choice Requires="x14">
            <control shapeId="2287" r:id="rId254" name="Option Button 239">
              <controlPr defaultSize="0" autoFill="0" autoLine="0" autoPict="0">
                <anchor moveWithCells="1" sizeWithCells="1">
                  <from>
                    <xdr:col>23</xdr:col>
                    <xdr:colOff>19050</xdr:colOff>
                    <xdr:row>106</xdr:row>
                    <xdr:rowOff>352425</xdr:rowOff>
                  </from>
                  <to>
                    <xdr:col>23</xdr:col>
                    <xdr:colOff>257175</xdr:colOff>
                    <xdr:row>107</xdr:row>
                    <xdr:rowOff>762000</xdr:rowOff>
                  </to>
                </anchor>
              </controlPr>
            </control>
          </mc:Choice>
        </mc:AlternateContent>
        <mc:AlternateContent xmlns:mc="http://schemas.openxmlformats.org/markup-compatibility/2006">
          <mc:Choice Requires="x14">
            <control shapeId="3011" r:id="rId255" name="Option Button 963">
              <controlPr defaultSize="0" autoFill="0" autoLine="0" autoPict="0">
                <anchor moveWithCells="1" sizeWithCells="1">
                  <from>
                    <xdr:col>24</xdr:col>
                    <xdr:colOff>19050</xdr:colOff>
                    <xdr:row>106</xdr:row>
                    <xdr:rowOff>352425</xdr:rowOff>
                  </from>
                  <to>
                    <xdr:col>24</xdr:col>
                    <xdr:colOff>257175</xdr:colOff>
                    <xdr:row>107</xdr:row>
                    <xdr:rowOff>762000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C00000"/>
  </sheetPr>
  <dimension ref="A1:AA256"/>
  <sheetViews>
    <sheetView showGridLines="0" tabSelected="1" view="pageBreakPreview" topLeftCell="A159" zoomScaleSheetLayoutView="100" workbookViewId="0">
      <selection activeCell="E155" sqref="E155"/>
    </sheetView>
  </sheetViews>
  <sheetFormatPr defaultRowHeight="13.5" x14ac:dyDescent="0.25"/>
  <cols>
    <col min="1" max="1" width="5.28515625" style="25" customWidth="1"/>
    <col min="2" max="2" width="9.28515625" style="25" bestFit="1" customWidth="1"/>
    <col min="3" max="3" width="37.42578125" style="25" customWidth="1"/>
    <col min="4" max="6" width="23.7109375" style="25" customWidth="1"/>
    <col min="7" max="7" width="11.7109375" style="25" customWidth="1"/>
    <col min="8" max="12" width="4.42578125" style="25" customWidth="1"/>
    <col min="13" max="13" width="9" style="25" customWidth="1"/>
    <col min="14" max="14" width="10.140625" style="25" bestFit="1" customWidth="1"/>
    <col min="15" max="15" width="19" style="25" bestFit="1" customWidth="1"/>
    <col min="16" max="17" width="9.85546875" style="25" customWidth="1"/>
    <col min="18" max="18" width="10" style="25" customWidth="1"/>
    <col min="19" max="19" width="9.140625" style="25" customWidth="1"/>
    <col min="20" max="20" width="10" style="25" customWidth="1"/>
    <col min="21" max="21" width="9.85546875" style="25" customWidth="1"/>
    <col min="22" max="22" width="9.7109375" style="25" customWidth="1"/>
    <col min="23" max="23" width="9.85546875" style="25" customWidth="1"/>
    <col min="24" max="25" width="20.140625" style="25" bestFit="1" customWidth="1"/>
    <col min="26" max="26" width="9.140625" style="25"/>
    <col min="27" max="27" width="9.140625" style="2149" hidden="1" customWidth="1"/>
    <col min="28" max="16384" width="9.140625" style="41"/>
  </cols>
  <sheetData>
    <row r="1" spans="1:27" s="18" customFormat="1" ht="15.75" thickBot="1" x14ac:dyDescent="0.4">
      <c r="A1" s="1514"/>
      <c r="B1" s="132"/>
      <c r="C1" s="132"/>
      <c r="D1" s="132"/>
      <c r="E1" s="132"/>
      <c r="F1" s="132"/>
      <c r="G1" s="132"/>
      <c r="H1" s="132"/>
      <c r="I1" s="132"/>
      <c r="J1" s="132"/>
      <c r="K1" s="132"/>
      <c r="L1" s="132"/>
      <c r="M1" s="132"/>
      <c r="N1" s="132"/>
      <c r="O1" s="2109"/>
      <c r="P1" s="132"/>
      <c r="Q1" s="132"/>
      <c r="R1" s="132"/>
      <c r="S1" s="2109"/>
      <c r="T1" s="92"/>
      <c r="U1" s="92"/>
      <c r="V1" s="92"/>
      <c r="W1" s="92"/>
      <c r="X1" s="92"/>
      <c r="Y1" s="92"/>
      <c r="AA1" s="2145"/>
    </row>
    <row r="2" spans="1:27" s="18" customFormat="1" ht="17.25" customHeight="1" thickBot="1" x14ac:dyDescent="0.4">
      <c r="A2" s="3400" t="s">
        <v>387</v>
      </c>
      <c r="B2" s="3401"/>
      <c r="C2" s="3401"/>
      <c r="D2" s="3401"/>
      <c r="E2" s="3401"/>
      <c r="F2" s="3401"/>
      <c r="G2" s="3401"/>
      <c r="H2" s="3401"/>
      <c r="I2" s="3401"/>
      <c r="J2" s="3401"/>
      <c r="K2" s="3401"/>
      <c r="L2" s="3402"/>
      <c r="M2" s="132"/>
      <c r="N2" s="132"/>
      <c r="O2" s="2109"/>
      <c r="P2" s="132"/>
      <c r="Q2" s="132"/>
      <c r="R2" s="132"/>
      <c r="S2" s="2109"/>
      <c r="T2" s="92"/>
      <c r="U2" s="92"/>
      <c r="V2" s="92"/>
      <c r="W2" s="92"/>
      <c r="X2" s="92"/>
      <c r="Y2" s="92"/>
      <c r="AA2" s="2145"/>
    </row>
    <row r="3" spans="1:27" s="18" customFormat="1" ht="36" customHeight="1" x14ac:dyDescent="0.35">
      <c r="A3" s="3368" t="s">
        <v>18</v>
      </c>
      <c r="B3" s="3368"/>
      <c r="C3" s="3363" t="str">
        <f>'FIP(PAP-01)'!K8</f>
        <v>PD. BPR DOMPU</v>
      </c>
      <c r="D3" s="3363"/>
      <c r="E3" s="3363"/>
      <c r="F3" s="3363"/>
      <c r="G3" s="3363"/>
      <c r="H3" s="3363"/>
      <c r="I3" s="3363"/>
      <c r="J3" s="3363"/>
      <c r="K3" s="3363"/>
      <c r="L3" s="138"/>
      <c r="M3" s="138"/>
      <c r="N3" s="132"/>
      <c r="O3" s="2109"/>
      <c r="P3" s="132"/>
      <c r="Q3" s="132"/>
      <c r="R3" s="132"/>
      <c r="S3" s="2109"/>
      <c r="T3" s="92"/>
      <c r="U3" s="92"/>
      <c r="V3" s="92"/>
      <c r="W3" s="92"/>
      <c r="X3" s="92"/>
      <c r="Y3" s="92"/>
      <c r="AA3" s="2145"/>
    </row>
    <row r="4" spans="1:27" s="18" customFormat="1" ht="15" x14ac:dyDescent="0.35">
      <c r="A4" s="3370" t="s">
        <v>19</v>
      </c>
      <c r="B4" s="3370"/>
      <c r="C4" s="3363" t="str">
        <f>'FIP(PAP-01)'!K9</f>
        <v xml:space="preserve">Jl. Nusantara No. 04 </v>
      </c>
      <c r="D4" s="3363" t="str">
        <f>'CEKLIST 002 (BIO DATA)'!D22</f>
        <v>Bada</v>
      </c>
      <c r="E4" s="3363" t="str">
        <f>'CEKLIST 002 (BIO DATA)'!D23</f>
        <v>Dompu</v>
      </c>
      <c r="F4" s="3363" t="str">
        <f>'CEKLIST 002 (BIO DATA)'!D24</f>
        <v>Dompu</v>
      </c>
      <c r="G4" s="3363" t="str">
        <f>'CEKLIST 002 (BIO DATA)'!D25</f>
        <v>Nusa Tenggara Barat</v>
      </c>
      <c r="H4" s="3363"/>
      <c r="I4" s="3363"/>
      <c r="J4" s="3363"/>
      <c r="K4" s="3363"/>
      <c r="L4" s="138"/>
      <c r="M4" s="138"/>
      <c r="N4" s="132"/>
      <c r="O4" s="2109"/>
      <c r="P4" s="132"/>
      <c r="Q4" s="132"/>
      <c r="R4" s="132"/>
      <c r="S4" s="2109"/>
      <c r="T4" s="92"/>
      <c r="U4" s="92"/>
      <c r="V4" s="92"/>
      <c r="W4" s="92"/>
      <c r="X4" s="92"/>
      <c r="Y4" s="92"/>
      <c r="AA4" s="2145"/>
    </row>
    <row r="5" spans="1:27" s="18" customFormat="1" ht="15" x14ac:dyDescent="0.35">
      <c r="A5" s="3370"/>
      <c r="B5" s="3370"/>
      <c r="C5" s="3363"/>
      <c r="D5" s="3363"/>
      <c r="E5" s="3363"/>
      <c r="F5" s="3363"/>
      <c r="G5" s="3363"/>
      <c r="H5" s="3363"/>
      <c r="I5" s="3363"/>
      <c r="J5" s="3363"/>
      <c r="K5" s="3363"/>
      <c r="L5" s="138"/>
      <c r="M5" s="138"/>
      <c r="N5" s="132"/>
      <c r="O5" s="2109"/>
      <c r="P5" s="132"/>
      <c r="Q5" s="132"/>
      <c r="R5" s="132"/>
      <c r="S5" s="2109"/>
      <c r="T5" s="92"/>
      <c r="U5" s="92"/>
      <c r="V5" s="92"/>
      <c r="W5" s="92"/>
      <c r="X5" s="92"/>
      <c r="Y5" s="92"/>
      <c r="AA5" s="2145"/>
    </row>
    <row r="6" spans="1:27" s="18" customFormat="1" ht="15" x14ac:dyDescent="0.35">
      <c r="A6" s="2150"/>
      <c r="B6" s="138"/>
      <c r="C6" s="138"/>
      <c r="D6" s="138"/>
      <c r="E6" s="138"/>
      <c r="F6" s="138"/>
      <c r="G6" s="138"/>
      <c r="H6" s="138"/>
      <c r="I6" s="138"/>
      <c r="J6" s="138"/>
      <c r="K6" s="138"/>
      <c r="L6" s="138"/>
      <c r="M6" s="138"/>
      <c r="N6" s="132"/>
      <c r="O6" s="2109"/>
      <c r="P6" s="132"/>
      <c r="Q6" s="132"/>
      <c r="R6" s="132"/>
      <c r="S6" s="2109"/>
      <c r="T6" s="92"/>
      <c r="U6" s="92"/>
      <c r="V6" s="92"/>
      <c r="W6" s="92"/>
      <c r="X6" s="92"/>
      <c r="Y6" s="92"/>
      <c r="AA6" s="2145"/>
    </row>
    <row r="7" spans="1:27" s="18" customFormat="1" ht="30" customHeight="1" x14ac:dyDescent="0.35">
      <c r="A7" s="3371" t="s">
        <v>74</v>
      </c>
      <c r="B7" s="3371"/>
      <c r="C7" s="3371"/>
      <c r="D7" s="3371"/>
      <c r="E7" s="3371"/>
      <c r="F7" s="3371"/>
      <c r="G7" s="3371"/>
      <c r="H7" s="3371"/>
      <c r="I7" s="3371"/>
      <c r="J7" s="3371"/>
      <c r="K7" s="3371"/>
      <c r="L7" s="3371"/>
      <c r="M7" s="138"/>
      <c r="N7" s="132"/>
      <c r="O7" s="2109"/>
      <c r="P7" s="132"/>
      <c r="Q7" s="132"/>
      <c r="R7" s="132"/>
      <c r="S7" s="2109"/>
      <c r="T7" s="92"/>
      <c r="U7" s="92"/>
      <c r="V7" s="92"/>
      <c r="W7" s="92"/>
      <c r="X7" s="92"/>
      <c r="Y7" s="92"/>
      <c r="AA7" s="2145"/>
    </row>
    <row r="8" spans="1:27" s="18" customFormat="1" ht="13.5" customHeight="1" x14ac:dyDescent="0.35">
      <c r="A8" s="3372" t="s">
        <v>192</v>
      </c>
      <c r="B8" s="3372"/>
      <c r="C8" s="3372"/>
      <c r="D8" s="3365">
        <f>'CEKLIST 002 (BIO DATA)'!D9</f>
        <v>42735</v>
      </c>
      <c r="E8" s="3365">
        <f>'CEKLIST 002 (BIO DATA)'!D10</f>
        <v>43100</v>
      </c>
      <c r="F8" s="3365">
        <f>'CEKLIST 002 (BIO DATA)'!D11</f>
        <v>43281</v>
      </c>
      <c r="G8" s="3366"/>
      <c r="H8" s="3364" t="s">
        <v>181</v>
      </c>
      <c r="I8" s="3364"/>
      <c r="J8" s="3364"/>
      <c r="K8" s="3364"/>
      <c r="L8" s="3364"/>
      <c r="M8" s="138"/>
      <c r="N8" s="132"/>
      <c r="O8" s="2109"/>
      <c r="P8" s="132"/>
      <c r="Q8" s="132"/>
      <c r="R8" s="132"/>
      <c r="S8" s="2109"/>
      <c r="T8" s="92"/>
      <c r="U8" s="92"/>
      <c r="V8" s="92"/>
      <c r="W8" s="92"/>
      <c r="X8" s="92"/>
      <c r="Y8" s="92"/>
      <c r="AA8" s="2145"/>
    </row>
    <row r="9" spans="1:27" s="18" customFormat="1" ht="15" x14ac:dyDescent="0.35">
      <c r="A9" s="3372"/>
      <c r="B9" s="3372"/>
      <c r="C9" s="3372"/>
      <c r="D9" s="3365"/>
      <c r="E9" s="3365"/>
      <c r="F9" s="3365"/>
      <c r="G9" s="3367"/>
      <c r="H9" s="3364"/>
      <c r="I9" s="3364"/>
      <c r="J9" s="3364"/>
      <c r="K9" s="3364"/>
      <c r="L9" s="3364"/>
      <c r="M9" s="138"/>
      <c r="N9" s="132"/>
      <c r="O9" s="2109"/>
      <c r="P9" s="132"/>
      <c r="Q9" s="132"/>
      <c r="R9" s="132"/>
      <c r="S9" s="2109"/>
      <c r="T9" s="92"/>
      <c r="U9" s="92"/>
      <c r="V9" s="92"/>
      <c r="W9" s="92"/>
      <c r="X9" s="92"/>
      <c r="Y9" s="92"/>
      <c r="AA9" s="2145"/>
    </row>
    <row r="10" spans="1:27" s="18" customFormat="1" ht="15" x14ac:dyDescent="0.35">
      <c r="A10" s="3369" t="s">
        <v>193</v>
      </c>
      <c r="B10" s="3369"/>
      <c r="C10" s="3369"/>
      <c r="D10" s="1453" t="s">
        <v>59</v>
      </c>
      <c r="E10" s="1453" t="s">
        <v>60</v>
      </c>
      <c r="F10" s="1453" t="s">
        <v>640</v>
      </c>
      <c r="G10" s="2151"/>
      <c r="H10" s="2152">
        <v>1</v>
      </c>
      <c r="I10" s="2152">
        <v>2</v>
      </c>
      <c r="J10" s="2152">
        <v>3</v>
      </c>
      <c r="K10" s="2152">
        <v>4</v>
      </c>
      <c r="L10" s="2152">
        <v>5</v>
      </c>
      <c r="M10" s="138"/>
      <c r="N10" s="132"/>
      <c r="O10" s="2109"/>
      <c r="P10" s="132"/>
      <c r="Q10" s="132"/>
      <c r="R10" s="132"/>
      <c r="S10" s="2109"/>
      <c r="T10" s="92"/>
      <c r="U10" s="92"/>
      <c r="V10" s="92"/>
      <c r="W10" s="92"/>
      <c r="X10" s="92"/>
      <c r="Y10" s="92"/>
      <c r="AA10" s="2145"/>
    </row>
    <row r="11" spans="1:27" s="18" customFormat="1" ht="102.75" customHeight="1" x14ac:dyDescent="0.35">
      <c r="A11" s="2153">
        <v>1</v>
      </c>
      <c r="B11" s="3345" t="s">
        <v>955</v>
      </c>
      <c r="C11" s="3346"/>
      <c r="D11" s="681">
        <f>'CEKLIST 003 (LAPORAN KEUANGAN)'!L21</f>
        <v>0.47521174755009782</v>
      </c>
      <c r="E11" s="681">
        <f>'CEKLIST 003 (LAPORAN KEUANGAN)'!M21</f>
        <v>0.51727403949653283</v>
      </c>
      <c r="F11" s="681">
        <f>'CEKLIST 003 (LAPORAN KEUANGAN)'!N21</f>
        <v>0.5835159746465115</v>
      </c>
      <c r="G11" s="425"/>
      <c r="H11" s="135"/>
      <c r="I11" s="135"/>
      <c r="J11" s="426"/>
      <c r="K11" s="135"/>
      <c r="L11" s="135"/>
      <c r="M11" s="132"/>
      <c r="N11" s="132"/>
      <c r="O11" s="2109">
        <v>5</v>
      </c>
      <c r="P11" s="132"/>
      <c r="Q11" s="132"/>
      <c r="R11" s="132"/>
      <c r="S11" s="2109"/>
      <c r="T11" s="92"/>
      <c r="U11" s="92"/>
      <c r="V11" s="92"/>
      <c r="W11" s="92"/>
      <c r="X11" s="92"/>
      <c r="Y11" s="92"/>
      <c r="AA11" s="2145"/>
    </row>
    <row r="12" spans="1:27" s="18" customFormat="1" ht="102.75" customHeight="1" x14ac:dyDescent="0.35">
      <c r="A12" s="2153">
        <v>2</v>
      </c>
      <c r="B12" s="3345" t="s">
        <v>1724</v>
      </c>
      <c r="C12" s="3346"/>
      <c r="D12" s="681">
        <f>'CEKLIST 003 (LAPORAN KEUANGAN))'!S68</f>
        <v>4.2400980326496238E-2</v>
      </c>
      <c r="E12" s="681">
        <f>'CEKLIST 003 (LAPORAN KEUANGAN))'!S58</f>
        <v>4.1344267627321955E-2</v>
      </c>
      <c r="F12" s="681">
        <f>'CEKLIST 003 (LAPORAN KEUANGAN))'!S46</f>
        <v>4.3786250970971143E-2</v>
      </c>
      <c r="G12" s="425"/>
      <c r="H12" s="135"/>
      <c r="I12" s="135"/>
      <c r="J12" s="426"/>
      <c r="K12" s="135"/>
      <c r="L12" s="135"/>
      <c r="M12" s="132"/>
      <c r="N12" s="132"/>
      <c r="O12" s="2109">
        <v>4</v>
      </c>
      <c r="P12" s="132"/>
      <c r="Q12" s="132"/>
      <c r="R12" s="132"/>
      <c r="S12" s="2109"/>
      <c r="T12" s="92"/>
      <c r="U12" s="92"/>
      <c r="V12" s="92"/>
      <c r="W12" s="92"/>
      <c r="X12" s="92"/>
      <c r="Y12" s="92"/>
      <c r="AA12" s="2145"/>
    </row>
    <row r="13" spans="1:27" s="18" customFormat="1" ht="102.75" customHeight="1" x14ac:dyDescent="0.35">
      <c r="A13" s="2153">
        <v>3</v>
      </c>
      <c r="B13" s="3345" t="s">
        <v>956</v>
      </c>
      <c r="C13" s="3346"/>
      <c r="D13" s="681">
        <f>'CEKLIST 003 (LAPORAN KEUANGAN)'!L30</f>
        <v>0.51340196892361489</v>
      </c>
      <c r="E13" s="681">
        <f>'CEKLIST 003 (LAPORAN KEUANGAN)'!M30</f>
        <v>0.56374702821365663</v>
      </c>
      <c r="F13" s="681">
        <f>'CEKLIST 003 (LAPORAN KEUANGAN)'!N30</f>
        <v>0.57255173506880719</v>
      </c>
      <c r="G13" s="425"/>
      <c r="H13" s="135"/>
      <c r="I13" s="135"/>
      <c r="J13" s="426"/>
      <c r="K13" s="135"/>
      <c r="L13" s="135"/>
      <c r="M13" s="132"/>
      <c r="N13" s="132"/>
      <c r="O13" s="2109">
        <v>5</v>
      </c>
      <c r="P13" s="132"/>
      <c r="Q13" s="132"/>
      <c r="R13" s="132"/>
      <c r="S13" s="2109"/>
      <c r="T13" s="92"/>
      <c r="U13" s="92"/>
      <c r="V13" s="92"/>
      <c r="W13" s="92"/>
      <c r="X13" s="92"/>
      <c r="Y13" s="92"/>
      <c r="AA13" s="2145"/>
    </row>
    <row r="14" spans="1:27" s="18" customFormat="1" ht="102.75" customHeight="1" x14ac:dyDescent="0.35">
      <c r="A14" s="2153">
        <v>4</v>
      </c>
      <c r="B14" s="3345" t="s">
        <v>957</v>
      </c>
      <c r="C14" s="3346"/>
      <c r="D14" s="681">
        <f>'CEKLIST 003 (LAPORAN KEUANGAN)'!L14</f>
        <v>0.25244861801989488</v>
      </c>
      <c r="E14" s="681">
        <f>'CEKLIST 003 (LAPORAN KEUANGAN)'!M14</f>
        <v>0.23965797972239317</v>
      </c>
      <c r="F14" s="681">
        <f>'CEKLIST 003 (LAPORAN KEUANGAN)'!N14</f>
        <v>0.41972357675350841</v>
      </c>
      <c r="G14" s="425"/>
      <c r="H14" s="135"/>
      <c r="I14" s="135"/>
      <c r="J14" s="426"/>
      <c r="K14" s="135"/>
      <c r="L14" s="135"/>
      <c r="M14" s="132"/>
      <c r="N14" s="132"/>
      <c r="O14" s="2109">
        <v>3</v>
      </c>
      <c r="P14" s="132"/>
      <c r="Q14" s="132"/>
      <c r="R14" s="132"/>
      <c r="S14" s="2109"/>
      <c r="T14" s="92"/>
      <c r="U14" s="92"/>
      <c r="V14" s="92"/>
      <c r="W14" s="92"/>
      <c r="X14" s="92"/>
      <c r="Y14" s="92"/>
      <c r="AA14" s="2145"/>
    </row>
    <row r="15" spans="1:27" s="18" customFormat="1" ht="126" customHeight="1" x14ac:dyDescent="0.35">
      <c r="A15" s="2153">
        <v>5</v>
      </c>
      <c r="B15" s="3345" t="s">
        <v>958</v>
      </c>
      <c r="C15" s="3346"/>
      <c r="D15" s="682">
        <f>'CEKLIST 003 (LAPORAN KEUANGAN)'!L16</f>
        <v>0.90615869064025045</v>
      </c>
      <c r="E15" s="682">
        <f>'CEKLIST 003 (LAPORAN KEUANGAN)'!M16</f>
        <v>0.90012782033898031</v>
      </c>
      <c r="F15" s="682">
        <f>'CEKLIST 003 (LAPORAN KEUANGAN)'!N16</f>
        <v>0.79167742091493443</v>
      </c>
      <c r="G15" s="427"/>
      <c r="H15" s="428"/>
      <c r="I15" s="428"/>
      <c r="J15" s="428"/>
      <c r="K15" s="428"/>
      <c r="L15" s="428"/>
      <c r="M15" s="132"/>
      <c r="N15" s="132"/>
      <c r="O15" s="2109">
        <v>2</v>
      </c>
      <c r="P15" s="132"/>
      <c r="Q15" s="132"/>
      <c r="R15" s="132"/>
      <c r="S15" s="2109"/>
      <c r="T15" s="92"/>
      <c r="U15" s="92"/>
      <c r="V15" s="92"/>
      <c r="W15" s="92"/>
      <c r="X15" s="92"/>
      <c r="Y15" s="92"/>
      <c r="AA15" s="2145"/>
    </row>
    <row r="16" spans="1:27" s="18" customFormat="1" ht="113.25" customHeight="1" x14ac:dyDescent="0.35">
      <c r="A16" s="2153">
        <v>6</v>
      </c>
      <c r="B16" s="3345" t="s">
        <v>959</v>
      </c>
      <c r="C16" s="3346"/>
      <c r="D16" s="682">
        <f>'CEKLIST 003 (LAPORAN KEUANGAN)'!L27</f>
        <v>3.2359686054148816E-2</v>
      </c>
      <c r="E16" s="682">
        <f>'CEKLIST 003 (LAPORAN KEUANGAN)'!M27</f>
        <v>2.8033327647019129E-2</v>
      </c>
      <c r="F16" s="682">
        <f>'CEKLIST 003 (LAPORAN KEUANGAN)'!N27</f>
        <v>1.1873597427415847E-2</v>
      </c>
      <c r="G16" s="427"/>
      <c r="H16" s="428"/>
      <c r="I16" s="428"/>
      <c r="J16" s="428"/>
      <c r="K16" s="428"/>
      <c r="L16" s="428"/>
      <c r="M16" s="132"/>
      <c r="N16" s="132"/>
      <c r="O16" s="2109">
        <v>2</v>
      </c>
      <c r="P16" s="132"/>
      <c r="Q16" s="132"/>
      <c r="R16" s="132"/>
      <c r="S16" s="2109"/>
      <c r="T16" s="92"/>
      <c r="U16" s="92"/>
      <c r="V16" s="92"/>
      <c r="W16" s="92"/>
      <c r="X16" s="92"/>
      <c r="Y16" s="92"/>
      <c r="AA16" s="2145"/>
    </row>
    <row r="17" spans="1:27" s="18" customFormat="1" ht="119.25" customHeight="1" x14ac:dyDescent="0.35">
      <c r="A17" s="2153">
        <v>7</v>
      </c>
      <c r="B17" s="3345" t="s">
        <v>960</v>
      </c>
      <c r="C17" s="3346"/>
      <c r="D17" s="682">
        <f>'CEKLIST 003 (LAPORAN KEUANGAN)'!L26</f>
        <v>0.13158196611093417</v>
      </c>
      <c r="E17" s="682">
        <f>'CEKLIST 003 (LAPORAN KEUANGAN)'!M26</f>
        <v>0.11096678004096741</v>
      </c>
      <c r="F17" s="682">
        <f>'CEKLIST 003 (LAPORAN KEUANGAN)'!N26</f>
        <v>4.4308090235220053E-2</v>
      </c>
      <c r="G17" s="427"/>
      <c r="H17" s="428"/>
      <c r="I17" s="428"/>
      <c r="J17" s="428"/>
      <c r="K17" s="428"/>
      <c r="L17" s="428"/>
      <c r="M17" s="132"/>
      <c r="N17" s="132"/>
      <c r="O17" s="2109">
        <v>5</v>
      </c>
      <c r="P17" s="132"/>
      <c r="Q17" s="132"/>
      <c r="R17" s="132"/>
      <c r="S17" s="2109"/>
      <c r="T17" s="92"/>
      <c r="U17" s="92"/>
      <c r="V17" s="92"/>
      <c r="W17" s="92"/>
      <c r="X17" s="92"/>
      <c r="Y17" s="92"/>
      <c r="AA17" s="2145"/>
    </row>
    <row r="18" spans="1:27" s="38" customFormat="1" ht="112.5" customHeight="1" x14ac:dyDescent="0.35">
      <c r="A18" s="2154">
        <v>8</v>
      </c>
      <c r="B18" s="3343" t="s">
        <v>770</v>
      </c>
      <c r="C18" s="3344"/>
      <c r="D18" s="1482">
        <f>'CEKLIST 003 (LAPORAN KEUANGAN)'!L31</f>
        <v>0.46758540129751086</v>
      </c>
      <c r="E18" s="1482">
        <f>'CEKLIST 003 (LAPORAN KEUANGAN)'!M31</f>
        <v>0.49827558833005642</v>
      </c>
      <c r="F18" s="1482">
        <f>'CEKLIST 003 (LAPORAN KEUANGAN)'!N31</f>
        <v>0.50380627366848352</v>
      </c>
      <c r="G18" s="429"/>
      <c r="H18" s="430"/>
      <c r="I18" s="430"/>
      <c r="J18" s="430"/>
      <c r="K18" s="430"/>
      <c r="L18" s="430"/>
      <c r="M18" s="431"/>
      <c r="N18" s="431"/>
      <c r="O18" s="2110">
        <v>5</v>
      </c>
      <c r="P18" s="431"/>
      <c r="Q18" s="431"/>
      <c r="R18" s="431"/>
      <c r="S18" s="2110"/>
      <c r="T18" s="93"/>
      <c r="U18" s="93"/>
      <c r="V18" s="93"/>
      <c r="W18" s="93"/>
      <c r="X18" s="93"/>
      <c r="Y18" s="93"/>
      <c r="AA18" s="2146"/>
    </row>
    <row r="19" spans="1:27" s="18" customFormat="1" ht="108.75" customHeight="1" x14ac:dyDescent="0.35">
      <c r="A19" s="2155">
        <v>9</v>
      </c>
      <c r="B19" s="3404" t="s">
        <v>347</v>
      </c>
      <c r="C19" s="3405"/>
      <c r="D19" s="683">
        <f>'CEKLIST 003 (LAPORAN KEUANGAN)'!L23</f>
        <v>1.1386467524971537</v>
      </c>
      <c r="E19" s="683">
        <f>'CEKLIST 003 (LAPORAN KEUANGAN)'!M23</f>
        <v>1.0069215177718134</v>
      </c>
      <c r="F19" s="683">
        <f>'CEKLIST 003 (LAPORAN KEUANGAN)'!N23</f>
        <v>0.98488993143825687</v>
      </c>
      <c r="G19" s="432"/>
      <c r="H19" s="1474"/>
      <c r="I19" s="1474"/>
      <c r="J19" s="1474"/>
      <c r="K19" s="1474"/>
      <c r="L19" s="1474"/>
      <c r="M19" s="132"/>
      <c r="N19" s="132"/>
      <c r="O19" s="2109">
        <v>4</v>
      </c>
      <c r="P19" s="132"/>
      <c r="Q19" s="132"/>
      <c r="R19" s="132"/>
      <c r="S19" s="2109"/>
      <c r="T19" s="92"/>
      <c r="U19" s="92"/>
      <c r="V19" s="92"/>
      <c r="W19" s="92"/>
      <c r="X19" s="92"/>
      <c r="Y19" s="92"/>
      <c r="AA19" s="2145"/>
    </row>
    <row r="20" spans="1:27" s="18" customFormat="1" ht="101.25" customHeight="1" x14ac:dyDescent="0.35">
      <c r="A20" s="2156">
        <v>10</v>
      </c>
      <c r="B20" s="3347" t="s">
        <v>771</v>
      </c>
      <c r="C20" s="3348"/>
      <c r="D20" s="681">
        <f>'CEKLIST 003 (LAPORAN KEUANGAN)'!L25</f>
        <v>0.21979059779139692</v>
      </c>
      <c r="E20" s="681">
        <f>'CEKLIST 003 (LAPORAN KEUANGAN)'!M25</f>
        <v>0.2151603872826251</v>
      </c>
      <c r="F20" s="681">
        <f>'CEKLIST 003 (LAPORAN KEUANGAN)'!N25</f>
        <v>0.10812737229624191</v>
      </c>
      <c r="G20" s="432"/>
      <c r="H20" s="1474"/>
      <c r="I20" s="1474"/>
      <c r="J20" s="1474"/>
      <c r="K20" s="1474"/>
      <c r="L20" s="1474"/>
      <c r="M20" s="132"/>
      <c r="N20" s="132"/>
      <c r="O20" s="2109">
        <v>5</v>
      </c>
      <c r="P20" s="132"/>
      <c r="Q20" s="132"/>
      <c r="R20" s="132"/>
      <c r="S20" s="2109"/>
      <c r="T20" s="92"/>
      <c r="U20" s="92"/>
      <c r="V20" s="92"/>
      <c r="W20" s="92"/>
      <c r="X20" s="92"/>
      <c r="Y20" s="92"/>
      <c r="AA20" s="2145"/>
    </row>
    <row r="21" spans="1:27" s="18" customFormat="1" ht="24" customHeight="1" x14ac:dyDescent="0.35">
      <c r="A21" s="3414" t="s">
        <v>1798</v>
      </c>
      <c r="B21" s="3414"/>
      <c r="C21" s="3414"/>
      <c r="D21" s="3414"/>
      <c r="E21" s="3414"/>
      <c r="F21" s="3211" t="s">
        <v>184</v>
      </c>
      <c r="G21" s="3223"/>
      <c r="H21" s="1510">
        <f>COUNTIF(O11:O20,"1")*H10</f>
        <v>0</v>
      </c>
      <c r="I21" s="1510">
        <f>COUNTIF(O11:O20,"2")*I10</f>
        <v>4</v>
      </c>
      <c r="J21" s="1510">
        <f>COUNTIF(O11:O20,"3")*J10</f>
        <v>3</v>
      </c>
      <c r="K21" s="1510">
        <f>COUNTIF(O11:O20,"4")*K10</f>
        <v>8</v>
      </c>
      <c r="L21" s="1510">
        <f>COUNTIF(O11:O20,"5")*L10</f>
        <v>25</v>
      </c>
      <c r="M21" s="132"/>
      <c r="N21" s="132"/>
      <c r="O21" s="132"/>
      <c r="P21" s="132"/>
      <c r="Q21" s="132"/>
      <c r="R21" s="132"/>
      <c r="S21" s="2109"/>
      <c r="T21" s="92"/>
      <c r="U21" s="92"/>
      <c r="V21" s="92"/>
      <c r="W21" s="92"/>
      <c r="X21" s="92"/>
      <c r="Y21" s="92"/>
      <c r="AA21" s="2147"/>
    </row>
    <row r="22" spans="1:27" s="18" customFormat="1" ht="31.5" customHeight="1" x14ac:dyDescent="0.35">
      <c r="A22" s="3414"/>
      <c r="B22" s="3414"/>
      <c r="C22" s="3414"/>
      <c r="D22" s="3414"/>
      <c r="E22" s="3414"/>
      <c r="F22" s="3213"/>
      <c r="G22" s="3224"/>
      <c r="H22" s="3316">
        <f>SUM(H21:L21)</f>
        <v>40</v>
      </c>
      <c r="I22" s="3316"/>
      <c r="J22" s="3316"/>
      <c r="K22" s="3316"/>
      <c r="L22" s="3316"/>
      <c r="M22" s="132"/>
      <c r="N22" s="132"/>
      <c r="O22" s="132"/>
      <c r="P22" s="132"/>
      <c r="Q22" s="132"/>
      <c r="R22" s="132"/>
      <c r="S22" s="2109"/>
      <c r="T22" s="92"/>
      <c r="U22" s="92"/>
      <c r="V22" s="92"/>
      <c r="W22" s="92"/>
      <c r="X22" s="92"/>
      <c r="Y22" s="92"/>
      <c r="AA22" s="2147"/>
    </row>
    <row r="23" spans="1:27" s="18" customFormat="1" ht="132" customHeight="1" x14ac:dyDescent="0.35">
      <c r="A23" s="3414"/>
      <c r="B23" s="3414"/>
      <c r="C23" s="3414"/>
      <c r="D23" s="3414"/>
      <c r="E23" s="3414"/>
      <c r="F23" s="3208" t="s">
        <v>182</v>
      </c>
      <c r="G23" s="3209"/>
      <c r="H23" s="3361">
        <f>H22/AA23</f>
        <v>4</v>
      </c>
      <c r="I23" s="3362"/>
      <c r="J23" s="3326" t="str">
        <f>IF(ROUND(H23,0)=1,"Sangat Tidak Memenuhi Syarat",IF(ROUND(H23,0)=2,"Kurang Memenuhi Syarat",IF(ROUND(H23,0)=3,"Cukup Memenuhi Syarat",IF(ROUND(H23,0)=4,"Memenuhi Syarat",IF(ROUND(H23,0)=5,"Sangat Memenuhi Syarat")))))</f>
        <v>Memenuhi Syarat</v>
      </c>
      <c r="K23" s="3327"/>
      <c r="L23" s="3328"/>
      <c r="M23" s="132"/>
      <c r="N23" s="132"/>
      <c r="O23" s="132"/>
      <c r="P23" s="132"/>
      <c r="Q23" s="132"/>
      <c r="R23" s="132"/>
      <c r="S23" s="2109"/>
      <c r="T23" s="92"/>
      <c r="U23" s="92"/>
      <c r="V23" s="92"/>
      <c r="W23" s="92"/>
      <c r="X23" s="92"/>
      <c r="Y23" s="92"/>
      <c r="AA23" s="2147">
        <f>COUNTIF(O11:O20,"&gt;0")</f>
        <v>10</v>
      </c>
    </row>
    <row r="24" spans="1:27" s="18" customFormat="1" ht="15" x14ac:dyDescent="0.35">
      <c r="A24" s="2150"/>
      <c r="B24" s="138"/>
      <c r="C24" s="138"/>
      <c r="D24" s="138"/>
      <c r="E24" s="138"/>
      <c r="F24" s="138"/>
      <c r="G24" s="138"/>
      <c r="H24" s="138"/>
      <c r="I24" s="138"/>
      <c r="J24" s="138"/>
      <c r="K24" s="138"/>
      <c r="L24" s="138"/>
      <c r="M24" s="138"/>
      <c r="N24" s="132"/>
      <c r="O24" s="132"/>
      <c r="P24" s="132"/>
      <c r="Q24" s="132"/>
      <c r="R24" s="132"/>
      <c r="S24" s="2109"/>
      <c r="T24" s="92"/>
      <c r="U24" s="92"/>
      <c r="V24" s="92"/>
      <c r="W24" s="92"/>
      <c r="X24" s="92"/>
      <c r="Y24" s="92"/>
      <c r="AA24" s="2145"/>
    </row>
    <row r="25" spans="1:27" s="18" customFormat="1" ht="15" x14ac:dyDescent="0.35">
      <c r="A25" s="2157"/>
      <c r="B25" s="2157"/>
      <c r="C25" s="2157"/>
      <c r="D25" s="2157"/>
      <c r="E25" s="2157"/>
      <c r="F25" s="2157"/>
      <c r="G25" s="2157"/>
      <c r="H25" s="2158"/>
      <c r="I25" s="2158"/>
      <c r="J25" s="2158"/>
      <c r="K25" s="2158"/>
      <c r="L25" s="2158"/>
      <c r="M25" s="138"/>
      <c r="N25" s="132"/>
      <c r="O25" s="132"/>
      <c r="P25" s="132"/>
      <c r="Q25" s="132"/>
      <c r="R25" s="132"/>
      <c r="S25" s="2109"/>
      <c r="T25" s="92"/>
      <c r="U25" s="92"/>
      <c r="V25" s="92"/>
      <c r="W25" s="92"/>
      <c r="X25" s="92"/>
      <c r="Y25" s="92"/>
      <c r="AA25" s="2145"/>
    </row>
    <row r="26" spans="1:27" s="33" customFormat="1" ht="24.75" customHeight="1" thickBot="1" x14ac:dyDescent="0.3">
      <c r="A26" s="3415" t="s">
        <v>283</v>
      </c>
      <c r="B26" s="3415"/>
      <c r="C26" s="3415"/>
      <c r="D26" s="3415"/>
      <c r="E26" s="3415"/>
      <c r="F26" s="3415"/>
      <c r="G26" s="3415"/>
      <c r="H26" s="3415"/>
      <c r="I26" s="3415"/>
      <c r="J26" s="3415"/>
      <c r="K26" s="3415"/>
      <c r="L26" s="3415"/>
      <c r="M26" s="3415"/>
      <c r="N26" s="398"/>
      <c r="O26" s="398"/>
      <c r="P26" s="398"/>
      <c r="Q26" s="398"/>
      <c r="R26" s="398"/>
      <c r="S26" s="398"/>
      <c r="T26" s="89"/>
      <c r="U26" s="89"/>
      <c r="V26" s="89"/>
      <c r="W26" s="89"/>
      <c r="X26" s="89"/>
      <c r="Y26" s="89"/>
      <c r="AA26" s="2148"/>
    </row>
    <row r="27" spans="1:27" s="33" customFormat="1" ht="13.5" customHeight="1" x14ac:dyDescent="0.25">
      <c r="A27" s="3244" t="s">
        <v>40</v>
      </c>
      <c r="B27" s="3245"/>
      <c r="C27" s="3246"/>
      <c r="D27" s="3350">
        <f>D8</f>
        <v>42735</v>
      </c>
      <c r="E27" s="3329">
        <f>E8</f>
        <v>43100</v>
      </c>
      <c r="F27" s="3329">
        <f>F8</f>
        <v>43281</v>
      </c>
      <c r="G27" s="3331" t="s">
        <v>938</v>
      </c>
      <c r="H27" s="3331" t="s">
        <v>939</v>
      </c>
      <c r="I27" s="3245"/>
      <c r="J27" s="3338"/>
      <c r="K27" s="3321" t="s">
        <v>639</v>
      </c>
      <c r="L27" s="3322"/>
      <c r="M27" s="3323"/>
      <c r="N27" s="398"/>
      <c r="O27" s="398"/>
      <c r="P27" s="398"/>
      <c r="Q27" s="398"/>
      <c r="R27" s="398"/>
      <c r="S27" s="398"/>
      <c r="T27" s="89"/>
      <c r="U27" s="89"/>
      <c r="V27" s="89"/>
      <c r="W27" s="89"/>
      <c r="X27" s="89"/>
      <c r="Y27" s="89"/>
      <c r="AA27" s="2148"/>
    </row>
    <row r="28" spans="1:27" s="33" customFormat="1" ht="13.5" customHeight="1" x14ac:dyDescent="0.25">
      <c r="A28" s="3247"/>
      <c r="B28" s="3248"/>
      <c r="C28" s="3249"/>
      <c r="D28" s="3351"/>
      <c r="E28" s="3330"/>
      <c r="F28" s="3330"/>
      <c r="G28" s="3332"/>
      <c r="H28" s="3349"/>
      <c r="I28" s="3340"/>
      <c r="J28" s="3341"/>
      <c r="K28" s="3324"/>
      <c r="L28" s="3324"/>
      <c r="M28" s="3325"/>
      <c r="N28" s="398"/>
      <c r="O28" s="398"/>
      <c r="P28" s="398"/>
      <c r="Q28" s="398"/>
      <c r="R28" s="398"/>
      <c r="S28" s="398"/>
      <c r="T28" s="89"/>
      <c r="U28" s="89"/>
      <c r="V28" s="89"/>
      <c r="W28" s="89"/>
      <c r="X28" s="89"/>
      <c r="Y28" s="89"/>
      <c r="AA28" s="2148"/>
    </row>
    <row r="29" spans="1:27" s="33" customFormat="1" ht="13.5" customHeight="1" thickBot="1" x14ac:dyDescent="0.4">
      <c r="A29" s="3305"/>
      <c r="B29" s="3403"/>
      <c r="C29" s="3306"/>
      <c r="D29" s="2159" t="s">
        <v>59</v>
      </c>
      <c r="E29" s="527" t="s">
        <v>60</v>
      </c>
      <c r="F29" s="527" t="s">
        <v>640</v>
      </c>
      <c r="G29" s="1504" t="s">
        <v>641</v>
      </c>
      <c r="H29" s="3383" t="s">
        <v>642</v>
      </c>
      <c r="I29" s="3384"/>
      <c r="J29" s="3385"/>
      <c r="K29" s="3313" t="s">
        <v>640</v>
      </c>
      <c r="L29" s="3313"/>
      <c r="M29" s="3314"/>
      <c r="N29" s="398"/>
      <c r="O29" s="398"/>
      <c r="P29" s="398"/>
      <c r="Q29" s="398"/>
      <c r="R29" s="398"/>
      <c r="S29" s="398"/>
      <c r="T29" s="89"/>
      <c r="U29" s="89"/>
      <c r="V29" s="89"/>
      <c r="W29" s="89"/>
      <c r="X29" s="89"/>
      <c r="Y29" s="89"/>
      <c r="AA29" s="2148"/>
    </row>
    <row r="30" spans="1:27" s="33" customFormat="1" ht="26.25" customHeight="1" x14ac:dyDescent="0.35">
      <c r="A30" s="2160"/>
      <c r="B30" s="3354" t="s">
        <v>504</v>
      </c>
      <c r="C30" s="3355"/>
      <c r="D30" s="546"/>
      <c r="E30" s="547"/>
      <c r="F30" s="547"/>
      <c r="G30" s="548"/>
      <c r="H30" s="3360"/>
      <c r="I30" s="3319"/>
      <c r="J30" s="3319"/>
      <c r="K30" s="3319"/>
      <c r="L30" s="3319"/>
      <c r="M30" s="3320"/>
      <c r="N30" s="398"/>
      <c r="O30" s="398"/>
      <c r="P30" s="398"/>
      <c r="Q30" s="398"/>
      <c r="R30" s="398"/>
      <c r="S30" s="398"/>
      <c r="T30" s="89"/>
      <c r="U30" s="89"/>
      <c r="V30" s="89"/>
      <c r="W30" s="89"/>
      <c r="X30" s="89"/>
      <c r="Y30" s="89"/>
      <c r="AA30" s="2148"/>
    </row>
    <row r="31" spans="1:27" s="33" customFormat="1" ht="13.5" customHeight="1" x14ac:dyDescent="0.25">
      <c r="A31" s="2161"/>
      <c r="B31" s="3356" t="s">
        <v>1707</v>
      </c>
      <c r="C31" s="3357"/>
      <c r="D31" s="659">
        <f>'CEKLIST 003 (LAPORAN KEUANGAN)'!C59</f>
        <v>13527716398</v>
      </c>
      <c r="E31" s="684">
        <f>'CEKLIST 003 (LAPORAN KEUANGAN)'!D59</f>
        <v>14266139810.66</v>
      </c>
      <c r="F31" s="684">
        <f>'CEKLIST 003 (LAPORAN KEUANGAN)'!E59</f>
        <v>7489241333.5900002</v>
      </c>
      <c r="G31" s="685">
        <f t="shared" ref="G31:H36" si="0">IFERROR(((E31-D31)/D31),0)</f>
        <v>5.4585961956533313E-2</v>
      </c>
      <c r="H31" s="3342">
        <f t="shared" si="0"/>
        <v>-0.47503379099131915</v>
      </c>
      <c r="I31" s="3317"/>
      <c r="J31" s="3317"/>
      <c r="K31" s="3317">
        <f>IFERROR((F31/F52),0)</f>
        <v>3.0389134158210291</v>
      </c>
      <c r="L31" s="3317"/>
      <c r="M31" s="3318"/>
      <c r="N31" s="398"/>
      <c r="O31" s="398"/>
      <c r="P31" s="398"/>
      <c r="Q31" s="398"/>
      <c r="R31" s="398"/>
      <c r="S31" s="398"/>
      <c r="T31" s="89"/>
      <c r="U31" s="89"/>
      <c r="V31" s="89"/>
      <c r="W31" s="89"/>
      <c r="X31" s="89"/>
      <c r="Y31" s="89"/>
      <c r="AA31" s="2148"/>
    </row>
    <row r="32" spans="1:27" s="33" customFormat="1" ht="13.5" customHeight="1" x14ac:dyDescent="0.25">
      <c r="A32" s="2161"/>
      <c r="B32" s="3356" t="s">
        <v>505</v>
      </c>
      <c r="C32" s="3357"/>
      <c r="D32" s="659">
        <f>'CEKLIST 003 (LAPORAN KEUANGAN)'!C60</f>
        <v>0</v>
      </c>
      <c r="E32" s="684">
        <f>'CEKLIST 003 (LAPORAN KEUANGAN)'!D60</f>
        <v>0</v>
      </c>
      <c r="F32" s="684">
        <f>'CEKLIST 003 (LAPORAN KEUANGAN)'!E60</f>
        <v>0</v>
      </c>
      <c r="G32" s="685">
        <f t="shared" si="0"/>
        <v>0</v>
      </c>
      <c r="H32" s="3342">
        <f t="shared" si="0"/>
        <v>0</v>
      </c>
      <c r="I32" s="3317"/>
      <c r="J32" s="3317"/>
      <c r="K32" s="3317">
        <f>IFERROR((F32/F52),0)</f>
        <v>0</v>
      </c>
      <c r="L32" s="3317"/>
      <c r="M32" s="3318"/>
      <c r="N32" s="398"/>
      <c r="O32" s="398"/>
      <c r="P32" s="398"/>
      <c r="Q32" s="398"/>
      <c r="R32" s="398"/>
      <c r="S32" s="398"/>
      <c r="T32" s="89"/>
      <c r="U32" s="89"/>
      <c r="V32" s="89"/>
      <c r="W32" s="89"/>
      <c r="X32" s="89"/>
      <c r="Y32" s="89"/>
      <c r="AA32" s="2148"/>
    </row>
    <row r="33" spans="1:27" s="33" customFormat="1" ht="13.5" customHeight="1" x14ac:dyDescent="0.25">
      <c r="A33" s="2161"/>
      <c r="B33" s="3356" t="s">
        <v>506</v>
      </c>
      <c r="C33" s="3357"/>
      <c r="D33" s="659">
        <f>'CEKLIST 003 (LAPORAN KEUANGAN)'!C61</f>
        <v>698260410</v>
      </c>
      <c r="E33" s="684">
        <f>'CEKLIST 003 (LAPORAN KEUANGAN)'!D61</f>
        <v>807417117.01999998</v>
      </c>
      <c r="F33" s="684">
        <f>'CEKLIST 003 (LAPORAN KEUANGAN)'!E61</f>
        <v>469834636.31999999</v>
      </c>
      <c r="G33" s="685">
        <f t="shared" si="0"/>
        <v>0.15632664469692614</v>
      </c>
      <c r="H33" s="3342">
        <f t="shared" si="0"/>
        <v>-0.41810171419940056</v>
      </c>
      <c r="I33" s="3317"/>
      <c r="J33" s="3317"/>
      <c r="K33" s="3317">
        <f>IFERROR((F33/F52),0)</f>
        <v>0.19064504880173574</v>
      </c>
      <c r="L33" s="3317"/>
      <c r="M33" s="3318"/>
      <c r="N33" s="398"/>
      <c r="O33" s="398"/>
      <c r="P33" s="398"/>
      <c r="Q33" s="398"/>
      <c r="R33" s="398"/>
      <c r="S33" s="398"/>
      <c r="T33" s="89"/>
      <c r="U33" s="89"/>
      <c r="V33" s="89"/>
      <c r="W33" s="89"/>
      <c r="X33" s="89"/>
      <c r="Y33" s="89"/>
      <c r="AA33" s="2148"/>
    </row>
    <row r="34" spans="1:27" s="33" customFormat="1" ht="13.5" customHeight="1" x14ac:dyDescent="0.25">
      <c r="A34" s="2161"/>
      <c r="B34" s="3356" t="s">
        <v>507</v>
      </c>
      <c r="C34" s="3357"/>
      <c r="D34" s="659">
        <f>'CEKLIST 003 (LAPORAN KEUANGAN)'!C62</f>
        <v>125065055</v>
      </c>
      <c r="E34" s="684">
        <f>'CEKLIST 003 (LAPORAN KEUANGAN)'!D62</f>
        <v>133823492</v>
      </c>
      <c r="F34" s="684">
        <f>'CEKLIST 003 (LAPORAN KEUANGAN)'!E62</f>
        <v>71953129</v>
      </c>
      <c r="G34" s="685">
        <f t="shared" si="0"/>
        <v>7.0031049040837193E-2</v>
      </c>
      <c r="H34" s="3342">
        <f t="shared" si="0"/>
        <v>-0.46232811650139871</v>
      </c>
      <c r="I34" s="3317"/>
      <c r="J34" s="3317"/>
      <c r="K34" s="3317">
        <f>IFERROR((F34/F52),0)</f>
        <v>2.9196459199103662E-2</v>
      </c>
      <c r="L34" s="3317"/>
      <c r="M34" s="3318"/>
      <c r="N34" s="398"/>
      <c r="O34" s="398"/>
      <c r="P34" s="398"/>
      <c r="Q34" s="398"/>
      <c r="R34" s="398"/>
      <c r="S34" s="398"/>
      <c r="T34" s="89"/>
      <c r="U34" s="89"/>
      <c r="V34" s="89"/>
      <c r="W34" s="89"/>
      <c r="X34" s="89"/>
      <c r="Y34" s="89"/>
      <c r="AA34" s="2148"/>
    </row>
    <row r="35" spans="1:27" s="33" customFormat="1" ht="13.5" customHeight="1" x14ac:dyDescent="0.25">
      <c r="A35" s="2161"/>
      <c r="B35" s="3356" t="s">
        <v>508</v>
      </c>
      <c r="C35" s="3357"/>
      <c r="D35" s="659">
        <f>'CEKLIST 003 (LAPORAN KEUANGAN)'!C63</f>
        <v>1315138465</v>
      </c>
      <c r="E35" s="684">
        <f>'CEKLIST 003 (LAPORAN KEUANGAN)'!D63</f>
        <v>1280204374.21</v>
      </c>
      <c r="F35" s="684">
        <f>'CEKLIST 003 (LAPORAN KEUANGAN)'!E63</f>
        <v>433945158.24000001</v>
      </c>
      <c r="G35" s="685">
        <f t="shared" si="0"/>
        <v>-2.6563051511081733E-2</v>
      </c>
      <c r="H35" s="3342">
        <f t="shared" si="0"/>
        <v>-0.6610344668539484</v>
      </c>
      <c r="I35" s="3317"/>
      <c r="J35" s="3317"/>
      <c r="K35" s="3317">
        <f>IFERROR((F35/F52),0)</f>
        <v>0.17608215630487373</v>
      </c>
      <c r="L35" s="3317"/>
      <c r="M35" s="3318"/>
      <c r="N35" s="398"/>
      <c r="O35" s="398"/>
      <c r="P35" s="398"/>
      <c r="Q35" s="398"/>
      <c r="R35" s="398"/>
      <c r="S35" s="398"/>
      <c r="T35" s="89"/>
      <c r="U35" s="89"/>
      <c r="V35" s="89"/>
      <c r="W35" s="89"/>
      <c r="X35" s="89"/>
      <c r="Y35" s="89"/>
      <c r="AA35" s="2148"/>
    </row>
    <row r="36" spans="1:27" s="33" customFormat="1" ht="12.75" customHeight="1" x14ac:dyDescent="0.25">
      <c r="A36" s="2161"/>
      <c r="B36" s="3352" t="s">
        <v>509</v>
      </c>
      <c r="C36" s="3353"/>
      <c r="D36" s="639">
        <f>SUM(D31:D35)</f>
        <v>15666180328</v>
      </c>
      <c r="E36" s="640">
        <f>SUM(E31:E35)</f>
        <v>16487584793.889999</v>
      </c>
      <c r="F36" s="640">
        <f>SUM(F31:F35)</f>
        <v>8464974257.1499996</v>
      </c>
      <c r="G36" s="686">
        <f t="shared" si="0"/>
        <v>5.2431699922533881E-2</v>
      </c>
      <c r="H36" s="3335">
        <f t="shared" si="0"/>
        <v>-0.48658494479513059</v>
      </c>
      <c r="I36" s="3309"/>
      <c r="J36" s="3309"/>
      <c r="K36" s="3309">
        <f>IFERROR((F36/F52),0)</f>
        <v>3.434837080126742</v>
      </c>
      <c r="L36" s="3309"/>
      <c r="M36" s="3310"/>
      <c r="N36" s="398"/>
      <c r="O36" s="398"/>
      <c r="P36" s="398"/>
      <c r="Q36" s="398"/>
      <c r="R36" s="398"/>
      <c r="S36" s="398"/>
      <c r="T36" s="89"/>
      <c r="U36" s="89"/>
      <c r="V36" s="89"/>
      <c r="W36" s="89"/>
      <c r="X36" s="89"/>
      <c r="Y36" s="89"/>
      <c r="AA36" s="2148"/>
    </row>
    <row r="37" spans="1:27" s="33" customFormat="1" ht="13.5" customHeight="1" x14ac:dyDescent="0.25">
      <c r="A37" s="2161"/>
      <c r="B37" s="3356" t="s">
        <v>510</v>
      </c>
      <c r="C37" s="3357"/>
      <c r="D37" s="659"/>
      <c r="E37" s="684"/>
      <c r="F37" s="687"/>
      <c r="G37" s="685"/>
      <c r="H37" s="3342"/>
      <c r="I37" s="3317"/>
      <c r="J37" s="3317"/>
      <c r="K37" s="3317"/>
      <c r="L37" s="3317"/>
      <c r="M37" s="3318"/>
      <c r="N37" s="398"/>
      <c r="O37" s="398"/>
      <c r="P37" s="398"/>
      <c r="Q37" s="398"/>
      <c r="R37" s="398"/>
      <c r="S37" s="398"/>
      <c r="T37" s="89"/>
      <c r="U37" s="89"/>
      <c r="V37" s="89"/>
      <c r="W37" s="89"/>
      <c r="X37" s="89"/>
      <c r="Y37" s="89"/>
      <c r="AA37" s="2148"/>
    </row>
    <row r="38" spans="1:27" s="33" customFormat="1" ht="13.5" customHeight="1" x14ac:dyDescent="0.25">
      <c r="A38" s="2161"/>
      <c r="B38" s="3356" t="s">
        <v>511</v>
      </c>
      <c r="C38" s="3357"/>
      <c r="D38" s="659">
        <f>'CEKLIST 003 (LAPORAN KEUANGAN)'!C67</f>
        <v>-411742345</v>
      </c>
      <c r="E38" s="659">
        <f>'CEKLIST 003 (LAPORAN KEUANGAN)'!D67</f>
        <v>-394916735</v>
      </c>
      <c r="F38" s="659">
        <f>'CEKLIST 003 (LAPORAN KEUANGAN)'!E67</f>
        <v>-232050077</v>
      </c>
      <c r="G38" s="685">
        <f t="shared" ref="G38:H42" si="1">IFERROR(((E38-D38)/D38),0)</f>
        <v>-4.0864414856334484E-2</v>
      </c>
      <c r="H38" s="3342">
        <f t="shared" si="1"/>
        <v>-0.4124075876399616</v>
      </c>
      <c r="I38" s="3317"/>
      <c r="J38" s="3317"/>
      <c r="K38" s="3317">
        <f>IFERROR((F38/F52),0)</f>
        <v>-9.4159082439338571E-2</v>
      </c>
      <c r="L38" s="3317"/>
      <c r="M38" s="3318"/>
      <c r="N38" s="398"/>
      <c r="O38" s="398"/>
      <c r="P38" s="398"/>
      <c r="Q38" s="398"/>
      <c r="R38" s="398"/>
      <c r="S38" s="398"/>
      <c r="T38" s="89"/>
      <c r="U38" s="89"/>
      <c r="V38" s="89"/>
      <c r="W38" s="89"/>
      <c r="X38" s="89"/>
      <c r="Y38" s="89"/>
      <c r="AA38" s="2148"/>
    </row>
    <row r="39" spans="1:27" s="33" customFormat="1" ht="13.5" customHeight="1" x14ac:dyDescent="0.25">
      <c r="A39" s="2161"/>
      <c r="B39" s="3358" t="s">
        <v>512</v>
      </c>
      <c r="C39" s="3359"/>
      <c r="D39" s="659">
        <f>'CEKLIST 003 (LAPORAN KEUANGAN)'!C68</f>
        <v>0</v>
      </c>
      <c r="E39" s="659">
        <f>'CEKLIST 003 (LAPORAN KEUANGAN)'!D68</f>
        <v>0</v>
      </c>
      <c r="F39" s="659">
        <f>'CEKLIST 003 (LAPORAN KEUANGAN)'!E68</f>
        <v>0</v>
      </c>
      <c r="G39" s="685">
        <f t="shared" si="1"/>
        <v>0</v>
      </c>
      <c r="H39" s="3342">
        <f t="shared" si="1"/>
        <v>0</v>
      </c>
      <c r="I39" s="3317"/>
      <c r="J39" s="3317"/>
      <c r="K39" s="3317">
        <f>IFERROR((F39/F52),0)</f>
        <v>0</v>
      </c>
      <c r="L39" s="3317"/>
      <c r="M39" s="3318"/>
      <c r="N39" s="398"/>
      <c r="O39" s="398"/>
      <c r="P39" s="398"/>
      <c r="Q39" s="398"/>
      <c r="R39" s="398"/>
      <c r="S39" s="398"/>
      <c r="T39" s="89"/>
      <c r="U39" s="89"/>
      <c r="V39" s="89"/>
      <c r="W39" s="89"/>
      <c r="X39" s="89"/>
      <c r="Y39" s="89"/>
      <c r="AA39" s="2148"/>
    </row>
    <row r="40" spans="1:27" s="33" customFormat="1" ht="13.5" customHeight="1" x14ac:dyDescent="0.25">
      <c r="A40" s="2161"/>
      <c r="B40" s="3358" t="s">
        <v>513</v>
      </c>
      <c r="C40" s="3359"/>
      <c r="D40" s="659">
        <f>'CEKLIST 003 (LAPORAN KEUANGAN)'!C69</f>
        <v>-6761119301</v>
      </c>
      <c r="E40" s="659">
        <f>'CEKLIST 003 (LAPORAN KEUANGAN)'!D69</f>
        <v>-7896634448.5900002</v>
      </c>
      <c r="F40" s="659">
        <f>'CEKLIST 003 (LAPORAN KEUANGAN)'!E69</f>
        <v>-4034474249.4200001</v>
      </c>
      <c r="G40" s="685">
        <f t="shared" si="1"/>
        <v>0.16794780524314257</v>
      </c>
      <c r="H40" s="3342">
        <f t="shared" si="1"/>
        <v>-0.48908939932753454</v>
      </c>
      <c r="I40" s="3317"/>
      <c r="J40" s="3317"/>
      <c r="K40" s="3317">
        <f>IFERROR((F39/F52),0)</f>
        <v>0</v>
      </c>
      <c r="L40" s="3317"/>
      <c r="M40" s="3318"/>
      <c r="N40" s="398"/>
      <c r="O40" s="398"/>
      <c r="P40" s="398"/>
      <c r="Q40" s="398"/>
      <c r="R40" s="398"/>
      <c r="S40" s="398"/>
      <c r="T40" s="89"/>
      <c r="U40" s="89"/>
      <c r="V40" s="89"/>
      <c r="W40" s="89"/>
      <c r="X40" s="89"/>
      <c r="Y40" s="89"/>
      <c r="AA40" s="2148"/>
    </row>
    <row r="41" spans="1:27" s="33" customFormat="1" ht="13.5" customHeight="1" x14ac:dyDescent="0.25">
      <c r="A41" s="2161"/>
      <c r="B41" s="3356" t="s">
        <v>514</v>
      </c>
      <c r="C41" s="3357"/>
      <c r="D41" s="659">
        <f>'CEKLIST 003 (LAPORAN KEUANGAN)'!C70</f>
        <v>-1622806032</v>
      </c>
      <c r="E41" s="659">
        <f>'CEKLIST 003 (LAPORAN KEUANGAN)'!D70</f>
        <v>-1765717437.1500001</v>
      </c>
      <c r="F41" s="659">
        <f>'CEKLIST 003 (LAPORAN KEUANGAN)'!E70</f>
        <v>-1008209102.88</v>
      </c>
      <c r="G41" s="685">
        <f t="shared" si="1"/>
        <v>8.8064378817887021E-2</v>
      </c>
      <c r="H41" s="3342">
        <f t="shared" si="1"/>
        <v>-0.42900880873254282</v>
      </c>
      <c r="I41" s="3317"/>
      <c r="J41" s="3317"/>
      <c r="K41" s="3317">
        <f>IFERROR((F41/F52),0)</f>
        <v>-0.40910154075996924</v>
      </c>
      <c r="L41" s="3317"/>
      <c r="M41" s="3318"/>
      <c r="N41" s="398"/>
      <c r="O41" s="398"/>
      <c r="P41" s="398"/>
      <c r="Q41" s="398"/>
      <c r="R41" s="398"/>
      <c r="S41" s="398"/>
      <c r="T41" s="89"/>
      <c r="U41" s="89"/>
      <c r="V41" s="89"/>
      <c r="W41" s="89"/>
      <c r="X41" s="89"/>
      <c r="Y41" s="89"/>
      <c r="AA41" s="2148"/>
    </row>
    <row r="42" spans="1:27" s="33" customFormat="1" ht="13.5" customHeight="1" x14ac:dyDescent="0.25">
      <c r="A42" s="2161"/>
      <c r="B42" s="3352" t="s">
        <v>515</v>
      </c>
      <c r="C42" s="3353"/>
      <c r="D42" s="688">
        <f>D38+D39+D40+D41</f>
        <v>-8795667678</v>
      </c>
      <c r="E42" s="688">
        <f>E38+E39+E40+E41</f>
        <v>-10057268620.74</v>
      </c>
      <c r="F42" s="688">
        <f>F38+F39+F40+F41</f>
        <v>-5274733429.3000002</v>
      </c>
      <c r="G42" s="686">
        <f t="shared" si="1"/>
        <v>0.14343435756395795</v>
      </c>
      <c r="H42" s="3335">
        <f t="shared" si="1"/>
        <v>-0.47553022314403565</v>
      </c>
      <c r="I42" s="3309"/>
      <c r="J42" s="3309"/>
      <c r="K42" s="3309">
        <f>IFERROR((F42/F52),0)</f>
        <v>-2.1403313725898645</v>
      </c>
      <c r="L42" s="3309"/>
      <c r="M42" s="3310"/>
      <c r="N42" s="398"/>
      <c r="O42" s="398"/>
      <c r="P42" s="398"/>
      <c r="Q42" s="398"/>
      <c r="R42" s="398"/>
      <c r="S42" s="398"/>
      <c r="T42" s="89"/>
      <c r="U42" s="89"/>
      <c r="V42" s="89"/>
      <c r="W42" s="89"/>
      <c r="X42" s="89"/>
      <c r="Y42" s="89"/>
      <c r="AA42" s="2148"/>
    </row>
    <row r="43" spans="1:27" s="33" customFormat="1" ht="14.25" customHeight="1" x14ac:dyDescent="0.25">
      <c r="A43" s="2161"/>
      <c r="B43" s="3356"/>
      <c r="C43" s="3357"/>
      <c r="D43" s="689"/>
      <c r="E43" s="687"/>
      <c r="F43" s="687"/>
      <c r="G43" s="685"/>
      <c r="H43" s="3342"/>
      <c r="I43" s="3317"/>
      <c r="J43" s="3317"/>
      <c r="K43" s="3317"/>
      <c r="L43" s="3317"/>
      <c r="M43" s="3318"/>
      <c r="N43" s="398"/>
      <c r="O43" s="398"/>
      <c r="P43" s="398"/>
      <c r="Q43" s="398"/>
      <c r="R43" s="398"/>
      <c r="S43" s="398"/>
      <c r="T43" s="89"/>
      <c r="U43" s="89"/>
      <c r="V43" s="89"/>
      <c r="W43" s="89"/>
      <c r="X43" s="89"/>
      <c r="Y43" s="89"/>
      <c r="AA43" s="2148"/>
    </row>
    <row r="44" spans="1:27" s="33" customFormat="1" ht="13.5" customHeight="1" x14ac:dyDescent="0.25">
      <c r="A44" s="2161"/>
      <c r="B44" s="3352" t="s">
        <v>516</v>
      </c>
      <c r="C44" s="3353"/>
      <c r="D44" s="690">
        <f>D36+D42</f>
        <v>6870512650</v>
      </c>
      <c r="E44" s="690">
        <f>E36+E42</f>
        <v>6430316173.1499996</v>
      </c>
      <c r="F44" s="690">
        <f>F36+F42</f>
        <v>3190240827.8499994</v>
      </c>
      <c r="G44" s="686">
        <f t="shared" ref="G44:H50" si="2">IFERROR(((E44-D44)/D44),0)</f>
        <v>-6.4070397548864191E-2</v>
      </c>
      <c r="H44" s="3335">
        <f t="shared" si="2"/>
        <v>-0.50387496633976459</v>
      </c>
      <c r="I44" s="3309"/>
      <c r="J44" s="3309"/>
      <c r="K44" s="3309">
        <f>IFERROR((F44/F52),0)</f>
        <v>1.2945057075368771</v>
      </c>
      <c r="L44" s="3309"/>
      <c r="M44" s="3310"/>
      <c r="N44" s="398"/>
      <c r="O44" s="398"/>
      <c r="P44" s="398"/>
      <c r="Q44" s="398"/>
      <c r="R44" s="398"/>
      <c r="S44" s="398"/>
      <c r="T44" s="89"/>
      <c r="U44" s="89"/>
      <c r="V44" s="89"/>
      <c r="W44" s="89"/>
      <c r="X44" s="89"/>
      <c r="Y44" s="89"/>
      <c r="AA44" s="2148"/>
    </row>
    <row r="45" spans="1:27" s="33" customFormat="1" ht="13.5" customHeight="1" x14ac:dyDescent="0.25">
      <c r="A45" s="2161"/>
      <c r="B45" s="3356" t="s">
        <v>517</v>
      </c>
      <c r="C45" s="3357"/>
      <c r="D45" s="659">
        <f>'CEKLIST 003 (LAPORAN KEUANGAN)'!C74</f>
        <v>96917640</v>
      </c>
      <c r="E45" s="659">
        <f>'CEKLIST 003 (LAPORAN KEUANGAN)'!D74</f>
        <v>84313866.25</v>
      </c>
      <c r="F45" s="659">
        <f>'CEKLIST 003 (LAPORAN KEUANGAN)'!E74</f>
        <v>62751533.18</v>
      </c>
      <c r="G45" s="685">
        <f t="shared" si="2"/>
        <v>-0.13004623049013575</v>
      </c>
      <c r="H45" s="3342">
        <f t="shared" si="2"/>
        <v>-0.2557388722522258</v>
      </c>
      <c r="I45" s="3317"/>
      <c r="J45" s="3317"/>
      <c r="K45" s="3317">
        <f>IFERROR((F45/F52),0)</f>
        <v>2.5462722797935163E-2</v>
      </c>
      <c r="L45" s="3317"/>
      <c r="M45" s="3318"/>
      <c r="N45" s="398"/>
      <c r="O45" s="398"/>
      <c r="P45" s="398"/>
      <c r="Q45" s="398"/>
      <c r="R45" s="398"/>
      <c r="S45" s="398"/>
      <c r="T45" s="89"/>
      <c r="U45" s="89"/>
      <c r="V45" s="89"/>
      <c r="W45" s="89"/>
      <c r="X45" s="89"/>
      <c r="Y45" s="89"/>
      <c r="AA45" s="2148"/>
    </row>
    <row r="46" spans="1:27" s="33" customFormat="1" ht="14.25" customHeight="1" x14ac:dyDescent="0.25">
      <c r="A46" s="2161"/>
      <c r="B46" s="3356" t="s">
        <v>518</v>
      </c>
      <c r="C46" s="3357"/>
      <c r="D46" s="659">
        <f>'CEKLIST 003 (LAPORAN KEUANGAN)'!C75</f>
        <v>-187118786</v>
      </c>
      <c r="E46" s="659">
        <f>'CEKLIST 003 (LAPORAN KEUANGAN)'!D75</f>
        <v>-103275758</v>
      </c>
      <c r="F46" s="659">
        <f>'CEKLIST 003 (LAPORAN KEUANGAN)'!E75</f>
        <v>-27229692</v>
      </c>
      <c r="G46" s="685">
        <f t="shared" si="2"/>
        <v>-0.44807381339038826</v>
      </c>
      <c r="H46" s="3342">
        <f t="shared" si="2"/>
        <v>-0.73633994533354086</v>
      </c>
      <c r="I46" s="3317"/>
      <c r="J46" s="3317"/>
      <c r="K46" s="3317">
        <f>IFERROR((F46/F52),0)</f>
        <v>-1.1049006520371885E-2</v>
      </c>
      <c r="L46" s="3317"/>
      <c r="M46" s="3318"/>
      <c r="N46" s="398"/>
      <c r="O46" s="398"/>
      <c r="P46" s="398"/>
      <c r="Q46" s="398"/>
      <c r="R46" s="398"/>
      <c r="S46" s="398"/>
      <c r="T46" s="89"/>
      <c r="U46" s="89"/>
      <c r="V46" s="89"/>
      <c r="W46" s="89"/>
      <c r="X46" s="89"/>
      <c r="Y46" s="89"/>
      <c r="AA46" s="2148"/>
    </row>
    <row r="47" spans="1:27" s="33" customFormat="1" ht="13.5" customHeight="1" x14ac:dyDescent="0.25">
      <c r="A47" s="2161"/>
      <c r="B47" s="3352" t="s">
        <v>519</v>
      </c>
      <c r="C47" s="3353"/>
      <c r="D47" s="688">
        <f>D45+D46</f>
        <v>-90201146</v>
      </c>
      <c r="E47" s="688">
        <f>E45+E46</f>
        <v>-18961891.75</v>
      </c>
      <c r="F47" s="688">
        <f>F45+F46</f>
        <v>35521841.18</v>
      </c>
      <c r="G47" s="686">
        <f t="shared" si="2"/>
        <v>-0.78978214145971048</v>
      </c>
      <c r="H47" s="3335">
        <f t="shared" si="2"/>
        <v>-2.8733279172949606</v>
      </c>
      <c r="I47" s="3309"/>
      <c r="J47" s="3309"/>
      <c r="K47" s="3309">
        <f>IFERROR((F47/F52),0)</f>
        <v>1.4413716277563276E-2</v>
      </c>
      <c r="L47" s="3309"/>
      <c r="M47" s="3310"/>
      <c r="N47" s="398"/>
      <c r="O47" s="398"/>
      <c r="P47" s="398"/>
      <c r="Q47" s="398"/>
      <c r="R47" s="398"/>
      <c r="S47" s="398"/>
      <c r="T47" s="89"/>
      <c r="U47" s="89"/>
      <c r="V47" s="89"/>
      <c r="W47" s="89"/>
      <c r="X47" s="89"/>
      <c r="Y47" s="89"/>
      <c r="AA47" s="2148"/>
    </row>
    <row r="48" spans="1:27" s="33" customFormat="1" ht="13.5" customHeight="1" x14ac:dyDescent="0.25">
      <c r="A48" s="2162"/>
      <c r="B48" s="3352" t="s">
        <v>1704</v>
      </c>
      <c r="C48" s="3353"/>
      <c r="D48" s="1232">
        <f>D44+D47</f>
        <v>6780311504</v>
      </c>
      <c r="E48" s="1232">
        <f>E44+E47</f>
        <v>6411354281.3999996</v>
      </c>
      <c r="F48" s="1232">
        <f>F44+F47</f>
        <v>3225762669.0299993</v>
      </c>
      <c r="G48" s="685">
        <f t="shared" si="2"/>
        <v>-5.4415969293200833E-2</v>
      </c>
      <c r="H48" s="3315">
        <f t="shared" si="2"/>
        <v>-0.49686719412959762</v>
      </c>
      <c r="I48" s="3269"/>
      <c r="J48" s="3269"/>
      <c r="K48" s="3269">
        <f>IFERROR((F48/F52),0)</f>
        <v>1.3089194238144404</v>
      </c>
      <c r="L48" s="3269"/>
      <c r="M48" s="3270"/>
      <c r="N48" s="398"/>
      <c r="O48" s="398"/>
      <c r="P48" s="398"/>
      <c r="Q48" s="398"/>
      <c r="R48" s="398"/>
      <c r="S48" s="398"/>
      <c r="T48" s="89"/>
      <c r="U48" s="89"/>
      <c r="V48" s="89"/>
      <c r="W48" s="89"/>
      <c r="X48" s="89"/>
      <c r="Y48" s="89"/>
      <c r="AA48" s="2148"/>
    </row>
    <row r="49" spans="1:27" s="33" customFormat="1" ht="13.5" customHeight="1" x14ac:dyDescent="0.25">
      <c r="A49" s="2160"/>
      <c r="B49" s="3352" t="s">
        <v>1705</v>
      </c>
      <c r="C49" s="3353"/>
      <c r="D49" s="1233">
        <v>0</v>
      </c>
      <c r="E49" s="1234">
        <v>0</v>
      </c>
      <c r="F49" s="1234">
        <v>0</v>
      </c>
      <c r="G49" s="685">
        <f t="shared" si="2"/>
        <v>0</v>
      </c>
      <c r="H49" s="3315">
        <f t="shared" si="2"/>
        <v>0</v>
      </c>
      <c r="I49" s="3269"/>
      <c r="J49" s="3269"/>
      <c r="K49" s="3269">
        <f>IFERROR((F49/F52),0)</f>
        <v>0</v>
      </c>
      <c r="L49" s="3269"/>
      <c r="M49" s="3270"/>
      <c r="N49" s="398"/>
      <c r="O49" s="398"/>
      <c r="P49" s="398"/>
      <c r="Q49" s="398"/>
      <c r="R49" s="398"/>
      <c r="S49" s="398"/>
      <c r="T49" s="89"/>
      <c r="U49" s="89"/>
      <c r="V49" s="89"/>
      <c r="W49" s="89"/>
      <c r="X49" s="89"/>
      <c r="Y49" s="89"/>
      <c r="AA49" s="2148"/>
    </row>
    <row r="50" spans="1:27" s="33" customFormat="1" ht="13.5" customHeight="1" x14ac:dyDescent="0.25">
      <c r="A50" s="2161"/>
      <c r="B50" s="3352" t="s">
        <v>522</v>
      </c>
      <c r="C50" s="3353"/>
      <c r="D50" s="1234">
        <f>'CEKLIST 003 (LAPORAN KEUANGAN)'!C79</f>
        <v>-1471755258</v>
      </c>
      <c r="E50" s="1234">
        <f>'CEKLIST 003 (LAPORAN KEUANGAN)'!D79</f>
        <v>-1397025442.96</v>
      </c>
      <c r="F50" s="1234">
        <f>'CEKLIST 003 (LAPORAN KEUANGAN)'!E79</f>
        <v>-761315576</v>
      </c>
      <c r="G50" s="685">
        <f t="shared" si="2"/>
        <v>-5.0775979656802396E-2</v>
      </c>
      <c r="H50" s="3315">
        <f t="shared" si="2"/>
        <v>-0.45504530369401569</v>
      </c>
      <c r="I50" s="3269"/>
      <c r="J50" s="3269"/>
      <c r="K50" s="3269">
        <f>IFERROR((F50/F52),0)</f>
        <v>-0.30891942381444043</v>
      </c>
      <c r="L50" s="3269"/>
      <c r="M50" s="3270"/>
      <c r="N50" s="398"/>
      <c r="O50" s="398"/>
      <c r="P50" s="398"/>
      <c r="Q50" s="398"/>
      <c r="R50" s="398"/>
      <c r="S50" s="398"/>
      <c r="T50" s="89"/>
      <c r="U50" s="89"/>
      <c r="V50" s="89"/>
      <c r="W50" s="89"/>
      <c r="X50" s="89"/>
      <c r="Y50" s="89"/>
      <c r="AA50" s="2148"/>
    </row>
    <row r="51" spans="1:27" s="33" customFormat="1" ht="13.5" customHeight="1" x14ac:dyDescent="0.25">
      <c r="A51" s="2161"/>
      <c r="B51" s="3352"/>
      <c r="C51" s="3353"/>
      <c r="D51" s="1236"/>
      <c r="E51" s="1235"/>
      <c r="F51" s="1235"/>
      <c r="G51" s="685"/>
      <c r="H51" s="3373"/>
      <c r="I51" s="3374"/>
      <c r="J51" s="3374"/>
      <c r="K51" s="3269"/>
      <c r="L51" s="3269"/>
      <c r="M51" s="3270"/>
      <c r="N51" s="398"/>
      <c r="O51" s="398"/>
      <c r="P51" s="398"/>
      <c r="Q51" s="398"/>
      <c r="R51" s="398"/>
      <c r="S51" s="398"/>
      <c r="T51" s="89"/>
      <c r="U51" s="89"/>
      <c r="V51" s="89"/>
      <c r="W51" s="89"/>
      <c r="X51" s="89"/>
      <c r="Y51" s="89"/>
      <c r="AA51" s="2148"/>
    </row>
    <row r="52" spans="1:27" s="33" customFormat="1" ht="13.5" customHeight="1" thickBot="1" x14ac:dyDescent="0.3">
      <c r="A52" s="2163"/>
      <c r="B52" s="3263" t="s">
        <v>1703</v>
      </c>
      <c r="C52" s="3380"/>
      <c r="D52" s="691">
        <f>D48+D49+D50</f>
        <v>5308556246</v>
      </c>
      <c r="E52" s="692">
        <f>E48+E49+E50</f>
        <v>5014328838.4399996</v>
      </c>
      <c r="F52" s="692">
        <f>F48+F49+F50</f>
        <v>2464447093.0299993</v>
      </c>
      <c r="G52" s="693">
        <f>IFERROR(((E52-D52)/D52),0)</f>
        <v>-5.5425127647785767E-2</v>
      </c>
      <c r="H52" s="3336">
        <f>IFERROR(((F52-E52)/E52),0)</f>
        <v>-0.50851905161514899</v>
      </c>
      <c r="I52" s="3337"/>
      <c r="J52" s="3337"/>
      <c r="K52" s="3333">
        <f>IFERROR((F52/F52),0)</f>
        <v>1</v>
      </c>
      <c r="L52" s="3333"/>
      <c r="M52" s="3334"/>
      <c r="N52" s="398"/>
      <c r="O52" s="398"/>
      <c r="P52" s="398"/>
      <c r="Q52" s="398"/>
      <c r="R52" s="398"/>
      <c r="S52" s="398"/>
      <c r="T52" s="89"/>
      <c r="U52" s="89"/>
      <c r="V52" s="89"/>
      <c r="W52" s="89"/>
      <c r="X52" s="89"/>
      <c r="Y52" s="89"/>
      <c r="AA52" s="2148"/>
    </row>
    <row r="53" spans="1:27" s="33" customFormat="1" ht="13.5" customHeight="1" thickTop="1" x14ac:dyDescent="0.35">
      <c r="A53" s="2150"/>
      <c r="B53" s="138"/>
      <c r="C53" s="138"/>
      <c r="D53" s="138"/>
      <c r="E53" s="138"/>
      <c r="F53" s="138"/>
      <c r="G53" s="138"/>
      <c r="H53" s="138"/>
      <c r="I53" s="138"/>
      <c r="J53" s="138"/>
      <c r="K53" s="138"/>
      <c r="L53" s="138"/>
      <c r="M53" s="1335"/>
      <c r="N53" s="398"/>
      <c r="O53" s="398"/>
      <c r="P53" s="398"/>
      <c r="Q53" s="398"/>
      <c r="R53" s="398"/>
      <c r="S53" s="398"/>
      <c r="T53" s="89"/>
      <c r="U53" s="89"/>
      <c r="V53" s="89"/>
      <c r="W53" s="89"/>
      <c r="X53" s="89"/>
      <c r="Y53" s="89"/>
      <c r="AA53" s="2148"/>
    </row>
    <row r="54" spans="1:27" s="33" customFormat="1" ht="13.5" customHeight="1" x14ac:dyDescent="0.35">
      <c r="A54" s="2150"/>
      <c r="B54" s="138"/>
      <c r="C54" s="138"/>
      <c r="D54" s="138"/>
      <c r="E54" s="138"/>
      <c r="F54" s="138"/>
      <c r="G54" s="138"/>
      <c r="H54" s="138"/>
      <c r="I54" s="138"/>
      <c r="J54" s="138"/>
      <c r="K54" s="138"/>
      <c r="L54" s="138"/>
      <c r="M54" s="1335"/>
      <c r="N54" s="398"/>
      <c r="O54" s="398"/>
      <c r="P54" s="398"/>
      <c r="Q54" s="398"/>
      <c r="R54" s="398"/>
      <c r="S54" s="398"/>
      <c r="T54" s="89"/>
      <c r="U54" s="89"/>
      <c r="V54" s="89"/>
      <c r="W54" s="89"/>
      <c r="X54" s="89"/>
      <c r="Y54" s="89"/>
      <c r="AA54" s="2148"/>
    </row>
    <row r="55" spans="1:27" s="33" customFormat="1" ht="13.5" customHeight="1" thickBot="1" x14ac:dyDescent="0.4">
      <c r="A55" s="3375" t="s">
        <v>96</v>
      </c>
      <c r="B55" s="3375"/>
      <c r="C55" s="3375"/>
      <c r="D55" s="3375"/>
      <c r="E55" s="3375"/>
      <c r="F55" s="3375"/>
      <c r="G55" s="2164"/>
      <c r="H55" s="2158"/>
      <c r="I55" s="2158"/>
      <c r="J55" s="2158"/>
      <c r="K55" s="2158"/>
      <c r="L55" s="2158"/>
      <c r="M55" s="1335"/>
      <c r="N55" s="398"/>
      <c r="O55" s="398"/>
      <c r="P55" s="398"/>
      <c r="Q55" s="398"/>
      <c r="R55" s="398"/>
      <c r="S55" s="398"/>
      <c r="T55" s="89"/>
      <c r="U55" s="89"/>
      <c r="V55" s="89"/>
      <c r="W55" s="89"/>
      <c r="X55" s="89"/>
      <c r="Y55" s="89"/>
      <c r="AA55" s="2148"/>
    </row>
    <row r="56" spans="1:27" s="33" customFormat="1" ht="13.5" customHeight="1" x14ac:dyDescent="0.25">
      <c r="A56" s="3244" t="s">
        <v>40</v>
      </c>
      <c r="B56" s="3245"/>
      <c r="C56" s="3246"/>
      <c r="D56" s="3376">
        <f>DATE(16,12,31)</f>
        <v>6210</v>
      </c>
      <c r="E56" s="3329">
        <f>D56+365</f>
        <v>6575</v>
      </c>
      <c r="F56" s="3378">
        <f>E56+181</f>
        <v>6756</v>
      </c>
      <c r="G56" s="3386" t="s">
        <v>941</v>
      </c>
      <c r="H56" s="3244" t="s">
        <v>940</v>
      </c>
      <c r="I56" s="3245"/>
      <c r="J56" s="3338"/>
      <c r="K56" s="3321" t="s">
        <v>639</v>
      </c>
      <c r="L56" s="3322"/>
      <c r="M56" s="3323"/>
      <c r="N56" s="398"/>
      <c r="O56" s="398"/>
      <c r="P56" s="398"/>
      <c r="Q56" s="398"/>
      <c r="R56" s="398"/>
      <c r="S56" s="398"/>
      <c r="T56" s="89"/>
      <c r="U56" s="89"/>
      <c r="V56" s="89"/>
      <c r="W56" s="89"/>
      <c r="X56" s="89"/>
      <c r="Y56" s="89"/>
      <c r="AA56" s="2148"/>
    </row>
    <row r="57" spans="1:27" s="33" customFormat="1" ht="13.5" customHeight="1" x14ac:dyDescent="0.25">
      <c r="A57" s="3247"/>
      <c r="B57" s="3248"/>
      <c r="C57" s="3249"/>
      <c r="D57" s="3377"/>
      <c r="E57" s="3330"/>
      <c r="F57" s="3379"/>
      <c r="G57" s="3387"/>
      <c r="H57" s="3339"/>
      <c r="I57" s="3340"/>
      <c r="J57" s="3341"/>
      <c r="K57" s="3324"/>
      <c r="L57" s="3324"/>
      <c r="M57" s="3325"/>
      <c r="N57" s="398"/>
      <c r="O57" s="398"/>
      <c r="P57" s="398"/>
      <c r="Q57" s="398"/>
      <c r="R57" s="398"/>
      <c r="S57" s="398"/>
      <c r="T57" s="89"/>
      <c r="U57" s="89"/>
      <c r="V57" s="89"/>
      <c r="W57" s="89"/>
      <c r="X57" s="89"/>
      <c r="Y57" s="89"/>
      <c r="AA57" s="2148"/>
    </row>
    <row r="58" spans="1:27" s="33" customFormat="1" ht="13.5" customHeight="1" thickBot="1" x14ac:dyDescent="0.4">
      <c r="A58" s="3305"/>
      <c r="B58" s="3403"/>
      <c r="C58" s="3306"/>
      <c r="D58" s="2165" t="s">
        <v>59</v>
      </c>
      <c r="E58" s="527" t="s">
        <v>60</v>
      </c>
      <c r="F58" s="527" t="s">
        <v>640</v>
      </c>
      <c r="G58" s="1504" t="s">
        <v>641</v>
      </c>
      <c r="H58" s="3383" t="s">
        <v>642</v>
      </c>
      <c r="I58" s="3384"/>
      <c r="J58" s="3385"/>
      <c r="K58" s="3313" t="s">
        <v>640</v>
      </c>
      <c r="L58" s="3313"/>
      <c r="M58" s="3314"/>
      <c r="N58" s="398"/>
      <c r="O58" s="398"/>
      <c r="P58" s="398"/>
      <c r="Q58" s="398"/>
      <c r="R58" s="398"/>
      <c r="S58" s="398"/>
      <c r="T58" s="89"/>
      <c r="U58" s="89"/>
      <c r="V58" s="89"/>
      <c r="W58" s="89"/>
      <c r="X58" s="89"/>
      <c r="Y58" s="89"/>
      <c r="AA58" s="2148"/>
    </row>
    <row r="59" spans="1:27" s="33" customFormat="1" ht="13.5" customHeight="1" x14ac:dyDescent="0.25">
      <c r="A59" s="2166"/>
      <c r="B59" s="2167" t="s">
        <v>524</v>
      </c>
      <c r="C59" s="2168"/>
      <c r="D59" s="3381"/>
      <c r="E59" s="3381"/>
      <c r="F59" s="3381"/>
      <c r="G59" s="3381"/>
      <c r="H59" s="3381"/>
      <c r="I59" s="3381"/>
      <c r="J59" s="3381"/>
      <c r="K59" s="3381"/>
      <c r="L59" s="3381"/>
      <c r="M59" s="3382"/>
      <c r="N59" s="398"/>
      <c r="O59" s="398"/>
      <c r="P59" s="398"/>
      <c r="Q59" s="398"/>
      <c r="R59" s="398"/>
      <c r="S59" s="398"/>
      <c r="T59" s="89"/>
      <c r="U59" s="89"/>
      <c r="V59" s="89"/>
      <c r="W59" s="89"/>
      <c r="X59" s="89"/>
      <c r="Y59" s="89"/>
      <c r="AA59" s="2148"/>
    </row>
    <row r="60" spans="1:27" s="33" customFormat="1" ht="13.5" customHeight="1" x14ac:dyDescent="0.25">
      <c r="A60" s="2169"/>
      <c r="B60" s="3265" t="s">
        <v>525</v>
      </c>
      <c r="C60" s="3130"/>
      <c r="D60" s="694">
        <f>'CEKLIST 003 (LAPORAN KEUANGAN)'!C6</f>
        <v>286899000</v>
      </c>
      <c r="E60" s="684">
        <f>'CEKLIST 003 (LAPORAN KEUANGAN)'!D6</f>
        <v>812934000</v>
      </c>
      <c r="F60" s="694">
        <f>'CEKLIST 003 (LAPORAN KEUANGAN)'!E6</f>
        <v>776420000</v>
      </c>
      <c r="G60" s="1483">
        <f t="shared" ref="G60:G69" si="3">IFERROR(((E60-D60)/D60),0)</f>
        <v>1.8335198101073897</v>
      </c>
      <c r="H60" s="3260">
        <f t="shared" ref="H60:H69" si="4">IFERROR(((F60-E60)/E60),0)</f>
        <v>-4.4916315469644523E-2</v>
      </c>
      <c r="I60" s="3260"/>
      <c r="J60" s="3260"/>
      <c r="K60" s="3269">
        <f>IFERROR((F60/F80),0)</f>
        <v>1.1322055175536501E-2</v>
      </c>
      <c r="L60" s="3269"/>
      <c r="M60" s="3270"/>
      <c r="N60" s="398"/>
      <c r="O60" s="398"/>
      <c r="P60" s="398"/>
      <c r="Q60" s="398"/>
      <c r="R60" s="398"/>
      <c r="S60" s="398"/>
      <c r="T60" s="89"/>
      <c r="U60" s="89"/>
      <c r="V60" s="89"/>
      <c r="W60" s="89"/>
      <c r="X60" s="89"/>
      <c r="Y60" s="89"/>
      <c r="AA60" s="2148"/>
    </row>
    <row r="61" spans="1:27" s="33" customFormat="1" ht="13.5" customHeight="1" x14ac:dyDescent="0.25">
      <c r="A61" s="2169"/>
      <c r="B61" s="3265" t="s">
        <v>526</v>
      </c>
      <c r="C61" s="3130"/>
      <c r="D61" s="684">
        <f>'CEKLIST 003 (LAPORAN KEUANGAN)'!C7</f>
        <v>5898643084</v>
      </c>
      <c r="E61" s="694">
        <f>'CEKLIST 003 (LAPORAN KEUANGAN)'!D7</f>
        <v>6019575866.8400002</v>
      </c>
      <c r="F61" s="694">
        <f>'CEKLIST 003 (LAPORAN KEUANGAN)'!E7</f>
        <v>11423681402.889999</v>
      </c>
      <c r="G61" s="1483">
        <f t="shared" si="3"/>
        <v>2.0501796958698672E-2</v>
      </c>
      <c r="H61" s="3260">
        <f t="shared" si="4"/>
        <v>0.89775519996675535</v>
      </c>
      <c r="I61" s="3260"/>
      <c r="J61" s="3260"/>
      <c r="K61" s="3269">
        <f>IFERROR((F61/F80),0)</f>
        <v>0.16658451759520723</v>
      </c>
      <c r="L61" s="3269"/>
      <c r="M61" s="3270"/>
      <c r="N61" s="398"/>
      <c r="O61" s="398"/>
      <c r="P61" s="398"/>
      <c r="Q61" s="398"/>
      <c r="R61" s="398"/>
      <c r="S61" s="398"/>
      <c r="T61" s="89"/>
      <c r="U61" s="89"/>
      <c r="V61" s="89"/>
      <c r="W61" s="89"/>
      <c r="X61" s="89"/>
      <c r="Y61" s="89"/>
      <c r="AA61" s="2148"/>
    </row>
    <row r="62" spans="1:27" s="33" customFormat="1" ht="13.5" customHeight="1" x14ac:dyDescent="0.25">
      <c r="A62" s="2169"/>
      <c r="B62" s="3265" t="s">
        <v>527</v>
      </c>
      <c r="C62" s="3130"/>
      <c r="D62" s="695">
        <f>D63+D64</f>
        <v>50610310594</v>
      </c>
      <c r="E62" s="695">
        <f>E63+E64</f>
        <v>55394816859.839996</v>
      </c>
      <c r="F62" s="695">
        <f>F63+F64</f>
        <v>52167989567.119995</v>
      </c>
      <c r="G62" s="1485">
        <f t="shared" si="3"/>
        <v>9.4536196472329359E-2</v>
      </c>
      <c r="H62" s="3296">
        <f t="shared" si="4"/>
        <v>-5.8251429928625302E-2</v>
      </c>
      <c r="I62" s="3296"/>
      <c r="J62" s="3296"/>
      <c r="K62" s="3309">
        <f>IFERROR((F62/F80),0)</f>
        <v>0.76073369603532248</v>
      </c>
      <c r="L62" s="3309"/>
      <c r="M62" s="3310"/>
      <c r="N62" s="398"/>
      <c r="O62" s="398"/>
      <c r="P62" s="398"/>
      <c r="Q62" s="398"/>
      <c r="R62" s="398"/>
      <c r="S62" s="398"/>
      <c r="T62" s="89"/>
      <c r="U62" s="89"/>
      <c r="V62" s="89"/>
      <c r="W62" s="89"/>
      <c r="X62" s="89"/>
      <c r="Y62" s="89"/>
      <c r="AA62" s="2148"/>
    </row>
    <row r="63" spans="1:27" s="33" customFormat="1" ht="13.5" customHeight="1" x14ac:dyDescent="0.25">
      <c r="A63" s="2169"/>
      <c r="B63" s="3265" t="s">
        <v>528</v>
      </c>
      <c r="C63" s="3130"/>
      <c r="D63" s="684">
        <f>'CEKLIST 003 (LAPORAN KEUANGAN)'!C9</f>
        <v>47709905899</v>
      </c>
      <c r="E63" s="684">
        <f>'CEKLIST 003 (LAPORAN KEUANGAN)'!D9</f>
        <v>52435984517.699997</v>
      </c>
      <c r="F63" s="694">
        <f>'CEKLIST 003 (LAPORAN KEUANGAN)'!E9</f>
        <v>48529773707.029999</v>
      </c>
      <c r="G63" s="1483">
        <f t="shared" si="3"/>
        <v>9.9058644733127754E-2</v>
      </c>
      <c r="H63" s="3260">
        <f t="shared" si="4"/>
        <v>-7.4494850179678412E-2</v>
      </c>
      <c r="I63" s="3260"/>
      <c r="J63" s="3260"/>
      <c r="K63" s="3269">
        <f>IFERROR((F63/F80),0)</f>
        <v>0.70767983252272504</v>
      </c>
      <c r="L63" s="3269"/>
      <c r="M63" s="3270"/>
      <c r="N63" s="398"/>
      <c r="O63" s="398"/>
      <c r="P63" s="398"/>
      <c r="Q63" s="398"/>
      <c r="R63" s="398"/>
      <c r="S63" s="398"/>
      <c r="T63" s="89"/>
      <c r="U63" s="89"/>
      <c r="V63" s="89"/>
      <c r="W63" s="89"/>
      <c r="X63" s="89"/>
      <c r="Y63" s="89"/>
      <c r="AA63" s="2148"/>
    </row>
    <row r="64" spans="1:27" s="33" customFormat="1" ht="13.5" customHeight="1" x14ac:dyDescent="0.25">
      <c r="A64" s="2169"/>
      <c r="B64" s="3265" t="s">
        <v>529</v>
      </c>
      <c r="C64" s="3130"/>
      <c r="D64" s="684">
        <f>'CEKLIST 003 (LAPORAN KEUANGAN)'!C10</f>
        <v>2900404695</v>
      </c>
      <c r="E64" s="684">
        <f>'CEKLIST 003 (LAPORAN KEUANGAN)'!D10</f>
        <v>2958832342.1399999</v>
      </c>
      <c r="F64" s="694">
        <f>'CEKLIST 003 (LAPORAN KEUANGAN)'!E10</f>
        <v>3638215860.0900002</v>
      </c>
      <c r="G64" s="1483">
        <f t="shared" si="3"/>
        <v>2.0144653344660188E-2</v>
      </c>
      <c r="H64" s="3260">
        <f t="shared" si="4"/>
        <v>0.22961203589475115</v>
      </c>
      <c r="I64" s="3260"/>
      <c r="J64" s="3260"/>
      <c r="K64" s="3269">
        <f>IFERROR((F64/F80),0)</f>
        <v>5.305386351259752E-2</v>
      </c>
      <c r="L64" s="3269"/>
      <c r="M64" s="3270"/>
      <c r="N64" s="398"/>
      <c r="O64" s="398"/>
      <c r="P64" s="398"/>
      <c r="Q64" s="398"/>
      <c r="R64" s="398"/>
      <c r="S64" s="398"/>
      <c r="T64" s="89"/>
      <c r="U64" s="89"/>
      <c r="V64" s="89"/>
      <c r="W64" s="89"/>
      <c r="X64" s="89"/>
      <c r="Y64" s="89"/>
      <c r="AA64" s="2148"/>
    </row>
    <row r="65" spans="1:27" s="33" customFormat="1" ht="13.5" customHeight="1" x14ac:dyDescent="0.25">
      <c r="A65" s="2169"/>
      <c r="B65" s="3265" t="s">
        <v>530</v>
      </c>
      <c r="C65" s="3130"/>
      <c r="D65" s="684">
        <f>'CEKLIST 003 (LAPORAN KEUANGAN)'!C11</f>
        <v>-1019871915</v>
      </c>
      <c r="E65" s="684">
        <f>'CEKLIST 003 (LAPORAN KEUANGAN)'!D11</f>
        <v>-719720888.29999995</v>
      </c>
      <c r="F65" s="694">
        <f>'CEKLIST 003 (LAPORAN KEUANGAN)'!E11</f>
        <v>-1061203386.61</v>
      </c>
      <c r="G65" s="1483">
        <f t="shared" si="3"/>
        <v>-0.29430266907585162</v>
      </c>
      <c r="H65" s="3260">
        <f t="shared" si="4"/>
        <v>0.47446517651667841</v>
      </c>
      <c r="I65" s="3260"/>
      <c r="J65" s="3260"/>
      <c r="K65" s="3269">
        <f>IFERROR((F65/F80),0)</f>
        <v>-1.5474876092404385E-2</v>
      </c>
      <c r="L65" s="3269"/>
      <c r="M65" s="3270"/>
      <c r="N65" s="398"/>
      <c r="O65" s="398"/>
      <c r="P65" s="398"/>
      <c r="Q65" s="398"/>
      <c r="R65" s="398"/>
      <c r="S65" s="398"/>
      <c r="T65" s="89"/>
      <c r="U65" s="89"/>
      <c r="V65" s="89"/>
      <c r="W65" s="89"/>
      <c r="X65" s="89"/>
      <c r="Y65" s="89"/>
      <c r="AA65" s="2148"/>
    </row>
    <row r="66" spans="1:27" s="33" customFormat="1" ht="13.5" customHeight="1" x14ac:dyDescent="0.25">
      <c r="A66" s="2169"/>
      <c r="B66" s="3356" t="s">
        <v>531</v>
      </c>
      <c r="C66" s="3392"/>
      <c r="D66" s="684">
        <f>'CEKLIST 003 (LAPORAN KEUANGAN)'!C12</f>
        <v>0</v>
      </c>
      <c r="E66" s="684">
        <f>'CEKLIST 003 (LAPORAN KEUANGAN)'!D12</f>
        <v>0</v>
      </c>
      <c r="F66" s="694">
        <f>'CEKLIST 003 (LAPORAN KEUANGAN)'!E12</f>
        <v>0</v>
      </c>
      <c r="G66" s="1483">
        <f t="shared" si="3"/>
        <v>0</v>
      </c>
      <c r="H66" s="3260">
        <f t="shared" si="4"/>
        <v>0</v>
      </c>
      <c r="I66" s="3260"/>
      <c r="J66" s="3260"/>
      <c r="K66" s="3269">
        <f>IFERROR((F66/F80),0)</f>
        <v>0</v>
      </c>
      <c r="L66" s="3269"/>
      <c r="M66" s="3270"/>
      <c r="N66" s="398"/>
      <c r="O66" s="398"/>
      <c r="P66" s="398"/>
      <c r="Q66" s="398"/>
      <c r="R66" s="398"/>
      <c r="S66" s="398"/>
      <c r="T66" s="89"/>
      <c r="U66" s="89"/>
      <c r="V66" s="89"/>
      <c r="W66" s="89"/>
      <c r="X66" s="89"/>
      <c r="Y66" s="89"/>
      <c r="AA66" s="2148"/>
    </row>
    <row r="67" spans="1:27" s="33" customFormat="1" ht="13.5" customHeight="1" x14ac:dyDescent="0.25">
      <c r="A67" s="2169"/>
      <c r="B67" s="3265" t="s">
        <v>532</v>
      </c>
      <c r="C67" s="3130"/>
      <c r="D67" s="684">
        <f>'CEKLIST 003 (LAPORAN KEUANGAN)'!C13</f>
        <v>2408864905</v>
      </c>
      <c r="E67" s="684">
        <f>'CEKLIST 003 (LAPORAN KEUANGAN)'!D13</f>
        <v>2257411221.25</v>
      </c>
      <c r="F67" s="694">
        <f>'CEKLIST 003 (LAPORAN KEUANGAN)'!E13</f>
        <v>2779663694.4299998</v>
      </c>
      <c r="G67" s="1483">
        <f t="shared" si="3"/>
        <v>-6.287346518919873E-2</v>
      </c>
      <c r="H67" s="3260">
        <f t="shared" si="4"/>
        <v>0.23135017149902007</v>
      </c>
      <c r="I67" s="3260"/>
      <c r="J67" s="3260"/>
      <c r="K67" s="3269">
        <f>IFERROR((F67/F80),0)</f>
        <v>4.0534125496216079E-2</v>
      </c>
      <c r="L67" s="3269"/>
      <c r="M67" s="3270"/>
      <c r="N67" s="398"/>
      <c r="O67" s="398"/>
      <c r="P67" s="398"/>
      <c r="Q67" s="398"/>
      <c r="R67" s="398"/>
      <c r="S67" s="398"/>
      <c r="T67" s="89"/>
      <c r="U67" s="89"/>
      <c r="V67" s="89"/>
      <c r="W67" s="89"/>
      <c r="X67" s="89"/>
      <c r="Y67" s="89"/>
      <c r="AA67" s="2148"/>
    </row>
    <row r="68" spans="1:27" s="33" customFormat="1" ht="13.5" customHeight="1" x14ac:dyDescent="0.25">
      <c r="A68" s="2169"/>
      <c r="B68" s="3265" t="s">
        <v>533</v>
      </c>
      <c r="C68" s="3130"/>
      <c r="D68" s="684">
        <f>'CEKLIST 003 (LAPORAN KEUANGAN)'!C14</f>
        <v>-29460150</v>
      </c>
      <c r="E68" s="684">
        <f>'CEKLIST 003 (LAPORAN KEUANGAN)'!D14</f>
        <v>-29998965.789999999</v>
      </c>
      <c r="F68" s="694">
        <f>'CEKLIST 003 (LAPORAN KEUANGAN)'!E14</f>
        <v>-57056659.490000002</v>
      </c>
      <c r="G68" s="1483">
        <f t="shared" si="3"/>
        <v>1.8289648559155304E-2</v>
      </c>
      <c r="H68" s="3260">
        <f t="shared" si="4"/>
        <v>0.901954217002359</v>
      </c>
      <c r="I68" s="3260"/>
      <c r="J68" s="3260"/>
      <c r="K68" s="3269">
        <f>IFERROR((F68/F80),0)</f>
        <v>-8.3202216181651469E-4</v>
      </c>
      <c r="L68" s="3269"/>
      <c r="M68" s="3270"/>
      <c r="N68" s="398"/>
      <c r="O68" s="398"/>
      <c r="P68" s="398"/>
      <c r="Q68" s="398"/>
      <c r="R68" s="398"/>
      <c r="S68" s="398"/>
      <c r="T68" s="89"/>
      <c r="U68" s="89"/>
      <c r="V68" s="89"/>
      <c r="W68" s="89"/>
      <c r="X68" s="89"/>
      <c r="Y68" s="89"/>
      <c r="AA68" s="2148"/>
    </row>
    <row r="69" spans="1:27" s="33" customFormat="1" ht="13.5" customHeight="1" x14ac:dyDescent="0.25">
      <c r="A69" s="2169"/>
      <c r="B69" s="3393" t="s">
        <v>534</v>
      </c>
      <c r="C69" s="3394"/>
      <c r="D69" s="640">
        <f>D60+D61+D62+D65+D66+D67+D68</f>
        <v>58155385518</v>
      </c>
      <c r="E69" s="640">
        <f>E60+E61+E62+E65+E66+E67+E68</f>
        <v>63735018093.839989</v>
      </c>
      <c r="F69" s="640">
        <f>F60+F61+F62+F65+F66+F67+F68</f>
        <v>66029494618.339996</v>
      </c>
      <c r="G69" s="1485">
        <f t="shared" si="3"/>
        <v>9.5943523134465428E-2</v>
      </c>
      <c r="H69" s="3296">
        <f t="shared" si="4"/>
        <v>3.6000249048674382E-2</v>
      </c>
      <c r="I69" s="3296"/>
      <c r="J69" s="3296"/>
      <c r="K69" s="3309">
        <f>IFERROR((F69/F80),0)</f>
        <v>0.96286749604806143</v>
      </c>
      <c r="L69" s="3309"/>
      <c r="M69" s="3310"/>
      <c r="N69" s="398"/>
      <c r="O69" s="398"/>
      <c r="P69" s="398"/>
      <c r="Q69" s="398"/>
      <c r="R69" s="398"/>
      <c r="S69" s="398"/>
      <c r="T69" s="89"/>
      <c r="U69" s="89"/>
      <c r="V69" s="89"/>
      <c r="W69" s="89"/>
      <c r="X69" s="89"/>
      <c r="Y69" s="89"/>
      <c r="AA69" s="2148"/>
    </row>
    <row r="70" spans="1:27" s="33" customFormat="1" ht="13.5" customHeight="1" x14ac:dyDescent="0.25">
      <c r="A70" s="2169"/>
      <c r="B70" s="3395" t="s">
        <v>535</v>
      </c>
      <c r="C70" s="3396"/>
      <c r="D70" s="3390"/>
      <c r="E70" s="3390"/>
      <c r="F70" s="3390"/>
      <c r="G70" s="3390"/>
      <c r="H70" s="3390"/>
      <c r="I70" s="3390"/>
      <c r="J70" s="3390"/>
      <c r="K70" s="3390"/>
      <c r="L70" s="3390"/>
      <c r="M70" s="3391"/>
      <c r="N70" s="398"/>
      <c r="O70" s="398"/>
      <c r="P70" s="398"/>
      <c r="Q70" s="398"/>
      <c r="R70" s="398"/>
      <c r="S70" s="398"/>
      <c r="T70" s="89"/>
      <c r="U70" s="89"/>
      <c r="V70" s="89"/>
      <c r="W70" s="89"/>
      <c r="X70" s="89"/>
      <c r="Y70" s="89"/>
      <c r="AA70" s="2148"/>
    </row>
    <row r="71" spans="1:27" s="33" customFormat="1" ht="13.5" customHeight="1" x14ac:dyDescent="0.25">
      <c r="A71" s="2169"/>
      <c r="B71" s="3265" t="s">
        <v>536</v>
      </c>
      <c r="C71" s="3130"/>
      <c r="D71" s="684">
        <f>'CEKLIST 003 (LAPORAN KEUANGAN)'!C17</f>
        <v>0</v>
      </c>
      <c r="E71" s="684">
        <f>'CEKLIST 003 (LAPORAN KEUANGAN)'!D17</f>
        <v>0</v>
      </c>
      <c r="F71" s="684">
        <f>'CEKLIST 003 (LAPORAN KEUANGAN)'!E17</f>
        <v>0</v>
      </c>
      <c r="G71" s="1483">
        <f t="shared" ref="G71:H73" si="5">IFERROR(((E71-D71)/D71),0)</f>
        <v>0</v>
      </c>
      <c r="H71" s="3260">
        <f t="shared" si="5"/>
        <v>0</v>
      </c>
      <c r="I71" s="3260"/>
      <c r="J71" s="3260"/>
      <c r="K71" s="3269">
        <f>IFERROR((F71/F80),0)</f>
        <v>0</v>
      </c>
      <c r="L71" s="3269"/>
      <c r="M71" s="3270"/>
      <c r="N71" s="398"/>
      <c r="O71" s="398"/>
      <c r="P71" s="398"/>
      <c r="Q71" s="398"/>
      <c r="R71" s="398"/>
      <c r="S71" s="398"/>
      <c r="T71" s="89"/>
      <c r="U71" s="89"/>
      <c r="V71" s="89"/>
      <c r="W71" s="89"/>
      <c r="X71" s="89"/>
      <c r="Y71" s="89"/>
      <c r="AA71" s="2148"/>
    </row>
    <row r="72" spans="1:27" s="33" customFormat="1" ht="13.5" customHeight="1" x14ac:dyDescent="0.25">
      <c r="A72" s="2169"/>
      <c r="B72" s="3265" t="s">
        <v>66</v>
      </c>
      <c r="C72" s="3130"/>
      <c r="D72" s="684">
        <f>'CEKLIST 003 (LAPORAN KEUANGAN)'!C18</f>
        <v>0</v>
      </c>
      <c r="E72" s="684">
        <f>'CEKLIST 003 (LAPORAN KEUANGAN)'!D18</f>
        <v>0</v>
      </c>
      <c r="F72" s="684">
        <f>'CEKLIST 003 (LAPORAN KEUANGAN)'!E18</f>
        <v>0</v>
      </c>
      <c r="G72" s="1483">
        <f t="shared" si="5"/>
        <v>0</v>
      </c>
      <c r="H72" s="3260">
        <f t="shared" si="5"/>
        <v>0</v>
      </c>
      <c r="I72" s="3260"/>
      <c r="J72" s="3260"/>
      <c r="K72" s="3269">
        <f>IFERROR((F72/F80),0)</f>
        <v>0</v>
      </c>
      <c r="L72" s="3269"/>
      <c r="M72" s="3270"/>
      <c r="N72" s="398"/>
      <c r="O72" s="398"/>
      <c r="P72" s="398"/>
      <c r="Q72" s="398"/>
      <c r="R72" s="398"/>
      <c r="S72" s="398"/>
      <c r="T72" s="89"/>
      <c r="U72" s="89"/>
      <c r="V72" s="89"/>
      <c r="W72" s="89"/>
      <c r="X72" s="89"/>
      <c r="Y72" s="89"/>
      <c r="AA72" s="2148"/>
    </row>
    <row r="73" spans="1:27" s="33" customFormat="1" ht="13.5" customHeight="1" x14ac:dyDescent="0.25">
      <c r="A73" s="2169"/>
      <c r="B73" s="3393" t="s">
        <v>537</v>
      </c>
      <c r="C73" s="3394"/>
      <c r="D73" s="640">
        <f>SUM(D71:D72)</f>
        <v>0</v>
      </c>
      <c r="E73" s="640">
        <f>SUM(E71:E72)</f>
        <v>0</v>
      </c>
      <c r="F73" s="640">
        <f>SUM(F71:F72)</f>
        <v>0</v>
      </c>
      <c r="G73" s="1485">
        <f t="shared" si="5"/>
        <v>0</v>
      </c>
      <c r="H73" s="3296">
        <f t="shared" si="5"/>
        <v>0</v>
      </c>
      <c r="I73" s="3296"/>
      <c r="J73" s="3296"/>
      <c r="K73" s="3309">
        <f>IFERROR((F73/F80),0)</f>
        <v>0</v>
      </c>
      <c r="L73" s="3309"/>
      <c r="M73" s="3310"/>
      <c r="N73" s="398"/>
      <c r="O73" s="398"/>
      <c r="P73" s="398"/>
      <c r="Q73" s="398"/>
      <c r="R73" s="398"/>
      <c r="S73" s="398"/>
      <c r="T73" s="89"/>
      <c r="U73" s="89"/>
      <c r="V73" s="89"/>
      <c r="W73" s="89"/>
      <c r="X73" s="89"/>
      <c r="Y73" s="89"/>
      <c r="AA73" s="2148"/>
    </row>
    <row r="74" spans="1:27" s="33" customFormat="1" ht="13.5" customHeight="1" x14ac:dyDescent="0.25">
      <c r="A74" s="2169"/>
      <c r="B74" s="3395" t="s">
        <v>538</v>
      </c>
      <c r="C74" s="3396"/>
      <c r="D74" s="3307"/>
      <c r="E74" s="3307"/>
      <c r="F74" s="3307"/>
      <c r="G74" s="3307"/>
      <c r="H74" s="3307"/>
      <c r="I74" s="3307"/>
      <c r="J74" s="3307"/>
      <c r="K74" s="3307"/>
      <c r="L74" s="3307"/>
      <c r="M74" s="3308"/>
      <c r="N74" s="398"/>
      <c r="O74" s="398"/>
      <c r="P74" s="398"/>
      <c r="Q74" s="398"/>
      <c r="R74" s="398"/>
      <c r="S74" s="398"/>
      <c r="T74" s="89"/>
      <c r="U74" s="89"/>
      <c r="V74" s="89"/>
      <c r="W74" s="89"/>
      <c r="X74" s="89"/>
      <c r="Y74" s="89"/>
      <c r="AA74" s="2148"/>
    </row>
    <row r="75" spans="1:27" s="33" customFormat="1" ht="13.5" customHeight="1" x14ac:dyDescent="0.25">
      <c r="A75" s="2169"/>
      <c r="B75" s="3265" t="s">
        <v>539</v>
      </c>
      <c r="C75" s="3130"/>
      <c r="D75" s="687">
        <f>'CEKLIST 003 (LAPORAN KEUANGAN)'!C21</f>
        <v>3259553256</v>
      </c>
      <c r="E75" s="687">
        <f>'CEKLIST 003 (LAPORAN KEUANGAN)'!D21</f>
        <v>3453858256</v>
      </c>
      <c r="F75" s="687">
        <f>'CEKLIST 003 (LAPORAN KEUANGAN)'!E21</f>
        <v>3329548256</v>
      </c>
      <c r="G75" s="1483">
        <f t="shared" ref="G75:H77" si="6">IFERROR(((E75-D75)/D75),0)</f>
        <v>5.9610929700974952E-2</v>
      </c>
      <c r="H75" s="3260">
        <f t="shared" si="6"/>
        <v>-3.5991633352078126E-2</v>
      </c>
      <c r="I75" s="3260"/>
      <c r="J75" s="3260"/>
      <c r="K75" s="3269">
        <f>IFERROR((F75/F80),0)</f>
        <v>4.8552753746739299E-2</v>
      </c>
      <c r="L75" s="3269"/>
      <c r="M75" s="3270"/>
      <c r="N75" s="398"/>
      <c r="O75" s="398"/>
      <c r="P75" s="398"/>
      <c r="Q75" s="398"/>
      <c r="R75" s="398"/>
      <c r="S75" s="398"/>
      <c r="T75" s="89"/>
      <c r="U75" s="89"/>
      <c r="V75" s="89"/>
      <c r="W75" s="89"/>
      <c r="X75" s="89"/>
      <c r="Y75" s="89"/>
      <c r="AA75" s="2148"/>
    </row>
    <row r="76" spans="1:27" s="33" customFormat="1" ht="13.5" customHeight="1" x14ac:dyDescent="0.25">
      <c r="A76" s="2169"/>
      <c r="B76" s="3265" t="s">
        <v>540</v>
      </c>
      <c r="C76" s="3130"/>
      <c r="D76" s="687">
        <f>'CEKLIST 003 (LAPORAN KEUANGAN)'!C22</f>
        <v>-1725675882</v>
      </c>
      <c r="E76" s="687">
        <f>'CEKLIST 003 (LAPORAN KEUANGAN)'!D22</f>
        <v>-1989243380</v>
      </c>
      <c r="F76" s="687">
        <f>'CEKLIST 003 (LAPORAN KEUANGAN)'!E22</f>
        <v>-1973465582</v>
      </c>
      <c r="G76" s="1483">
        <f t="shared" si="6"/>
        <v>0.15273290931929476</v>
      </c>
      <c r="H76" s="3260">
        <f t="shared" si="6"/>
        <v>-7.9315573743419972E-3</v>
      </c>
      <c r="I76" s="3260"/>
      <c r="J76" s="3260"/>
      <c r="K76" s="3269">
        <f>IFERROR((F76/F80),0)</f>
        <v>-2.8777834427791985E-2</v>
      </c>
      <c r="L76" s="3269"/>
      <c r="M76" s="3270"/>
      <c r="N76" s="398"/>
      <c r="O76" s="398"/>
      <c r="P76" s="398"/>
      <c r="Q76" s="398"/>
      <c r="R76" s="398"/>
      <c r="S76" s="398"/>
      <c r="T76" s="89"/>
      <c r="U76" s="89"/>
      <c r="V76" s="89"/>
      <c r="W76" s="89"/>
      <c r="X76" s="89"/>
      <c r="Y76" s="89"/>
      <c r="AA76" s="2148"/>
    </row>
    <row r="77" spans="1:27" s="33" customFormat="1" ht="13.5" customHeight="1" x14ac:dyDescent="0.25">
      <c r="A77" s="2169"/>
      <c r="B77" s="3393" t="s">
        <v>541</v>
      </c>
      <c r="C77" s="3394"/>
      <c r="D77" s="640">
        <f>SUM(D75:D76)</f>
        <v>1533877374</v>
      </c>
      <c r="E77" s="640">
        <f>SUM(E75:E76)</f>
        <v>1464614876</v>
      </c>
      <c r="F77" s="640">
        <f>SUM(F75:F76)</f>
        <v>1356082674</v>
      </c>
      <c r="G77" s="1485">
        <f t="shared" si="6"/>
        <v>-4.5155172880201828E-2</v>
      </c>
      <c r="H77" s="3296">
        <f t="shared" si="6"/>
        <v>-7.4102894746236353E-2</v>
      </c>
      <c r="I77" s="3296"/>
      <c r="J77" s="3296"/>
      <c r="K77" s="3309">
        <f>IFERROR((F77/F80),0)</f>
        <v>1.9774919318947318E-2</v>
      </c>
      <c r="L77" s="3309"/>
      <c r="M77" s="3310"/>
      <c r="N77" s="398"/>
      <c r="O77" s="398"/>
      <c r="P77" s="398"/>
      <c r="Q77" s="398"/>
      <c r="R77" s="398"/>
      <c r="S77" s="398"/>
      <c r="T77" s="89"/>
      <c r="U77" s="89"/>
      <c r="V77" s="89"/>
      <c r="W77" s="89"/>
      <c r="X77" s="89"/>
      <c r="Y77" s="89"/>
      <c r="AA77" s="2148"/>
    </row>
    <row r="78" spans="1:27" s="33" customFormat="1" ht="13.5" customHeight="1" x14ac:dyDescent="0.25">
      <c r="A78" s="2169"/>
      <c r="B78" s="3265"/>
      <c r="C78" s="3130"/>
      <c r="D78" s="696"/>
      <c r="E78" s="696"/>
      <c r="F78" s="696"/>
      <c r="G78" s="697"/>
      <c r="H78" s="3311"/>
      <c r="I78" s="3311"/>
      <c r="J78" s="3311"/>
      <c r="K78" s="3269"/>
      <c r="L78" s="3269"/>
      <c r="M78" s="3270"/>
      <c r="N78" s="398"/>
      <c r="O78" s="398"/>
      <c r="P78" s="398"/>
      <c r="Q78" s="398"/>
      <c r="R78" s="398"/>
      <c r="S78" s="398"/>
      <c r="T78" s="89"/>
      <c r="U78" s="89"/>
      <c r="V78" s="89"/>
      <c r="W78" s="89"/>
      <c r="X78" s="89"/>
      <c r="Y78" s="89"/>
      <c r="AA78" s="2148"/>
    </row>
    <row r="79" spans="1:27" s="33" customFormat="1" ht="13.5" customHeight="1" x14ac:dyDescent="0.25">
      <c r="A79" s="2169"/>
      <c r="B79" s="3265" t="s">
        <v>542</v>
      </c>
      <c r="C79" s="3130"/>
      <c r="D79" s="684">
        <f>'CEKLIST 003 (LAPORAN KEUANGAN)'!C25</f>
        <v>446056795</v>
      </c>
      <c r="E79" s="684">
        <f>'CEKLIST 003 (LAPORAN KEUANGAN)'!D25</f>
        <v>360101280.68000001</v>
      </c>
      <c r="F79" s="684">
        <f>'CEKLIST 003 (LAPORAN KEUANGAN)'!E25</f>
        <v>1190311798.6800001</v>
      </c>
      <c r="G79" s="1483">
        <f>IFERROR(((E79-D79)/D79),0)</f>
        <v>-0.19270082931927984</v>
      </c>
      <c r="H79" s="3260">
        <f>IFERROR(((F79-E79)/E79),0)</f>
        <v>2.3054917117547196</v>
      </c>
      <c r="I79" s="3260"/>
      <c r="J79" s="3260"/>
      <c r="K79" s="3269">
        <f>IFERROR((F77/F80),0)</f>
        <v>1.9774919318947318E-2</v>
      </c>
      <c r="L79" s="3269"/>
      <c r="M79" s="3270"/>
      <c r="N79" s="398"/>
      <c r="O79" s="398"/>
      <c r="P79" s="398"/>
      <c r="Q79" s="398"/>
      <c r="R79" s="398"/>
      <c r="S79" s="398"/>
      <c r="T79" s="89"/>
      <c r="U79" s="89"/>
      <c r="V79" s="89"/>
      <c r="W79" s="89"/>
      <c r="X79" s="89"/>
      <c r="Y79" s="89"/>
      <c r="AA79" s="2148"/>
    </row>
    <row r="80" spans="1:27" s="33" customFormat="1" ht="13.5" customHeight="1" x14ac:dyDescent="0.25">
      <c r="A80" s="2170"/>
      <c r="B80" s="3397" t="s">
        <v>543</v>
      </c>
      <c r="C80" s="3398"/>
      <c r="D80" s="701">
        <f>SUM(D69,D73,D77,D79)</f>
        <v>60135319687</v>
      </c>
      <c r="E80" s="701">
        <f>SUM(E69,E73,E77,E79)</f>
        <v>65559734250.519989</v>
      </c>
      <c r="F80" s="701">
        <f>SUM(F69,F73,F77,F79)</f>
        <v>68575889091.019997</v>
      </c>
      <c r="G80" s="1481">
        <f>IFERROR(((E80-D80)/D80),0)</f>
        <v>9.0203470967705424E-2</v>
      </c>
      <c r="H80" s="3256">
        <f>IFERROR(((F80-E80)/E80),0)</f>
        <v>4.6006209069953403E-2</v>
      </c>
      <c r="I80" s="3256"/>
      <c r="J80" s="3256"/>
      <c r="K80" s="3254">
        <f>IFERROR((F80/F80),0)</f>
        <v>1</v>
      </c>
      <c r="L80" s="3254"/>
      <c r="M80" s="3255"/>
      <c r="N80" s="398"/>
      <c r="O80" s="398"/>
      <c r="P80" s="398"/>
      <c r="Q80" s="398"/>
      <c r="R80" s="398"/>
      <c r="S80" s="398"/>
      <c r="T80" s="89"/>
      <c r="U80" s="89"/>
      <c r="V80" s="89"/>
      <c r="W80" s="89"/>
      <c r="X80" s="89"/>
      <c r="Y80" s="89"/>
      <c r="AA80" s="2148"/>
    </row>
    <row r="81" spans="1:27" s="33" customFormat="1" ht="13.5" customHeight="1" x14ac:dyDescent="0.25">
      <c r="A81" s="2169"/>
      <c r="B81" s="3265"/>
      <c r="C81" s="3130"/>
      <c r="D81" s="698"/>
      <c r="E81" s="698"/>
      <c r="F81" s="698"/>
      <c r="G81" s="699"/>
      <c r="H81" s="3311"/>
      <c r="I81" s="3311"/>
      <c r="J81" s="3311"/>
      <c r="K81" s="3311"/>
      <c r="L81" s="3311"/>
      <c r="M81" s="3312"/>
      <c r="N81" s="398"/>
      <c r="O81" s="398"/>
      <c r="P81" s="398"/>
      <c r="Q81" s="398"/>
      <c r="R81" s="398"/>
      <c r="S81" s="398"/>
      <c r="T81" s="89"/>
      <c r="U81" s="89"/>
      <c r="V81" s="89"/>
      <c r="W81" s="89"/>
      <c r="X81" s="89"/>
      <c r="Y81" s="89"/>
      <c r="AA81" s="2148"/>
    </row>
    <row r="82" spans="1:27" s="33" customFormat="1" ht="13.5" customHeight="1" x14ac:dyDescent="0.25">
      <c r="A82" s="2170"/>
      <c r="B82" s="3395" t="s">
        <v>544</v>
      </c>
      <c r="C82" s="3396"/>
      <c r="D82" s="3294"/>
      <c r="E82" s="3294"/>
      <c r="F82" s="3294"/>
      <c r="G82" s="3294"/>
      <c r="H82" s="3294"/>
      <c r="I82" s="3294"/>
      <c r="J82" s="3294"/>
      <c r="K82" s="3294"/>
      <c r="L82" s="3294"/>
      <c r="M82" s="3295"/>
      <c r="N82" s="398"/>
      <c r="O82" s="398"/>
      <c r="P82" s="398"/>
      <c r="Q82" s="398"/>
      <c r="R82" s="398"/>
      <c r="S82" s="398"/>
      <c r="T82" s="89"/>
      <c r="U82" s="89"/>
      <c r="V82" s="89"/>
      <c r="W82" s="89"/>
      <c r="X82" s="89"/>
      <c r="Y82" s="89"/>
      <c r="AA82" s="2148"/>
    </row>
    <row r="83" spans="1:27" s="33" customFormat="1" ht="13.5" customHeight="1" x14ac:dyDescent="0.25">
      <c r="A83" s="2169"/>
      <c r="B83" s="3265" t="s">
        <v>1701</v>
      </c>
      <c r="C83" s="3130"/>
      <c r="D83" s="687">
        <f>'CEKLIST 003 (LAPORAN KEUANGAN)'!C29</f>
        <v>23602725255</v>
      </c>
      <c r="E83" s="687">
        <f>'CEKLIST 003 (LAPORAN KEUANGAN)'!D29</f>
        <v>27683410154.599998</v>
      </c>
      <c r="F83" s="687">
        <f>'CEKLIST 003 (LAPORAN KEUANGAN)'!E29</f>
        <v>28449470434.989998</v>
      </c>
      <c r="G83" s="1483">
        <f t="shared" ref="G83:H86" si="7">IFERROR(((E83-D83)/D83),0)</f>
        <v>0.17289041225167617</v>
      </c>
      <c r="H83" s="3260">
        <f t="shared" si="7"/>
        <v>2.7672178973323032E-2</v>
      </c>
      <c r="I83" s="3260"/>
      <c r="J83" s="3260"/>
      <c r="K83" s="3269">
        <f>IFERROR((F83/F93),0)</f>
        <v>0.83608700008147374</v>
      </c>
      <c r="L83" s="3269"/>
      <c r="M83" s="3270"/>
      <c r="N83" s="398"/>
      <c r="O83" s="398"/>
      <c r="P83" s="398"/>
      <c r="Q83" s="398"/>
      <c r="R83" s="398"/>
      <c r="S83" s="398"/>
      <c r="T83" s="89"/>
      <c r="U83" s="89"/>
      <c r="V83" s="89"/>
      <c r="W83" s="89"/>
      <c r="X83" s="89"/>
      <c r="Y83" s="89"/>
      <c r="AA83" s="2148"/>
    </row>
    <row r="84" spans="1:27" s="33" customFormat="1" ht="13.5" customHeight="1" x14ac:dyDescent="0.25">
      <c r="A84" s="2169"/>
      <c r="B84" s="3265" t="s">
        <v>545</v>
      </c>
      <c r="C84" s="3130"/>
      <c r="D84" s="687">
        <f>'CEKLIST 003 (LAPORAN KEUANGAN)'!C30</f>
        <v>258261575</v>
      </c>
      <c r="E84" s="687">
        <f>'CEKLIST 003 (LAPORAN KEUANGAN)'!D30</f>
        <v>183541898.25999999</v>
      </c>
      <c r="F84" s="687">
        <f>'CEKLIST 003 (LAPORAN KEUANGAN)'!E30</f>
        <v>54858619.079999998</v>
      </c>
      <c r="G84" s="1483">
        <f t="shared" si="7"/>
        <v>-0.28931782337345385</v>
      </c>
      <c r="H84" s="3260">
        <f t="shared" si="7"/>
        <v>-0.70111119259380816</v>
      </c>
      <c r="I84" s="3260"/>
      <c r="J84" s="3260"/>
      <c r="K84" s="3269">
        <f>IFERROR((F84/F93),0)</f>
        <v>1.6122120220135345E-3</v>
      </c>
      <c r="L84" s="3269"/>
      <c r="M84" s="3270"/>
      <c r="N84" s="398"/>
      <c r="O84" s="398"/>
      <c r="P84" s="398"/>
      <c r="Q84" s="398"/>
      <c r="R84" s="398"/>
      <c r="S84" s="398"/>
      <c r="T84" s="89"/>
      <c r="U84" s="89"/>
      <c r="V84" s="89"/>
      <c r="W84" s="89"/>
      <c r="X84" s="89"/>
      <c r="Y84" s="89"/>
      <c r="AA84" s="2148"/>
    </row>
    <row r="85" spans="1:27" s="33" customFormat="1" ht="13.5" customHeight="1" x14ac:dyDescent="0.25">
      <c r="A85" s="2169"/>
      <c r="B85" s="3265" t="s">
        <v>546</v>
      </c>
      <c r="C85" s="3130"/>
      <c r="D85" s="687">
        <f>'CEKLIST 003 (LAPORAN KEUANGAN)'!C31</f>
        <v>8155935269</v>
      </c>
      <c r="E85" s="687">
        <f>'CEKLIST 003 (LAPORAN KEUANGAN)'!D31</f>
        <v>5025967043.2200003</v>
      </c>
      <c r="F85" s="687">
        <f>'CEKLIST 003 (LAPORAN KEUANGAN)'!E31</f>
        <v>5522596890.5</v>
      </c>
      <c r="G85" s="1483">
        <f t="shared" si="7"/>
        <v>-0.38376570222139161</v>
      </c>
      <c r="H85" s="3260">
        <f t="shared" si="7"/>
        <v>9.8812794236275481E-2</v>
      </c>
      <c r="I85" s="3260"/>
      <c r="J85" s="3260"/>
      <c r="K85" s="3269">
        <f>IFERROR((F85/F93),0)</f>
        <v>0.16230078789651267</v>
      </c>
      <c r="L85" s="3269"/>
      <c r="M85" s="3270"/>
      <c r="N85" s="398"/>
      <c r="O85" s="398"/>
      <c r="P85" s="398"/>
      <c r="Q85" s="398"/>
      <c r="R85" s="398"/>
      <c r="S85" s="398"/>
      <c r="T85" s="89"/>
      <c r="U85" s="89"/>
      <c r="V85" s="89"/>
      <c r="W85" s="89"/>
      <c r="X85" s="89"/>
      <c r="Y85" s="89"/>
      <c r="AA85" s="2148"/>
    </row>
    <row r="86" spans="1:27" s="33" customFormat="1" ht="13.5" customHeight="1" x14ac:dyDescent="0.25">
      <c r="A86" s="2169"/>
      <c r="B86" s="3393" t="s">
        <v>547</v>
      </c>
      <c r="C86" s="3394"/>
      <c r="D86" s="640">
        <f>SUM(D83:D85)</f>
        <v>32016922099</v>
      </c>
      <c r="E86" s="640">
        <f>SUM(E83:E85)</f>
        <v>32892919096.079998</v>
      </c>
      <c r="F86" s="640">
        <f>SUM(F83:F85)</f>
        <v>34026925944.57</v>
      </c>
      <c r="G86" s="1485">
        <f t="shared" si="7"/>
        <v>2.7360437532730809E-2</v>
      </c>
      <c r="H86" s="3296">
        <f t="shared" si="7"/>
        <v>3.447571330405718E-2</v>
      </c>
      <c r="I86" s="3296"/>
      <c r="J86" s="3296"/>
      <c r="K86" s="3309">
        <f>IFERROR((F86/F93),0)</f>
        <v>1</v>
      </c>
      <c r="L86" s="3309"/>
      <c r="M86" s="3310"/>
      <c r="N86" s="398"/>
      <c r="O86" s="398"/>
      <c r="P86" s="398"/>
      <c r="Q86" s="398"/>
      <c r="R86" s="398"/>
      <c r="S86" s="398"/>
      <c r="T86" s="89"/>
      <c r="U86" s="89"/>
      <c r="V86" s="89"/>
      <c r="W86" s="89"/>
      <c r="X86" s="89"/>
      <c r="Y86" s="89"/>
      <c r="AA86" s="2148"/>
    </row>
    <row r="87" spans="1:27" s="33" customFormat="1" ht="13.5" customHeight="1" x14ac:dyDescent="0.25">
      <c r="A87" s="2170"/>
      <c r="B87" s="3395" t="s">
        <v>548</v>
      </c>
      <c r="C87" s="3396"/>
      <c r="D87" s="3388"/>
      <c r="E87" s="3388"/>
      <c r="F87" s="3388"/>
      <c r="G87" s="3388"/>
      <c r="H87" s="3388"/>
      <c r="I87" s="3388"/>
      <c r="J87" s="3388"/>
      <c r="K87" s="3388"/>
      <c r="L87" s="3388"/>
      <c r="M87" s="3389"/>
      <c r="N87" s="398"/>
      <c r="O87" s="398"/>
      <c r="P87" s="398"/>
      <c r="Q87" s="398"/>
      <c r="R87" s="398"/>
      <c r="S87" s="398"/>
      <c r="T87" s="89"/>
      <c r="U87" s="89"/>
      <c r="V87" s="89"/>
      <c r="W87" s="89"/>
      <c r="X87" s="89"/>
      <c r="Y87" s="89"/>
      <c r="AA87" s="2148"/>
    </row>
    <row r="88" spans="1:27" s="33" customFormat="1" ht="13.5" customHeight="1" x14ac:dyDescent="0.25">
      <c r="A88" s="2169"/>
      <c r="B88" s="3265" t="s">
        <v>545</v>
      </c>
      <c r="C88" s="3130"/>
      <c r="D88" s="687">
        <f>'CEKLIST 003 (LAPORAN KEUANGAN)'!C34</f>
        <v>0</v>
      </c>
      <c r="E88" s="687">
        <f>'CEKLIST 003 (LAPORAN KEUANGAN)'!D34</f>
        <v>0</v>
      </c>
      <c r="F88" s="687">
        <f>'CEKLIST 003 (LAPORAN KEUANGAN)'!E34</f>
        <v>0</v>
      </c>
      <c r="G88" s="1483">
        <f t="shared" ref="G88:H93" si="8">IFERROR(((E88-D88)/D88),0)</f>
        <v>0</v>
      </c>
      <c r="H88" s="3260">
        <f t="shared" si="8"/>
        <v>0</v>
      </c>
      <c r="I88" s="3260"/>
      <c r="J88" s="3260"/>
      <c r="K88" s="3269">
        <f>IFERROR((F88/F93),0)</f>
        <v>0</v>
      </c>
      <c r="L88" s="3269"/>
      <c r="M88" s="3270"/>
      <c r="N88" s="398"/>
      <c r="O88" s="398"/>
      <c r="P88" s="398"/>
      <c r="Q88" s="398"/>
      <c r="R88" s="398"/>
      <c r="S88" s="398"/>
      <c r="T88" s="89"/>
      <c r="U88" s="89"/>
      <c r="V88" s="89"/>
      <c r="W88" s="89"/>
      <c r="X88" s="89"/>
      <c r="Y88" s="89"/>
      <c r="AA88" s="2148"/>
    </row>
    <row r="89" spans="1:27" s="33" customFormat="1" ht="13.5" customHeight="1" x14ac:dyDescent="0.25">
      <c r="A89" s="2169"/>
      <c r="B89" s="3399" t="s">
        <v>549</v>
      </c>
      <c r="C89" s="2983"/>
      <c r="D89" s="687">
        <f>'CEKLIST 003 (LAPORAN KEUANGAN)'!C35</f>
        <v>0</v>
      </c>
      <c r="E89" s="687">
        <f>'CEKLIST 003 (LAPORAN KEUANGAN)'!D35</f>
        <v>0</v>
      </c>
      <c r="F89" s="687">
        <f>'CEKLIST 003 (LAPORAN KEUANGAN)'!E35</f>
        <v>0</v>
      </c>
      <c r="G89" s="1483">
        <f t="shared" si="8"/>
        <v>0</v>
      </c>
      <c r="H89" s="3260">
        <f t="shared" si="8"/>
        <v>0</v>
      </c>
      <c r="I89" s="3260"/>
      <c r="J89" s="3260"/>
      <c r="K89" s="3269">
        <f>IFERROR((F89/F93),0)</f>
        <v>0</v>
      </c>
      <c r="L89" s="3269"/>
      <c r="M89" s="3270"/>
      <c r="N89" s="398"/>
      <c r="O89" s="398"/>
      <c r="P89" s="398"/>
      <c r="Q89" s="398"/>
      <c r="R89" s="398"/>
      <c r="S89" s="398"/>
      <c r="T89" s="89"/>
      <c r="U89" s="89"/>
      <c r="V89" s="89"/>
      <c r="W89" s="89"/>
      <c r="X89" s="89"/>
      <c r="Y89" s="89"/>
      <c r="AA89" s="2148"/>
    </row>
    <row r="90" spans="1:27" s="33" customFormat="1" ht="13.5" customHeight="1" x14ac:dyDescent="0.25">
      <c r="A90" s="2169"/>
      <c r="B90" s="3399" t="s">
        <v>1702</v>
      </c>
      <c r="C90" s="2983"/>
      <c r="D90" s="687">
        <f>'CEKLIST 003 (LAPORAN KEUANGAN)'!C36</f>
        <v>0</v>
      </c>
      <c r="E90" s="687">
        <f>'CEKLIST 003 (LAPORAN KEUANGAN)'!D36</f>
        <v>0</v>
      </c>
      <c r="F90" s="687">
        <f>'CEKLIST 003 (LAPORAN KEUANGAN)'!E36</f>
        <v>0</v>
      </c>
      <c r="G90" s="1483">
        <f t="shared" si="8"/>
        <v>0</v>
      </c>
      <c r="H90" s="3260">
        <f t="shared" si="8"/>
        <v>0</v>
      </c>
      <c r="I90" s="3260"/>
      <c r="J90" s="3260"/>
      <c r="K90" s="3269">
        <f>IFERROR((F90/F93),0)</f>
        <v>0</v>
      </c>
      <c r="L90" s="3269"/>
      <c r="M90" s="3270"/>
      <c r="N90" s="398"/>
      <c r="O90" s="398"/>
      <c r="P90" s="398"/>
      <c r="Q90" s="398"/>
      <c r="R90" s="398"/>
      <c r="S90" s="398"/>
      <c r="T90" s="89"/>
      <c r="U90" s="89"/>
      <c r="V90" s="89"/>
      <c r="W90" s="89"/>
      <c r="X90" s="89"/>
      <c r="Y90" s="89"/>
      <c r="AA90" s="2148"/>
    </row>
    <row r="91" spans="1:27" s="33" customFormat="1" ht="13.5" customHeight="1" x14ac:dyDescent="0.25">
      <c r="A91" s="2169"/>
      <c r="B91" s="3399"/>
      <c r="C91" s="2983"/>
      <c r="D91" s="687">
        <f>'CEKLIST 003 (LAPORAN KEUANGAN)'!C37</f>
        <v>0</v>
      </c>
      <c r="E91" s="687">
        <f>'CEKLIST 003 (LAPORAN KEUANGAN)'!D37</f>
        <v>0</v>
      </c>
      <c r="F91" s="687">
        <f>'CEKLIST 003 (LAPORAN KEUANGAN)'!E37</f>
        <v>0</v>
      </c>
      <c r="G91" s="1483">
        <f t="shared" si="8"/>
        <v>0</v>
      </c>
      <c r="H91" s="3260">
        <f t="shared" si="8"/>
        <v>0</v>
      </c>
      <c r="I91" s="3260"/>
      <c r="J91" s="3260"/>
      <c r="K91" s="3269">
        <f>IFERROR((F91/F93),0)</f>
        <v>0</v>
      </c>
      <c r="L91" s="3269"/>
      <c r="M91" s="3270"/>
      <c r="N91" s="398"/>
      <c r="O91" s="398"/>
      <c r="P91" s="398"/>
      <c r="Q91" s="398"/>
      <c r="R91" s="398"/>
      <c r="S91" s="398"/>
      <c r="T91" s="89"/>
      <c r="U91" s="89"/>
      <c r="V91" s="89"/>
      <c r="W91" s="89"/>
      <c r="X91" s="89"/>
      <c r="Y91" s="89"/>
      <c r="AA91" s="2148"/>
    </row>
    <row r="92" spans="1:27" s="33" customFormat="1" ht="13.5" customHeight="1" x14ac:dyDescent="0.25">
      <c r="A92" s="2169"/>
      <c r="B92" s="3393" t="s">
        <v>550</v>
      </c>
      <c r="C92" s="3394"/>
      <c r="D92" s="700">
        <f>SUM(D88:D91)</f>
        <v>0</v>
      </c>
      <c r="E92" s="700">
        <f>SUM(E88:E91)</f>
        <v>0</v>
      </c>
      <c r="F92" s="700">
        <f>SUM(F88:F91)</f>
        <v>0</v>
      </c>
      <c r="G92" s="1485">
        <f t="shared" si="8"/>
        <v>0</v>
      </c>
      <c r="H92" s="3296">
        <f t="shared" si="8"/>
        <v>0</v>
      </c>
      <c r="I92" s="3296"/>
      <c r="J92" s="3296"/>
      <c r="K92" s="3309">
        <f>IFERROR((F92/F93),0)</f>
        <v>0</v>
      </c>
      <c r="L92" s="3309"/>
      <c r="M92" s="3310"/>
      <c r="N92" s="398"/>
      <c r="O92" s="398"/>
      <c r="P92" s="398"/>
      <c r="Q92" s="398"/>
      <c r="R92" s="398"/>
      <c r="S92" s="398"/>
      <c r="T92" s="89"/>
      <c r="U92" s="89"/>
      <c r="V92" s="89"/>
      <c r="W92" s="89"/>
      <c r="X92" s="89"/>
      <c r="Y92" s="89"/>
      <c r="AA92" s="2148"/>
    </row>
    <row r="93" spans="1:27" s="33" customFormat="1" ht="13.5" customHeight="1" x14ac:dyDescent="0.25">
      <c r="A93" s="2170"/>
      <c r="B93" s="3266" t="s">
        <v>551</v>
      </c>
      <c r="C93" s="3267"/>
      <c r="D93" s="702">
        <f>SUM(D86,D92)</f>
        <v>32016922099</v>
      </c>
      <c r="E93" s="702">
        <f>SUM(E86,E92)</f>
        <v>32892919096.079998</v>
      </c>
      <c r="F93" s="702">
        <f>SUM(F86,F92)</f>
        <v>34026925944.57</v>
      </c>
      <c r="G93" s="1481">
        <f t="shared" si="8"/>
        <v>2.7360437532730809E-2</v>
      </c>
      <c r="H93" s="3256">
        <f t="shared" si="8"/>
        <v>3.447571330405718E-2</v>
      </c>
      <c r="I93" s="3256"/>
      <c r="J93" s="3256"/>
      <c r="K93" s="3254">
        <f>IFERROR((F93/F93),0)</f>
        <v>1</v>
      </c>
      <c r="L93" s="3254"/>
      <c r="M93" s="3255"/>
      <c r="N93" s="398"/>
      <c r="O93" s="398"/>
      <c r="P93" s="398"/>
      <c r="Q93" s="398"/>
      <c r="R93" s="398"/>
      <c r="S93" s="398"/>
      <c r="T93" s="89"/>
      <c r="U93" s="89"/>
      <c r="V93" s="89"/>
      <c r="W93" s="89"/>
      <c r="X93" s="89"/>
      <c r="Y93" s="89"/>
      <c r="AA93" s="2148"/>
    </row>
    <row r="94" spans="1:27" s="33" customFormat="1" ht="13.5" customHeight="1" x14ac:dyDescent="0.25">
      <c r="A94" s="2170"/>
      <c r="B94" s="3352"/>
      <c r="C94" s="3416"/>
      <c r="D94" s="2171"/>
      <c r="E94" s="2171"/>
      <c r="F94" s="2171"/>
      <c r="G94" s="2172"/>
      <c r="H94" s="3311"/>
      <c r="I94" s="3311"/>
      <c r="J94" s="3311"/>
      <c r="K94" s="3311"/>
      <c r="L94" s="3311"/>
      <c r="M94" s="3312"/>
      <c r="N94" s="398"/>
      <c r="O94" s="398"/>
      <c r="P94" s="398"/>
      <c r="Q94" s="398"/>
      <c r="R94" s="398"/>
      <c r="S94" s="398"/>
      <c r="T94" s="89"/>
      <c r="U94" s="89"/>
      <c r="V94" s="89"/>
      <c r="W94" s="89"/>
      <c r="X94" s="89"/>
      <c r="Y94" s="89"/>
      <c r="AA94" s="2148"/>
    </row>
    <row r="95" spans="1:27" s="33" customFormat="1" ht="13.5" customHeight="1" x14ac:dyDescent="0.25">
      <c r="A95" s="2169"/>
      <c r="B95" s="3395" t="s">
        <v>552</v>
      </c>
      <c r="C95" s="3396"/>
      <c r="D95" s="3406"/>
      <c r="E95" s="3406"/>
      <c r="F95" s="3406"/>
      <c r="G95" s="3406"/>
      <c r="H95" s="3406"/>
      <c r="I95" s="3406"/>
      <c r="J95" s="3406"/>
      <c r="K95" s="3406"/>
      <c r="L95" s="3406"/>
      <c r="M95" s="3407"/>
      <c r="N95" s="398"/>
      <c r="O95" s="398"/>
      <c r="P95" s="398"/>
      <c r="Q95" s="398"/>
      <c r="R95" s="398"/>
      <c r="S95" s="398"/>
      <c r="T95" s="89"/>
      <c r="U95" s="89"/>
      <c r="V95" s="89"/>
      <c r="W95" s="89"/>
      <c r="X95" s="89"/>
      <c r="Y95" s="89"/>
      <c r="AA95" s="2148"/>
    </row>
    <row r="96" spans="1:27" s="33" customFormat="1" ht="13.5" customHeight="1" x14ac:dyDescent="0.25">
      <c r="A96" s="2169"/>
      <c r="B96" s="3356" t="s">
        <v>1283</v>
      </c>
      <c r="C96" s="3392"/>
      <c r="D96" s="684">
        <f>'CEKLIST 003 (LAPORAN KEUANGAN)'!C43</f>
        <v>16133550997</v>
      </c>
      <c r="E96" s="684">
        <f>'CEKLIST 003 (LAPORAN KEUANGAN)'!D43</f>
        <v>19914484723</v>
      </c>
      <c r="F96" s="684">
        <f>'CEKLIST 003 (LAPORAN KEUANGAN)'!E43</f>
        <v>19914484723</v>
      </c>
      <c r="G96" s="1483">
        <f t="shared" ref="G96:G104" si="9">IFERROR(((E96-D96)/D96),0)</f>
        <v>0.23435223446487738</v>
      </c>
      <c r="H96" s="3260">
        <f t="shared" ref="H96:H104" si="10">IFERROR(((F96-E96)/E96),0)</f>
        <v>0</v>
      </c>
      <c r="I96" s="3260"/>
      <c r="J96" s="3260"/>
      <c r="K96" s="3269">
        <f>IFERROR((F96/F104),0)</f>
        <v>0.57641338290194877</v>
      </c>
      <c r="L96" s="3269"/>
      <c r="M96" s="3270"/>
      <c r="N96" s="398"/>
      <c r="O96" s="398"/>
      <c r="P96" s="398"/>
      <c r="Q96" s="398"/>
      <c r="R96" s="398"/>
      <c r="S96" s="398"/>
      <c r="T96" s="89"/>
      <c r="U96" s="89"/>
      <c r="V96" s="89"/>
      <c r="W96" s="89"/>
      <c r="X96" s="89"/>
      <c r="Y96" s="89"/>
      <c r="AA96" s="2148"/>
    </row>
    <row r="97" spans="1:27" s="33" customFormat="1" ht="13.5" customHeight="1" x14ac:dyDescent="0.25">
      <c r="A97" s="2169"/>
      <c r="B97" s="3356"/>
      <c r="C97" s="3392"/>
      <c r="D97" s="684">
        <f>'CEKLIST 003 (LAPORAN KEUANGAN)'!C44</f>
        <v>0</v>
      </c>
      <c r="E97" s="684">
        <f>'CEKLIST 003 (LAPORAN KEUANGAN)'!D44</f>
        <v>0</v>
      </c>
      <c r="F97" s="684">
        <f>'CEKLIST 003 (LAPORAN KEUANGAN)'!E44</f>
        <v>0</v>
      </c>
      <c r="G97" s="1483">
        <f t="shared" si="9"/>
        <v>0</v>
      </c>
      <c r="H97" s="3260">
        <f t="shared" si="10"/>
        <v>0</v>
      </c>
      <c r="I97" s="3260"/>
      <c r="J97" s="3260"/>
      <c r="K97" s="3269">
        <f>IFERROR((F98/F104),0)</f>
        <v>0</v>
      </c>
      <c r="L97" s="3269"/>
      <c r="M97" s="3270"/>
      <c r="N97" s="398"/>
      <c r="O97" s="398"/>
      <c r="P97" s="398"/>
      <c r="Q97" s="398"/>
      <c r="R97" s="398"/>
      <c r="S97" s="398"/>
      <c r="T97" s="89"/>
      <c r="U97" s="89"/>
      <c r="V97" s="89"/>
      <c r="W97" s="89"/>
      <c r="X97" s="89"/>
      <c r="Y97" s="89"/>
      <c r="AA97" s="2148"/>
    </row>
    <row r="98" spans="1:27" s="33" customFormat="1" ht="13.5" customHeight="1" x14ac:dyDescent="0.25">
      <c r="A98" s="2169"/>
      <c r="B98" s="3356"/>
      <c r="C98" s="3392"/>
      <c r="D98" s="684">
        <f>'CEKLIST 003 (LAPORAN KEUANGAN)'!C45</f>
        <v>0</v>
      </c>
      <c r="E98" s="684">
        <f>'CEKLIST 003 (LAPORAN KEUANGAN)'!D45</f>
        <v>0</v>
      </c>
      <c r="F98" s="684">
        <f>'CEKLIST 003 (LAPORAN KEUANGAN)'!E45</f>
        <v>0</v>
      </c>
      <c r="G98" s="1483">
        <f t="shared" si="9"/>
        <v>0</v>
      </c>
      <c r="H98" s="3260">
        <f t="shared" si="10"/>
        <v>0</v>
      </c>
      <c r="I98" s="3260"/>
      <c r="J98" s="3260"/>
      <c r="K98" s="3269">
        <f>IFERROR((F98/F104),0)</f>
        <v>0</v>
      </c>
      <c r="L98" s="3269"/>
      <c r="M98" s="3270"/>
      <c r="N98" s="398"/>
      <c r="O98" s="398"/>
      <c r="P98" s="398"/>
      <c r="Q98" s="398"/>
      <c r="R98" s="398"/>
      <c r="S98" s="398"/>
      <c r="T98" s="89"/>
      <c r="U98" s="89"/>
      <c r="V98" s="89"/>
      <c r="W98" s="89"/>
      <c r="X98" s="89"/>
      <c r="Y98" s="89"/>
      <c r="AA98" s="2148"/>
    </row>
    <row r="99" spans="1:27" s="33" customFormat="1" ht="13.5" customHeight="1" x14ac:dyDescent="0.25">
      <c r="A99" s="2169"/>
      <c r="B99" s="3265" t="s">
        <v>593</v>
      </c>
      <c r="C99" s="3130"/>
      <c r="D99" s="684">
        <f>'CEKLIST 003 (LAPORAN KEUANGAN)'!C46</f>
        <v>0</v>
      </c>
      <c r="E99" s="684">
        <f>'CEKLIST 003 (LAPORAN KEUANGAN)'!D46</f>
        <v>0</v>
      </c>
      <c r="F99" s="684">
        <f>'CEKLIST 003 (LAPORAN KEUANGAN)'!E46</f>
        <v>0</v>
      </c>
      <c r="G99" s="1483">
        <f t="shared" si="9"/>
        <v>0</v>
      </c>
      <c r="H99" s="3260">
        <f t="shared" si="10"/>
        <v>0</v>
      </c>
      <c r="I99" s="3260"/>
      <c r="J99" s="3260"/>
      <c r="K99" s="3269">
        <f>IFERROR((F99/F104),0)</f>
        <v>0</v>
      </c>
      <c r="L99" s="3269"/>
      <c r="M99" s="3270"/>
      <c r="N99" s="398"/>
      <c r="O99" s="398"/>
      <c r="P99" s="398"/>
      <c r="Q99" s="398"/>
      <c r="R99" s="398"/>
      <c r="S99" s="398"/>
      <c r="T99" s="89"/>
      <c r="U99" s="89"/>
      <c r="V99" s="89"/>
      <c r="W99" s="89"/>
      <c r="X99" s="89"/>
      <c r="Y99" s="89"/>
      <c r="AA99" s="2148"/>
    </row>
    <row r="100" spans="1:27" s="33" customFormat="1" ht="13.5" customHeight="1" x14ac:dyDescent="0.25">
      <c r="A100" s="2169"/>
      <c r="B100" s="3265" t="s">
        <v>554</v>
      </c>
      <c r="C100" s="3130"/>
      <c r="D100" s="684">
        <f>'CEKLIST 003 (LAPORAN KEUANGAN)'!C47</f>
        <v>3382788636</v>
      </c>
      <c r="E100" s="684">
        <f>'CEKLIST 003 (LAPORAN KEUANGAN)'!D47</f>
        <v>3913644260</v>
      </c>
      <c r="F100" s="684">
        <f>'CEKLIST 003 (LAPORAN KEUANGAN)'!E47</f>
        <v>3913644260</v>
      </c>
      <c r="G100" s="1483">
        <f t="shared" si="9"/>
        <v>0.1569284046749411</v>
      </c>
      <c r="H100" s="3260">
        <f t="shared" si="10"/>
        <v>0</v>
      </c>
      <c r="I100" s="3260"/>
      <c r="J100" s="3260"/>
      <c r="K100" s="3269">
        <f>IFERROR((F100/F104),0)</f>
        <v>0.11327819718960619</v>
      </c>
      <c r="L100" s="3269"/>
      <c r="M100" s="3270"/>
      <c r="N100" s="398"/>
      <c r="O100" s="398"/>
      <c r="P100" s="398"/>
      <c r="Q100" s="398"/>
      <c r="R100" s="398"/>
      <c r="S100" s="398"/>
      <c r="T100" s="89"/>
      <c r="U100" s="89"/>
      <c r="V100" s="89"/>
      <c r="W100" s="89"/>
      <c r="X100" s="89"/>
      <c r="Y100" s="89"/>
      <c r="AA100" s="2148"/>
    </row>
    <row r="101" spans="1:27" s="33" customFormat="1" ht="13.5" customHeight="1" x14ac:dyDescent="0.25">
      <c r="A101" s="2169"/>
      <c r="B101" s="3265" t="s">
        <v>555</v>
      </c>
      <c r="C101" s="3130"/>
      <c r="D101" s="684">
        <f>'CEKLIST 003 (LAPORAN KEUANGAN)'!C48</f>
        <v>3293501709</v>
      </c>
      <c r="E101" s="684">
        <f>'CEKLIST 003 (LAPORAN KEUANGAN)'!D48</f>
        <v>3824357333</v>
      </c>
      <c r="F101" s="684">
        <f>'CEKLIST 003 (LAPORAN KEUANGAN)'!E48</f>
        <v>3824357333</v>
      </c>
      <c r="G101" s="1483">
        <f t="shared" si="9"/>
        <v>0.16118273828410515</v>
      </c>
      <c r="H101" s="3260">
        <f t="shared" si="10"/>
        <v>0</v>
      </c>
      <c r="I101" s="3260"/>
      <c r="J101" s="3260"/>
      <c r="K101" s="3269">
        <f>IFERROR((F101/F104),0)</f>
        <v>0.11069383809837904</v>
      </c>
      <c r="L101" s="3269"/>
      <c r="M101" s="3270"/>
      <c r="N101" s="398"/>
      <c r="O101" s="398"/>
      <c r="P101" s="398"/>
      <c r="Q101" s="398"/>
      <c r="R101" s="398"/>
      <c r="S101" s="398"/>
      <c r="T101" s="89"/>
      <c r="U101" s="89"/>
      <c r="V101" s="89"/>
      <c r="W101" s="89"/>
      <c r="X101" s="89"/>
      <c r="Y101" s="89"/>
      <c r="AA101" s="2148"/>
    </row>
    <row r="102" spans="1:27" s="33" customFormat="1" ht="13.5" customHeight="1" x14ac:dyDescent="0.25">
      <c r="A102" s="2169"/>
      <c r="B102" s="3265" t="s">
        <v>1700</v>
      </c>
      <c r="C102" s="3130"/>
      <c r="D102" s="684">
        <f>'CEKLIST 003 (LAPORAN KEUANGAN)'!C49</f>
        <v>5308556246</v>
      </c>
      <c r="E102" s="684">
        <f>'CEKLIST 003 (LAPORAN KEUANGAN)'!D49</f>
        <v>5014328838.4399996</v>
      </c>
      <c r="F102" s="684">
        <f>'CEKLIST 003 (LAPORAN KEUANGAN)'!E49</f>
        <v>2464447093.0300002</v>
      </c>
      <c r="G102" s="1483">
        <f t="shared" si="9"/>
        <v>-5.5425127647785767E-2</v>
      </c>
      <c r="H102" s="3260">
        <f t="shared" si="10"/>
        <v>-0.50851905161514876</v>
      </c>
      <c r="I102" s="3260"/>
      <c r="J102" s="3260"/>
      <c r="K102" s="3269">
        <f>IFERROR((F102/F104),0)</f>
        <v>7.1332013136933436E-2</v>
      </c>
      <c r="L102" s="3269"/>
      <c r="M102" s="3270"/>
      <c r="N102" s="398"/>
      <c r="O102" s="398"/>
      <c r="P102" s="398"/>
      <c r="Q102" s="398"/>
      <c r="R102" s="398"/>
      <c r="S102" s="398"/>
      <c r="T102" s="89"/>
      <c r="U102" s="89"/>
      <c r="V102" s="89"/>
      <c r="W102" s="89"/>
      <c r="X102" s="89"/>
      <c r="Y102" s="89"/>
      <c r="AA102" s="2148"/>
    </row>
    <row r="103" spans="1:27" s="33" customFormat="1" ht="13.5" customHeight="1" x14ac:dyDescent="0.25">
      <c r="A103" s="2169"/>
      <c r="B103" s="3265" t="s">
        <v>66</v>
      </c>
      <c r="C103" s="3130"/>
      <c r="D103" s="684">
        <f>'CEKLIST 003 (LAPORAN KEUANGAN)'!C50</f>
        <v>0</v>
      </c>
      <c r="E103" s="684">
        <f>'CEKLIST 003 (LAPORAN KEUANGAN)'!D50</f>
        <v>0</v>
      </c>
      <c r="F103" s="684">
        <f>'CEKLIST 003 (LAPORAN KEUANGAN)'!E50</f>
        <v>4432029737.4200001</v>
      </c>
      <c r="G103" s="1483">
        <f t="shared" si="9"/>
        <v>0</v>
      </c>
      <c r="H103" s="3260">
        <f t="shared" si="10"/>
        <v>0</v>
      </c>
      <c r="I103" s="3260"/>
      <c r="J103" s="3260"/>
      <c r="K103" s="3269">
        <f>IFERROR((F103/F104),0)</f>
        <v>0.12828256867313262</v>
      </c>
      <c r="L103" s="3269"/>
      <c r="M103" s="3270"/>
      <c r="N103" s="398"/>
      <c r="O103" s="398"/>
      <c r="P103" s="398"/>
      <c r="Q103" s="398"/>
      <c r="R103" s="398"/>
      <c r="S103" s="398"/>
      <c r="T103" s="89"/>
      <c r="U103" s="89"/>
      <c r="V103" s="89"/>
      <c r="W103" s="89"/>
      <c r="X103" s="89"/>
      <c r="Y103" s="89"/>
      <c r="AA103" s="2148"/>
    </row>
    <row r="104" spans="1:27" s="33" customFormat="1" ht="13.5" customHeight="1" x14ac:dyDescent="0.25">
      <c r="A104" s="2170"/>
      <c r="B104" s="3266" t="s">
        <v>556</v>
      </c>
      <c r="C104" s="3267"/>
      <c r="D104" s="702">
        <f>SUM(D96:D103)</f>
        <v>28118397588</v>
      </c>
      <c r="E104" s="702">
        <f>SUM(E96:E103)</f>
        <v>32666815154.439999</v>
      </c>
      <c r="F104" s="702">
        <f>SUM(F96:F103)</f>
        <v>34548963146.449997</v>
      </c>
      <c r="G104" s="1481">
        <f t="shared" si="9"/>
        <v>0.16175948690550959</v>
      </c>
      <c r="H104" s="3256">
        <f t="shared" si="10"/>
        <v>5.7616513367210853E-2</v>
      </c>
      <c r="I104" s="3256"/>
      <c r="J104" s="3256"/>
      <c r="K104" s="3254">
        <f>IFERROR((F104/F104),0)</f>
        <v>1</v>
      </c>
      <c r="L104" s="3254"/>
      <c r="M104" s="3255"/>
      <c r="N104" s="398"/>
      <c r="O104" s="398"/>
      <c r="P104" s="398"/>
      <c r="Q104" s="398"/>
      <c r="R104" s="398"/>
      <c r="S104" s="398"/>
      <c r="T104" s="89"/>
      <c r="U104" s="89"/>
      <c r="V104" s="89"/>
      <c r="W104" s="89"/>
      <c r="X104" s="89"/>
      <c r="Y104" s="89"/>
      <c r="AA104" s="2148"/>
    </row>
    <row r="105" spans="1:27" s="33" customFormat="1" ht="13.5" customHeight="1" x14ac:dyDescent="0.25">
      <c r="A105" s="2169"/>
      <c r="B105" s="3265"/>
      <c r="C105" s="3130"/>
      <c r="D105" s="465">
        <f>(D104+D93+D94)-D80</f>
        <v>0</v>
      </c>
      <c r="E105" s="465">
        <f>(E104+E93+E94)-E80</f>
        <v>0</v>
      </c>
      <c r="F105" s="465">
        <f>(F104+F93+F94)-F80</f>
        <v>0</v>
      </c>
      <c r="G105" s="3259" t="s">
        <v>650</v>
      </c>
      <c r="H105" s="3259"/>
      <c r="I105" s="3259"/>
      <c r="J105" s="3259"/>
      <c r="K105" s="3297"/>
      <c r="L105" s="3297"/>
      <c r="M105" s="3298"/>
      <c r="N105" s="398"/>
      <c r="O105" s="398"/>
      <c r="P105" s="398"/>
      <c r="Q105" s="398"/>
      <c r="R105" s="398"/>
      <c r="S105" s="398"/>
      <c r="T105" s="89"/>
      <c r="U105" s="89"/>
      <c r="V105" s="89"/>
      <c r="W105" s="89"/>
      <c r="X105" s="89"/>
      <c r="Y105" s="89"/>
      <c r="AA105" s="2148"/>
    </row>
    <row r="106" spans="1:27" s="33" customFormat="1" ht="13.5" customHeight="1" thickBot="1" x14ac:dyDescent="0.3">
      <c r="A106" s="2170"/>
      <c r="B106" s="3263" t="s">
        <v>557</v>
      </c>
      <c r="C106" s="3264"/>
      <c r="D106" s="701">
        <f>SUM(D93,D104)</f>
        <v>60135319687</v>
      </c>
      <c r="E106" s="701">
        <f>SUM(E93,E104)</f>
        <v>65559734250.519997</v>
      </c>
      <c r="F106" s="701">
        <f>SUM(F93,F104)</f>
        <v>68575889091.019997</v>
      </c>
      <c r="G106" s="1481">
        <f>IFERROR(((E106-D106)/D106),0)</f>
        <v>9.0203470967705549E-2</v>
      </c>
      <c r="H106" s="3256">
        <f>IFERROR(((F106-E106)/E106),0)</f>
        <v>4.6006209069953286E-2</v>
      </c>
      <c r="I106" s="3256"/>
      <c r="J106" s="3256"/>
      <c r="K106" s="3257"/>
      <c r="L106" s="3257"/>
      <c r="M106" s="3258"/>
      <c r="N106" s="398"/>
      <c r="O106" s="398"/>
      <c r="P106" s="398"/>
      <c r="Q106" s="398"/>
      <c r="R106" s="398"/>
      <c r="S106" s="398"/>
      <c r="T106" s="89"/>
      <c r="U106" s="89"/>
      <c r="V106" s="89"/>
      <c r="W106" s="89"/>
      <c r="X106" s="89"/>
      <c r="Y106" s="89"/>
      <c r="AA106" s="2148"/>
    </row>
    <row r="107" spans="1:27" s="33" customFormat="1" ht="13.5" customHeight="1" thickTop="1" thickBot="1" x14ac:dyDescent="0.3">
      <c r="A107" s="2169"/>
      <c r="B107" s="3303"/>
      <c r="C107" s="3304"/>
      <c r="D107" s="2173">
        <f>D106-D80</f>
        <v>0</v>
      </c>
      <c r="E107" s="2173">
        <f>E106-E80</f>
        <v>0</v>
      </c>
      <c r="F107" s="2173">
        <f>F106-F80</f>
        <v>0</v>
      </c>
      <c r="G107" s="3268" t="s">
        <v>650</v>
      </c>
      <c r="H107" s="3268"/>
      <c r="I107" s="3268"/>
      <c r="J107" s="3268"/>
      <c r="K107" s="3299"/>
      <c r="L107" s="3299"/>
      <c r="M107" s="3300"/>
      <c r="N107" s="398"/>
      <c r="O107" s="398"/>
      <c r="P107" s="398"/>
      <c r="Q107" s="398"/>
      <c r="R107" s="398"/>
      <c r="S107" s="398"/>
      <c r="T107" s="89"/>
      <c r="U107" s="89"/>
      <c r="V107" s="89"/>
      <c r="W107" s="89"/>
      <c r="X107" s="89"/>
      <c r="Y107" s="89"/>
      <c r="AA107" s="2148"/>
    </row>
    <row r="108" spans="1:27" s="33" customFormat="1" ht="13.5" customHeight="1" x14ac:dyDescent="0.35">
      <c r="A108" s="2150"/>
      <c r="B108" s="138"/>
      <c r="C108" s="138"/>
      <c r="D108" s="138"/>
      <c r="E108" s="138"/>
      <c r="F108" s="138"/>
      <c r="G108" s="138"/>
      <c r="H108" s="138"/>
      <c r="I108" s="138"/>
      <c r="J108" s="138"/>
      <c r="K108" s="138"/>
      <c r="L108" s="138"/>
      <c r="M108" s="1335"/>
      <c r="N108" s="398"/>
      <c r="O108" s="398"/>
      <c r="P108" s="398"/>
      <c r="Q108" s="398"/>
      <c r="R108" s="398"/>
      <c r="S108" s="398"/>
      <c r="T108" s="89"/>
      <c r="U108" s="89"/>
      <c r="V108" s="89"/>
      <c r="W108" s="89"/>
      <c r="X108" s="89"/>
      <c r="Y108" s="89"/>
      <c r="AA108" s="2148"/>
    </row>
    <row r="109" spans="1:27" s="33" customFormat="1" ht="13.5" customHeight="1" thickBot="1" x14ac:dyDescent="0.4">
      <c r="A109" s="1468"/>
      <c r="B109" s="1468"/>
      <c r="C109" s="1457"/>
      <c r="D109" s="1457"/>
      <c r="E109" s="1457"/>
      <c r="F109" s="1457"/>
      <c r="G109" s="1457"/>
      <c r="H109" s="1457"/>
      <c r="I109" s="138"/>
      <c r="J109" s="138"/>
      <c r="K109" s="138"/>
      <c r="L109" s="138"/>
      <c r="M109" s="1335"/>
      <c r="N109" s="398"/>
      <c r="O109" s="398"/>
      <c r="P109" s="398"/>
      <c r="Q109" s="398"/>
      <c r="R109" s="398"/>
      <c r="S109" s="398"/>
      <c r="T109" s="89"/>
      <c r="U109" s="89"/>
      <c r="V109" s="89"/>
      <c r="W109" s="89"/>
      <c r="X109" s="89"/>
      <c r="Y109" s="89"/>
      <c r="AA109" s="2148"/>
    </row>
    <row r="110" spans="1:27" s="33" customFormat="1" ht="13.5" customHeight="1" x14ac:dyDescent="0.25">
      <c r="A110" s="3245" t="s">
        <v>103</v>
      </c>
      <c r="B110" s="3244" t="s">
        <v>558</v>
      </c>
      <c r="C110" s="3246"/>
      <c r="D110" s="3350">
        <f>'CEKLIST 003 (LAPORAN KEUANGAN)'!L11</f>
        <v>42735</v>
      </c>
      <c r="E110" s="3329">
        <f>'CEKLIST 003 (LAPORAN KEUANGAN)'!M11</f>
        <v>43100</v>
      </c>
      <c r="F110" s="3378">
        <f>'CEKLIST 003 (LAPORAN KEUANGAN)'!N11</f>
        <v>43281</v>
      </c>
      <c r="G110" s="3277" t="str">
        <f>'CEKLIST 003 (LAPORAN KEUANGAN)'!O11</f>
        <v xml:space="preserve">Growth       </v>
      </c>
      <c r="H110" s="3244" t="str">
        <f>'CEKLIST 003 (LAPORAN KEUANGAN)'!P11</f>
        <v xml:space="preserve">Growth       </v>
      </c>
      <c r="I110" s="3245"/>
      <c r="J110" s="3246"/>
      <c r="K110" s="3250"/>
      <c r="L110" s="3250"/>
      <c r="M110" s="3250"/>
      <c r="N110" s="398"/>
      <c r="O110" s="398"/>
      <c r="P110" s="398"/>
      <c r="Q110" s="398"/>
      <c r="R110" s="398"/>
      <c r="S110" s="398"/>
      <c r="T110" s="89"/>
      <c r="U110" s="89"/>
      <c r="V110" s="89"/>
      <c r="W110" s="89"/>
      <c r="X110" s="89"/>
      <c r="Y110" s="89"/>
      <c r="AA110" s="2148"/>
    </row>
    <row r="111" spans="1:27" s="33" customFormat="1" ht="13.5" customHeight="1" x14ac:dyDescent="0.25">
      <c r="A111" s="3248"/>
      <c r="B111" s="3247"/>
      <c r="C111" s="3249"/>
      <c r="D111" s="3351"/>
      <c r="E111" s="3330"/>
      <c r="F111" s="3379"/>
      <c r="G111" s="3278"/>
      <c r="H111" s="3247"/>
      <c r="I111" s="3248"/>
      <c r="J111" s="3249"/>
      <c r="K111" s="3250"/>
      <c r="L111" s="3250"/>
      <c r="M111" s="3250"/>
      <c r="N111" s="398"/>
      <c r="O111" s="398"/>
      <c r="P111" s="398"/>
      <c r="Q111" s="398"/>
      <c r="R111" s="398"/>
      <c r="S111" s="398"/>
      <c r="T111" s="89"/>
      <c r="U111" s="89"/>
      <c r="V111" s="89"/>
      <c r="W111" s="89"/>
      <c r="X111" s="89"/>
      <c r="Y111" s="89"/>
      <c r="AA111" s="2148"/>
    </row>
    <row r="112" spans="1:27" s="33" customFormat="1" ht="13.5" customHeight="1" thickBot="1" x14ac:dyDescent="0.3">
      <c r="A112" s="3340"/>
      <c r="B112" s="3305"/>
      <c r="C112" s="3306"/>
      <c r="D112" s="2159" t="s">
        <v>59</v>
      </c>
      <c r="E112" s="527" t="s">
        <v>60</v>
      </c>
      <c r="F112" s="2174" t="s">
        <v>640</v>
      </c>
      <c r="G112" s="2175" t="s">
        <v>994</v>
      </c>
      <c r="H112" s="3274" t="s">
        <v>995</v>
      </c>
      <c r="I112" s="3275"/>
      <c r="J112" s="3276"/>
      <c r="K112" s="1341"/>
      <c r="L112" s="1341"/>
      <c r="M112" s="1341"/>
      <c r="N112" s="398"/>
      <c r="O112" s="398"/>
      <c r="P112" s="398"/>
      <c r="Q112" s="398"/>
      <c r="R112" s="398"/>
      <c r="S112" s="398"/>
      <c r="T112" s="89"/>
      <c r="U112" s="89"/>
      <c r="V112" s="89"/>
      <c r="W112" s="89"/>
      <c r="X112" s="89"/>
      <c r="Y112" s="89"/>
      <c r="AA112" s="2148"/>
    </row>
    <row r="113" spans="1:27" s="33" customFormat="1" ht="13.5" customHeight="1" x14ac:dyDescent="0.35">
      <c r="A113" s="2176"/>
      <c r="B113" s="3301" t="s">
        <v>559</v>
      </c>
      <c r="C113" s="3302"/>
      <c r="D113" s="2177"/>
      <c r="E113" s="2178"/>
      <c r="F113" s="2179"/>
      <c r="G113" s="2180"/>
      <c r="H113" s="3251"/>
      <c r="I113" s="3252"/>
      <c r="J113" s="3253"/>
      <c r="K113" s="3243"/>
      <c r="L113" s="3243"/>
      <c r="M113" s="3243"/>
      <c r="N113" s="398"/>
      <c r="O113" s="398"/>
      <c r="P113" s="398"/>
      <c r="Q113" s="398"/>
      <c r="R113" s="398"/>
      <c r="S113" s="398"/>
      <c r="T113" s="89"/>
      <c r="U113" s="89"/>
      <c r="V113" s="89"/>
      <c r="W113" s="89"/>
      <c r="X113" s="89"/>
      <c r="Y113" s="89"/>
      <c r="AA113" s="2148"/>
    </row>
    <row r="114" spans="1:27" s="33" customFormat="1" ht="13.5" customHeight="1" x14ac:dyDescent="0.25">
      <c r="A114" s="2181" t="s">
        <v>560</v>
      </c>
      <c r="B114" s="3261" t="s">
        <v>561</v>
      </c>
      <c r="C114" s="3262"/>
      <c r="D114" s="703">
        <f>'CEKLIST 003 (LAPORAN KEUANGAN)'!L14</f>
        <v>0.25244861801989488</v>
      </c>
      <c r="E114" s="703">
        <f>'CEKLIST 003 (LAPORAN KEUANGAN)'!M14</f>
        <v>0.23965797972239317</v>
      </c>
      <c r="F114" s="704">
        <f>'CEKLIST 003 (LAPORAN KEUANGAN)'!N14</f>
        <v>0.41972357675350841</v>
      </c>
      <c r="G114" s="705">
        <f>'CEKLIST 003 (LAPORAN KEUANGAN)'!O14</f>
        <v>-5.3370383545407893E-2</v>
      </c>
      <c r="H114" s="3271">
        <f>'CEKLIST 003 (LAPORAN KEUANGAN)'!P14</f>
        <v>0.75134404971490409</v>
      </c>
      <c r="I114" s="3272"/>
      <c r="J114" s="3273"/>
      <c r="K114" s="3243"/>
      <c r="L114" s="3243"/>
      <c r="M114" s="3243"/>
      <c r="N114" s="398"/>
      <c r="O114" s="398"/>
      <c r="P114" s="398"/>
      <c r="Q114" s="398"/>
      <c r="R114" s="398"/>
      <c r="S114" s="398"/>
      <c r="T114" s="89"/>
      <c r="U114" s="89"/>
      <c r="V114" s="89"/>
      <c r="W114" s="89"/>
      <c r="X114" s="89"/>
      <c r="Y114" s="89"/>
      <c r="AA114" s="2148"/>
    </row>
    <row r="115" spans="1:27" s="33" customFormat="1" ht="13.5" customHeight="1" x14ac:dyDescent="0.25">
      <c r="A115" s="2181" t="s">
        <v>562</v>
      </c>
      <c r="B115" s="3261" t="s">
        <v>563</v>
      </c>
      <c r="C115" s="3262"/>
      <c r="D115" s="703">
        <f>'CEKLIST 003 (LAPORAN KEUANGAN)'!L15</f>
        <v>1.8163952592999686</v>
      </c>
      <c r="E115" s="703">
        <f>'CEKLIST 003 (LAPORAN KEUANGAN)'!M15</f>
        <v>1.937651623672269</v>
      </c>
      <c r="F115" s="704">
        <f>'CEKLIST 003 (LAPORAN KEUANGAN)'!N15</f>
        <v>1.9405071949755999</v>
      </c>
      <c r="G115" s="705">
        <f>'CEKLIST 003 (LAPORAN KEUANGAN)'!O15</f>
        <v>6.2579032727510281E-2</v>
      </c>
      <c r="H115" s="3271">
        <f>'CEKLIST 003 (LAPORAN KEUANGAN)'!P15</f>
        <v>1.4737279232471066E-3</v>
      </c>
      <c r="I115" s="3272"/>
      <c r="J115" s="3273"/>
      <c r="K115" s="3243"/>
      <c r="L115" s="3243"/>
      <c r="M115" s="3243"/>
      <c r="N115" s="398"/>
      <c r="O115" s="398"/>
      <c r="P115" s="398"/>
      <c r="Q115" s="398"/>
      <c r="R115" s="398"/>
      <c r="S115" s="398"/>
      <c r="T115" s="89"/>
      <c r="U115" s="89"/>
      <c r="V115" s="89"/>
      <c r="W115" s="89"/>
      <c r="X115" s="89"/>
      <c r="Y115" s="89"/>
      <c r="AA115" s="2148"/>
    </row>
    <row r="116" spans="1:27" s="33" customFormat="1" ht="13.5" customHeight="1" x14ac:dyDescent="0.25">
      <c r="A116" s="2181" t="s">
        <v>564</v>
      </c>
      <c r="B116" s="3261" t="s">
        <v>565</v>
      </c>
      <c r="C116" s="3262"/>
      <c r="D116" s="703">
        <f>'CEKLIST 003 (LAPORAN KEUANGAN)'!L16</f>
        <v>0.90615869064025045</v>
      </c>
      <c r="E116" s="703">
        <f>'CEKLIST 003 (LAPORAN KEUANGAN)'!M16</f>
        <v>0.90012782033898031</v>
      </c>
      <c r="F116" s="704">
        <f>'CEKLIST 003 (LAPORAN KEUANGAN)'!N16</f>
        <v>0.79167742091493443</v>
      </c>
      <c r="G116" s="705">
        <f>'CEKLIST 003 (LAPORAN KEUANGAN)'!O16</f>
        <v>-6.7000154478049218E-3</v>
      </c>
      <c r="H116" s="3271">
        <f>'CEKLIST 003 (LAPORAN KEUANGAN)'!P16</f>
        <v>-0.12048333244850093</v>
      </c>
      <c r="I116" s="3272"/>
      <c r="J116" s="3273"/>
      <c r="K116" s="3243"/>
      <c r="L116" s="3243"/>
      <c r="M116" s="3243"/>
      <c r="N116" s="398"/>
      <c r="O116" s="398"/>
      <c r="P116" s="398"/>
      <c r="Q116" s="398"/>
      <c r="R116" s="398"/>
      <c r="S116" s="398"/>
      <c r="T116" s="89"/>
      <c r="U116" s="89"/>
      <c r="V116" s="89"/>
      <c r="W116" s="89"/>
      <c r="X116" s="89"/>
      <c r="Y116" s="89"/>
      <c r="AA116" s="2148"/>
    </row>
    <row r="117" spans="1:27" s="33" customFormat="1" ht="13.5" customHeight="1" x14ac:dyDescent="0.25">
      <c r="A117" s="2181" t="s">
        <v>566</v>
      </c>
      <c r="B117" s="3261" t="s">
        <v>567</v>
      </c>
      <c r="C117" s="3262"/>
      <c r="D117" s="703">
        <f>'CEKLIST 003 (LAPORAN KEUANGAN)'!L17</f>
        <v>0.84160707646393196</v>
      </c>
      <c r="E117" s="703">
        <f>'CEKLIST 003 (LAPORAN KEUANGAN)'!M17</f>
        <v>0.84495182131401991</v>
      </c>
      <c r="F117" s="704">
        <f>'CEKLIST 003 (LAPORAN KEUANGAN)'!N17</f>
        <v>0.76073369603532248</v>
      </c>
      <c r="G117" s="705">
        <f>'CEKLIST 003 (LAPORAN KEUANGAN)'!O17</f>
        <v>3.9585036279185743E-3</v>
      </c>
      <c r="H117" s="3271">
        <f>'CEKLIST 003 (LAPORAN KEUANGAN)'!P17</f>
        <v>-9.9672103372386731E-2</v>
      </c>
      <c r="I117" s="3272"/>
      <c r="J117" s="3273"/>
      <c r="K117" s="3243"/>
      <c r="L117" s="3243"/>
      <c r="M117" s="3243"/>
      <c r="N117" s="398"/>
      <c r="O117" s="398"/>
      <c r="P117" s="398"/>
      <c r="Q117" s="398"/>
      <c r="R117" s="398"/>
      <c r="S117" s="398"/>
      <c r="T117" s="89"/>
      <c r="U117" s="89"/>
      <c r="V117" s="89"/>
      <c r="W117" s="89"/>
      <c r="X117" s="89"/>
      <c r="Y117" s="89"/>
      <c r="AA117" s="2148"/>
    </row>
    <row r="118" spans="1:27" s="33" customFormat="1" ht="13.5" customHeight="1" x14ac:dyDescent="0.25">
      <c r="A118" s="2181" t="s">
        <v>61</v>
      </c>
      <c r="B118" s="3261" t="s">
        <v>568</v>
      </c>
      <c r="C118" s="3262"/>
      <c r="D118" s="703">
        <f>'CEKLIST 003 (LAPORAN KEUANGAN)'!L18</f>
        <v>1.5807362880637654</v>
      </c>
      <c r="E118" s="703">
        <f>'CEKLIST 003 (LAPORAN KEUANGAN)'!M18</f>
        <v>1.6840954947790467</v>
      </c>
      <c r="F118" s="704">
        <f>'CEKLIST 003 (LAPORAN KEUANGAN)'!N18</f>
        <v>1.5331384813339255</v>
      </c>
      <c r="G118" s="705">
        <f>'CEKLIST 003 (LAPORAN KEUANGAN)'!O18</f>
        <v>6.137372081079169E-2</v>
      </c>
      <c r="H118" s="3271">
        <f>'CEKLIST 003 (LAPORAN KEUANGAN)'!P18</f>
        <v>-8.9636848927576285E-2</v>
      </c>
      <c r="I118" s="3272"/>
      <c r="J118" s="3273"/>
      <c r="K118" s="3243"/>
      <c r="L118" s="3243"/>
      <c r="M118" s="3243"/>
      <c r="N118" s="398"/>
      <c r="O118" s="398"/>
      <c r="P118" s="398"/>
      <c r="Q118" s="398"/>
      <c r="R118" s="398"/>
      <c r="S118" s="398"/>
      <c r="T118" s="89"/>
      <c r="U118" s="89"/>
      <c r="V118" s="89"/>
      <c r="W118" s="89"/>
      <c r="X118" s="89"/>
      <c r="Y118" s="89"/>
      <c r="AA118" s="2148"/>
    </row>
    <row r="119" spans="1:27" s="33" customFormat="1" ht="13.5" customHeight="1" x14ac:dyDescent="0.25">
      <c r="A119" s="2181" t="s">
        <v>143</v>
      </c>
      <c r="B119" s="3261" t="s">
        <v>569</v>
      </c>
      <c r="C119" s="3262"/>
      <c r="D119" s="703">
        <f>'CEKLIST 003 (LAPORAN KEUANGAN)'!L19</f>
        <v>4.3357283965395267E-2</v>
      </c>
      <c r="E119" s="703">
        <f>'CEKLIST 003 (LAPORAN KEUANGAN)'!M19</f>
        <v>4.1849620635028353E-2</v>
      </c>
      <c r="F119" s="704">
        <f>'CEKLIST 003 (LAPORAN KEUANGAN)'!N19</f>
        <v>4.6630684062551664E-2</v>
      </c>
      <c r="G119" s="705">
        <f>'CEKLIST 003 (LAPORAN KEUANGAN)'!O19</f>
        <v>-3.6025734701761944E-2</v>
      </c>
      <c r="H119" s="3271">
        <f>'CEKLIST 003 (LAPORAN KEUANGAN)'!P19</f>
        <v>0.11424388931070824</v>
      </c>
      <c r="I119" s="3272"/>
      <c r="J119" s="3273"/>
      <c r="K119" s="3243"/>
      <c r="L119" s="3243"/>
      <c r="M119" s="3243"/>
      <c r="N119" s="398"/>
      <c r="O119" s="398"/>
      <c r="P119" s="398"/>
      <c r="Q119" s="398"/>
      <c r="R119" s="398"/>
      <c r="S119" s="398"/>
      <c r="T119" s="89"/>
      <c r="U119" s="89"/>
      <c r="V119" s="89"/>
      <c r="W119" s="89"/>
      <c r="X119" s="89"/>
      <c r="Y119" s="89"/>
      <c r="AA119" s="2148"/>
    </row>
    <row r="120" spans="1:27" s="33" customFormat="1" ht="13.5" customHeight="1" x14ac:dyDescent="0.35">
      <c r="A120" s="2182"/>
      <c r="B120" s="3279" t="s">
        <v>570</v>
      </c>
      <c r="C120" s="3280"/>
      <c r="D120" s="703"/>
      <c r="E120" s="706"/>
      <c r="F120" s="707"/>
      <c r="G120" s="705"/>
      <c r="H120" s="3271"/>
      <c r="I120" s="3272"/>
      <c r="J120" s="3273"/>
      <c r="K120" s="3243"/>
      <c r="L120" s="3243"/>
      <c r="M120" s="3243"/>
      <c r="N120" s="398"/>
      <c r="O120" s="398"/>
      <c r="P120" s="398"/>
      <c r="Q120" s="398"/>
      <c r="R120" s="398"/>
      <c r="S120" s="398"/>
      <c r="T120" s="89"/>
      <c r="U120" s="89"/>
      <c r="V120" s="89"/>
      <c r="W120" s="89"/>
      <c r="X120" s="89"/>
      <c r="Y120" s="89"/>
      <c r="AA120" s="2148"/>
    </row>
    <row r="121" spans="1:27" s="33" customFormat="1" ht="13.5" customHeight="1" x14ac:dyDescent="0.25">
      <c r="A121" s="2181" t="s">
        <v>145</v>
      </c>
      <c r="B121" s="3261" t="s">
        <v>571</v>
      </c>
      <c r="C121" s="3262"/>
      <c r="D121" s="703">
        <f>'CEKLIST 003 (LAPORAN KEUANGAN)'!L21</f>
        <v>0.47521174755009782</v>
      </c>
      <c r="E121" s="703">
        <f>'CEKLIST 003 (LAPORAN KEUANGAN)'!M21</f>
        <v>0.51727403949653283</v>
      </c>
      <c r="F121" s="704">
        <f>'CEKLIST 003 (LAPORAN KEUANGAN)'!N21</f>
        <v>0.5835159746465115</v>
      </c>
      <c r="G121" s="705">
        <f>'CEKLIST 003 (LAPORAN KEUANGAN)'!O21</f>
        <v>8.1315296602502224E-2</v>
      </c>
      <c r="H121" s="3271">
        <f>'CEKLIST 003 (LAPORAN KEUANGAN)'!P21</f>
        <v>0.12805965521573923</v>
      </c>
      <c r="I121" s="3272"/>
      <c r="J121" s="3273"/>
      <c r="K121" s="3243"/>
      <c r="L121" s="3243"/>
      <c r="M121" s="3243"/>
      <c r="N121" s="398"/>
      <c r="O121" s="398"/>
      <c r="P121" s="398"/>
      <c r="Q121" s="398"/>
      <c r="R121" s="398"/>
      <c r="S121" s="398"/>
      <c r="T121" s="89"/>
      <c r="U121" s="89"/>
      <c r="V121" s="89"/>
      <c r="W121" s="89"/>
      <c r="X121" s="89"/>
      <c r="Y121" s="89"/>
      <c r="AA121" s="2148"/>
    </row>
    <row r="122" spans="1:27" s="33" customFormat="1" ht="13.5" customHeight="1" x14ac:dyDescent="0.25">
      <c r="A122" s="2181" t="s">
        <v>572</v>
      </c>
      <c r="B122" s="3261" t="s">
        <v>573</v>
      </c>
      <c r="C122" s="3262"/>
      <c r="D122" s="703">
        <f>'CEKLIST 003 (LAPORAN KEUANGAN)'!L22</f>
        <v>0.139921046197065</v>
      </c>
      <c r="E122" s="703">
        <f>'CEKLIST 003 (LAPORAN KEUANGAN)'!M22</f>
        <v>7.9462020415964091E-2</v>
      </c>
      <c r="F122" s="704">
        <f>'CEKLIST 003 (LAPORAN KEUANGAN)'!N22</f>
        <v>8.1332602223751105E-2</v>
      </c>
      <c r="G122" s="705">
        <f>'CEKLIST 003 (LAPORAN KEUANGAN)'!O22</f>
        <v>-0.76085437375758647</v>
      </c>
      <c r="H122" s="3271">
        <f>'CEKLIST 003 (LAPORAN KEUANGAN)'!P22</f>
        <v>2.3540576969915683E-2</v>
      </c>
      <c r="I122" s="3272"/>
      <c r="J122" s="3273"/>
      <c r="K122" s="3243"/>
      <c r="L122" s="3243"/>
      <c r="M122" s="3243"/>
      <c r="N122" s="398"/>
      <c r="O122" s="398"/>
      <c r="P122" s="398"/>
      <c r="Q122" s="398"/>
      <c r="R122" s="398"/>
      <c r="S122" s="398"/>
      <c r="T122" s="89"/>
      <c r="U122" s="89"/>
      <c r="V122" s="89"/>
      <c r="W122" s="89"/>
      <c r="X122" s="89"/>
      <c r="Y122" s="89"/>
      <c r="AA122" s="2148"/>
    </row>
    <row r="123" spans="1:27" s="33" customFormat="1" ht="13.5" customHeight="1" x14ac:dyDescent="0.25">
      <c r="A123" s="2181" t="s">
        <v>574</v>
      </c>
      <c r="B123" s="3261" t="s">
        <v>575</v>
      </c>
      <c r="C123" s="3262"/>
      <c r="D123" s="703">
        <f>'CEKLIST 003 (LAPORAN KEUANGAN)'!L23</f>
        <v>1.1386467524971537</v>
      </c>
      <c r="E123" s="703">
        <f>'CEKLIST 003 (LAPORAN KEUANGAN)'!M23</f>
        <v>1.0069215177718134</v>
      </c>
      <c r="F123" s="704">
        <f>'CEKLIST 003 (LAPORAN KEUANGAN)'!N23</f>
        <v>0.98488993143825687</v>
      </c>
      <c r="G123" s="705">
        <f>'CEKLIST 003 (LAPORAN KEUANGAN)'!O23</f>
        <v>1.4727774677080276</v>
      </c>
      <c r="H123" s="3271">
        <f>'CEKLIST 003 (LAPORAN KEUANGAN)'!P23</f>
        <v>-1.5969251613531885</v>
      </c>
      <c r="I123" s="3272"/>
      <c r="J123" s="3273"/>
      <c r="K123" s="3243"/>
      <c r="L123" s="3243"/>
      <c r="M123" s="3243"/>
      <c r="N123" s="398"/>
      <c r="O123" s="398"/>
      <c r="P123" s="398"/>
      <c r="Q123" s="398"/>
      <c r="R123" s="398"/>
      <c r="S123" s="398"/>
      <c r="T123" s="89"/>
      <c r="U123" s="89"/>
      <c r="V123" s="89"/>
      <c r="W123" s="89"/>
      <c r="X123" s="89"/>
      <c r="Y123" s="89"/>
      <c r="AA123" s="2148"/>
    </row>
    <row r="124" spans="1:27" s="33" customFormat="1" ht="13.5" customHeight="1" x14ac:dyDescent="0.35">
      <c r="A124" s="2182"/>
      <c r="B124" s="3279" t="s">
        <v>576</v>
      </c>
      <c r="C124" s="3280"/>
      <c r="D124" s="703"/>
      <c r="E124" s="706"/>
      <c r="F124" s="707"/>
      <c r="G124" s="705"/>
      <c r="H124" s="3271"/>
      <c r="I124" s="3272"/>
      <c r="J124" s="3273"/>
      <c r="K124" s="3243"/>
      <c r="L124" s="3243"/>
      <c r="M124" s="3243"/>
      <c r="N124" s="398"/>
      <c r="O124" s="398"/>
      <c r="P124" s="398"/>
      <c r="Q124" s="398"/>
      <c r="R124" s="398"/>
      <c r="S124" s="398"/>
      <c r="T124" s="89"/>
      <c r="U124" s="89"/>
      <c r="V124" s="89"/>
      <c r="W124" s="89"/>
      <c r="X124" s="89"/>
      <c r="Y124" s="89"/>
      <c r="AA124" s="2148"/>
    </row>
    <row r="125" spans="1:27" s="33" customFormat="1" ht="13.5" customHeight="1" x14ac:dyDescent="0.25">
      <c r="A125" s="2181" t="s">
        <v>577</v>
      </c>
      <c r="B125" s="3261" t="s">
        <v>578</v>
      </c>
      <c r="C125" s="3262"/>
      <c r="D125" s="703">
        <f>'CEKLIST 003 (LAPORAN KEUANGAN)'!L25</f>
        <v>0.21979059779139692</v>
      </c>
      <c r="E125" s="703">
        <f>'CEKLIST 003 (LAPORAN KEUANGAN)'!M25</f>
        <v>0.2151603872826251</v>
      </c>
      <c r="F125" s="704">
        <f>'CEKLIST 003 (LAPORAN KEUANGAN)'!N25</f>
        <v>0.10812737229624191</v>
      </c>
      <c r="G125" s="705">
        <f>'CEKLIST 003 (LAPORAN KEUANGAN)'!O25</f>
        <v>-2.151980932572773E-2</v>
      </c>
      <c r="H125" s="3271">
        <f>'CEKLIST 003 (LAPORAN KEUANGAN)'!P25</f>
        <v>-0.49745688013560502</v>
      </c>
      <c r="I125" s="3272"/>
      <c r="J125" s="3273"/>
      <c r="K125" s="3243"/>
      <c r="L125" s="3243"/>
      <c r="M125" s="3243"/>
      <c r="N125" s="398"/>
      <c r="O125" s="398"/>
      <c r="P125" s="398"/>
      <c r="Q125" s="398"/>
      <c r="R125" s="398"/>
      <c r="S125" s="398"/>
      <c r="T125" s="89"/>
      <c r="U125" s="89"/>
      <c r="V125" s="89"/>
      <c r="W125" s="89"/>
      <c r="X125" s="89"/>
      <c r="Y125" s="89"/>
      <c r="AA125" s="2148"/>
    </row>
    <row r="126" spans="1:27" s="33" customFormat="1" ht="13.5" customHeight="1" x14ac:dyDescent="0.25">
      <c r="A126" s="2181" t="s">
        <v>579</v>
      </c>
      <c r="B126" s="3261" t="s">
        <v>580</v>
      </c>
      <c r="C126" s="3262"/>
      <c r="D126" s="703">
        <f>'CEKLIST 003 (LAPORAN KEUANGAN)'!L26</f>
        <v>0.13158196611093417</v>
      </c>
      <c r="E126" s="703">
        <f>'CEKLIST 003 (LAPORAN KEUANGAN)'!M26</f>
        <v>0.11096678004096741</v>
      </c>
      <c r="F126" s="704">
        <f>'CEKLIST 003 (LAPORAN KEUANGAN)'!N26</f>
        <v>4.4308090235220053E-2</v>
      </c>
      <c r="G126" s="705">
        <f>'CEKLIST 003 (LAPORAN KEUANGAN)'!O26</f>
        <v>-0.18577799646304885</v>
      </c>
      <c r="H126" s="3271">
        <f>'CEKLIST 003 (LAPORAN KEUANGAN)'!P26</f>
        <v>-0.6007085163788467</v>
      </c>
      <c r="I126" s="3272"/>
      <c r="J126" s="3273"/>
      <c r="K126" s="3243"/>
      <c r="L126" s="3243"/>
      <c r="M126" s="3243"/>
      <c r="N126" s="398"/>
      <c r="O126" s="398"/>
      <c r="P126" s="398"/>
      <c r="Q126" s="398"/>
      <c r="R126" s="398"/>
      <c r="S126" s="398"/>
      <c r="T126" s="89"/>
      <c r="U126" s="89"/>
      <c r="V126" s="89"/>
      <c r="W126" s="89"/>
      <c r="X126" s="89"/>
      <c r="Y126" s="89"/>
      <c r="AA126" s="2148"/>
    </row>
    <row r="127" spans="1:27" s="33" customFormat="1" ht="13.5" customHeight="1" thickBot="1" x14ac:dyDescent="0.3">
      <c r="A127" s="2183" t="s">
        <v>149</v>
      </c>
      <c r="B127" s="3290" t="s">
        <v>581</v>
      </c>
      <c r="C127" s="3291"/>
      <c r="D127" s="708">
        <f>'CEKLIST 003 (LAPORAN KEUANGAN)'!L27</f>
        <v>3.2359686054148816E-2</v>
      </c>
      <c r="E127" s="708">
        <f>'CEKLIST 003 (LAPORAN KEUANGAN)'!M27</f>
        <v>2.8033327647019129E-2</v>
      </c>
      <c r="F127" s="709">
        <f>'CEKLIST 003 (LAPORAN KEUANGAN)'!N27</f>
        <v>1.1873597427415847E-2</v>
      </c>
      <c r="G127" s="710">
        <f>'CEKLIST 003 (LAPORAN KEUANGAN)'!O27</f>
        <v>-0.15432910646944625</v>
      </c>
      <c r="H127" s="3281">
        <f>'CEKLIST 003 (LAPORAN KEUANGAN)'!P27</f>
        <v>-0.57644709265621552</v>
      </c>
      <c r="I127" s="3282"/>
      <c r="J127" s="3283"/>
      <c r="K127" s="3243"/>
      <c r="L127" s="3243"/>
      <c r="M127" s="3243"/>
      <c r="N127" s="398"/>
      <c r="O127" s="398"/>
      <c r="P127" s="398"/>
      <c r="Q127" s="398"/>
      <c r="R127" s="398"/>
      <c r="S127" s="398"/>
      <c r="T127" s="89"/>
      <c r="U127" s="89"/>
      <c r="V127" s="89"/>
      <c r="W127" s="89"/>
      <c r="X127" s="89"/>
      <c r="Y127" s="89"/>
      <c r="AA127" s="2148"/>
    </row>
    <row r="128" spans="1:27" s="33" customFormat="1" ht="13.5" customHeight="1" thickBot="1" x14ac:dyDescent="0.4">
      <c r="A128" s="2150"/>
      <c r="B128" s="138"/>
      <c r="C128" s="2184"/>
      <c r="D128" s="711"/>
      <c r="E128" s="711"/>
      <c r="F128" s="711"/>
      <c r="G128" s="712"/>
      <c r="H128" s="3284"/>
      <c r="I128" s="3285"/>
      <c r="J128" s="3286"/>
      <c r="K128" s="3243"/>
      <c r="L128" s="3243"/>
      <c r="M128" s="3243"/>
      <c r="N128" s="398"/>
      <c r="O128" s="398"/>
      <c r="P128" s="398"/>
      <c r="Q128" s="398"/>
      <c r="R128" s="398"/>
      <c r="S128" s="398"/>
      <c r="T128" s="89"/>
      <c r="U128" s="89"/>
      <c r="V128" s="89"/>
      <c r="W128" s="89"/>
      <c r="X128" s="89"/>
      <c r="Y128" s="89"/>
      <c r="AA128" s="2148"/>
    </row>
    <row r="129" spans="1:27" s="33" customFormat="1" ht="13.5" customHeight="1" x14ac:dyDescent="0.35">
      <c r="A129" s="2185"/>
      <c r="B129" s="3292"/>
      <c r="C129" s="3293"/>
      <c r="D129" s="713"/>
      <c r="E129" s="714"/>
      <c r="F129" s="715"/>
      <c r="G129" s="716"/>
      <c r="H129" s="3287"/>
      <c r="I129" s="3288"/>
      <c r="J129" s="3289"/>
      <c r="K129" s="3243"/>
      <c r="L129" s="3243"/>
      <c r="M129" s="3243"/>
      <c r="N129" s="398"/>
      <c r="O129" s="398"/>
      <c r="P129" s="398"/>
      <c r="Q129" s="398"/>
      <c r="R129" s="398"/>
      <c r="S129" s="398"/>
      <c r="T129" s="89"/>
      <c r="U129" s="89"/>
      <c r="V129" s="89"/>
      <c r="W129" s="89"/>
      <c r="X129" s="89"/>
      <c r="Y129" s="89"/>
      <c r="AA129" s="2148"/>
    </row>
    <row r="130" spans="1:27" s="33" customFormat="1" ht="13.5" customHeight="1" x14ac:dyDescent="0.35">
      <c r="A130" s="2185"/>
      <c r="B130" s="3261" t="s">
        <v>301</v>
      </c>
      <c r="C130" s="3262"/>
      <c r="D130" s="717">
        <f>'CEKLIST 003 (LAPORAN KEUANGAN)'!L30</f>
        <v>0.51340196892361489</v>
      </c>
      <c r="E130" s="703">
        <f>'CEKLIST 003 (LAPORAN KEUANGAN)'!M30</f>
        <v>0.56374702821365663</v>
      </c>
      <c r="F130" s="704">
        <f>'CEKLIST 003 (LAPORAN KEUANGAN)'!N30</f>
        <v>0.57255173506880719</v>
      </c>
      <c r="G130" s="705">
        <f>'CEKLIST 003 (LAPORAN KEUANGAN)'!O30</f>
        <v>2.7356419451567948</v>
      </c>
      <c r="H130" s="3271">
        <f>'CEKLIST 003 (LAPORAN KEUANGAN)'!P30</f>
        <v>1.5618187616970688E-2</v>
      </c>
      <c r="I130" s="3272"/>
      <c r="J130" s="3273"/>
      <c r="K130" s="3243"/>
      <c r="L130" s="3243"/>
      <c r="M130" s="3243"/>
      <c r="N130" s="398"/>
      <c r="O130" s="398"/>
      <c r="P130" s="398"/>
      <c r="Q130" s="398"/>
      <c r="R130" s="398"/>
      <c r="S130" s="398"/>
      <c r="T130" s="89"/>
      <c r="U130" s="89"/>
      <c r="V130" s="89"/>
      <c r="W130" s="89"/>
      <c r="X130" s="89"/>
      <c r="Y130" s="89"/>
      <c r="AA130" s="2148"/>
    </row>
    <row r="131" spans="1:27" s="33" customFormat="1" ht="13.5" customHeight="1" x14ac:dyDescent="0.35">
      <c r="A131" s="2185"/>
      <c r="B131" s="3261" t="s">
        <v>582</v>
      </c>
      <c r="C131" s="3262"/>
      <c r="D131" s="717">
        <f>'CEKLIST 003 (LAPORAN KEUANGAN)'!L31</f>
        <v>0.46758540129751086</v>
      </c>
      <c r="E131" s="703">
        <f>'CEKLIST 003 (LAPORAN KEUANGAN)'!M31</f>
        <v>0.49827558833005642</v>
      </c>
      <c r="F131" s="704">
        <f>'CEKLIST 003 (LAPORAN KEUANGAN)'!N31</f>
        <v>0.50380627366848352</v>
      </c>
      <c r="G131" s="705">
        <f>'CEKLIST 003 (LAPORAN KEUANGAN)'!O31</f>
        <v>6.1592796740057153E-2</v>
      </c>
      <c r="H131" s="3271">
        <f>'CEKLIST 003 (LAPORAN KEUANGAN)'!P31</f>
        <v>1.1099651413714429E-2</v>
      </c>
      <c r="I131" s="3272"/>
      <c r="J131" s="3273"/>
      <c r="K131" s="3243"/>
      <c r="L131" s="3243"/>
      <c r="M131" s="3243"/>
      <c r="N131" s="398"/>
      <c r="O131" s="398"/>
      <c r="P131" s="398"/>
      <c r="Q131" s="398"/>
      <c r="R131" s="398"/>
      <c r="S131" s="398"/>
      <c r="T131" s="89"/>
      <c r="U131" s="89"/>
      <c r="V131" s="89"/>
      <c r="W131" s="89"/>
      <c r="X131" s="89"/>
      <c r="Y131" s="89"/>
      <c r="AA131" s="2148"/>
    </row>
    <row r="132" spans="1:27" s="33" customFormat="1" ht="13.5" customHeight="1" x14ac:dyDescent="0.35">
      <c r="A132" s="2185"/>
      <c r="B132" s="3261" t="s">
        <v>1706</v>
      </c>
      <c r="C132" s="3262"/>
      <c r="D132" s="717">
        <f>'CEKLIST 003 (LAPORAN KEUANGAN)'!L32</f>
        <v>0.1048908055235161</v>
      </c>
      <c r="E132" s="703">
        <f>'CEKLIST 003 (LAPORAN KEUANGAN)'!M32</f>
        <v>9.0519819771717233E-2</v>
      </c>
      <c r="F132" s="704">
        <f>'CEKLIST 003 (LAPORAN KEUANGAN)'!N32</f>
        <v>4.7240599330729653E-2</v>
      </c>
      <c r="G132" s="705">
        <f>'CEKLIST 003 (LAPORAN KEUANGAN)'!O32</f>
        <v>-0.15876065361200656</v>
      </c>
      <c r="H132" s="3271">
        <f>'CEKLIST 003 (LAPORAN KEUANGAN)'!P32</f>
        <v>-0.47811872085178519</v>
      </c>
      <c r="I132" s="3272"/>
      <c r="J132" s="3273"/>
      <c r="K132" s="3243"/>
      <c r="L132" s="3243"/>
      <c r="M132" s="3243"/>
      <c r="N132" s="398"/>
      <c r="O132" s="398"/>
      <c r="P132" s="398"/>
      <c r="Q132" s="398"/>
      <c r="R132" s="398"/>
      <c r="S132" s="398"/>
      <c r="T132" s="89"/>
      <c r="U132" s="89"/>
      <c r="V132" s="89"/>
      <c r="W132" s="89"/>
      <c r="X132" s="89"/>
      <c r="Y132" s="89"/>
      <c r="AA132" s="2148"/>
    </row>
    <row r="133" spans="1:27" s="33" customFormat="1" ht="13.5" customHeight="1" x14ac:dyDescent="0.35">
      <c r="A133" s="2185"/>
      <c r="B133" s="3279" t="s">
        <v>584</v>
      </c>
      <c r="C133" s="3280"/>
      <c r="D133" s="717"/>
      <c r="E133" s="703"/>
      <c r="F133" s="704"/>
      <c r="G133" s="705"/>
      <c r="H133" s="3271"/>
      <c r="I133" s="3272"/>
      <c r="J133" s="3273"/>
      <c r="K133" s="3243"/>
      <c r="L133" s="3243"/>
      <c r="M133" s="3243"/>
      <c r="N133" s="398"/>
      <c r="O133" s="398"/>
      <c r="P133" s="398"/>
      <c r="Q133" s="398"/>
      <c r="R133" s="398"/>
      <c r="S133" s="398"/>
      <c r="T133" s="89"/>
      <c r="U133" s="89"/>
      <c r="V133" s="89"/>
      <c r="W133" s="89"/>
      <c r="X133" s="89"/>
      <c r="Y133" s="89"/>
      <c r="AA133" s="2148"/>
    </row>
    <row r="134" spans="1:27" s="33" customFormat="1" ht="13.5" customHeight="1" x14ac:dyDescent="0.35">
      <c r="A134" s="2185"/>
      <c r="B134" s="3261" t="s">
        <v>585</v>
      </c>
      <c r="C134" s="3262"/>
      <c r="D134" s="717">
        <f>'CEKLIST 003 (LAPORAN KEUANGAN)'!L34</f>
        <v>1</v>
      </c>
      <c r="E134" s="703">
        <f>'CEKLIST 003 (LAPORAN KEUANGAN)'!M34</f>
        <v>1</v>
      </c>
      <c r="F134" s="704">
        <f>'CEKLIST 003 (LAPORAN KEUANGAN)'!N34</f>
        <v>1</v>
      </c>
      <c r="G134" s="705">
        <f>'CEKLIST 003 (LAPORAN KEUANGAN)'!O34</f>
        <v>0</v>
      </c>
      <c r="H134" s="3271">
        <f>'CEKLIST 003 (LAPORAN KEUANGAN)'!P34</f>
        <v>0</v>
      </c>
      <c r="I134" s="3272"/>
      <c r="J134" s="3273"/>
      <c r="K134" s="3243"/>
      <c r="L134" s="3243"/>
      <c r="M134" s="3243"/>
      <c r="N134" s="398"/>
      <c r="O134" s="398"/>
      <c r="P134" s="398"/>
      <c r="Q134" s="398"/>
      <c r="R134" s="398"/>
      <c r="S134" s="398"/>
      <c r="T134" s="89"/>
      <c r="U134" s="89"/>
      <c r="V134" s="89"/>
      <c r="W134" s="89"/>
      <c r="X134" s="89"/>
      <c r="Y134" s="89"/>
      <c r="AA134" s="2148"/>
    </row>
    <row r="135" spans="1:27" s="33" customFormat="1" ht="13.5" customHeight="1" x14ac:dyDescent="0.35">
      <c r="A135" s="2185"/>
      <c r="B135" s="3261" t="s">
        <v>586</v>
      </c>
      <c r="C135" s="3262"/>
      <c r="D135" s="717">
        <f>'CEKLIST 003 (LAPORAN KEUANGAN)'!L35</f>
        <v>0</v>
      </c>
      <c r="E135" s="703">
        <f>'CEKLIST 003 (LAPORAN KEUANGAN)'!M35</f>
        <v>0</v>
      </c>
      <c r="F135" s="704">
        <f>'CEKLIST 003 (LAPORAN KEUANGAN)'!N35</f>
        <v>7.5421772402048975E-2</v>
      </c>
      <c r="G135" s="705">
        <f>'CEKLIST 003 (LAPORAN KEUANGAN)'!O35</f>
        <v>0</v>
      </c>
      <c r="H135" s="3271">
        <f>'CEKLIST 003 (LAPORAN KEUANGAN)'!P35</f>
        <v>0</v>
      </c>
      <c r="I135" s="3272"/>
      <c r="J135" s="3273"/>
      <c r="K135" s="3243"/>
      <c r="L135" s="3243"/>
      <c r="M135" s="3243"/>
      <c r="N135" s="398"/>
      <c r="O135" s="398"/>
      <c r="P135" s="398"/>
      <c r="Q135" s="398"/>
      <c r="R135" s="398"/>
      <c r="S135" s="398"/>
      <c r="T135" s="89"/>
      <c r="U135" s="89"/>
      <c r="V135" s="89"/>
      <c r="W135" s="89"/>
      <c r="X135" s="89"/>
      <c r="Y135" s="89"/>
      <c r="AA135" s="2148"/>
    </row>
    <row r="136" spans="1:27" s="33" customFormat="1" ht="13.5" customHeight="1" x14ac:dyDescent="0.35">
      <c r="A136" s="2185"/>
      <c r="B136" s="3261" t="s">
        <v>587</v>
      </c>
      <c r="C136" s="3262"/>
      <c r="D136" s="717">
        <f>'CEKLIST 003 (LAPORAN KEUANGAN)'!L36</f>
        <v>0.139921046197065</v>
      </c>
      <c r="E136" s="703">
        <f>'CEKLIST 003 (LAPORAN KEUANGAN)'!M36</f>
        <v>7.9462020415964091E-2</v>
      </c>
      <c r="F136" s="704">
        <f>'CEKLIST 003 (LAPORAN KEUANGAN)'!N36</f>
        <v>8.1332602223751105E-2</v>
      </c>
      <c r="G136" s="705">
        <f>'CEKLIST 003 (LAPORAN KEUANGAN)'!O36</f>
        <v>-0.76085437375758647</v>
      </c>
      <c r="H136" s="3271">
        <f>'CEKLIST 003 (LAPORAN KEUANGAN)'!P36</f>
        <v>2.3540576969915683E-2</v>
      </c>
      <c r="I136" s="3272"/>
      <c r="J136" s="3273"/>
      <c r="K136" s="3243"/>
      <c r="L136" s="3243"/>
      <c r="M136" s="3243"/>
      <c r="N136" s="398"/>
      <c r="O136" s="398"/>
      <c r="P136" s="398"/>
      <c r="Q136" s="398"/>
      <c r="R136" s="398"/>
      <c r="S136" s="398"/>
      <c r="T136" s="89"/>
      <c r="U136" s="89"/>
      <c r="V136" s="89"/>
      <c r="W136" s="89"/>
      <c r="X136" s="89"/>
      <c r="Y136" s="89"/>
      <c r="AA136" s="2148"/>
    </row>
    <row r="137" spans="1:27" s="33" customFormat="1" ht="13.5" customHeight="1" thickBot="1" x14ac:dyDescent="0.4">
      <c r="A137" s="2185"/>
      <c r="B137" s="3290" t="s">
        <v>588</v>
      </c>
      <c r="C137" s="3291"/>
      <c r="D137" s="718">
        <f>'CEKLIST 003 (LAPORAN KEUANGAN)'!L37</f>
        <v>0.46758540129751086</v>
      </c>
      <c r="E137" s="708">
        <f>'CEKLIST 003 (LAPORAN KEUANGAN)'!M37</f>
        <v>0.49827558833005642</v>
      </c>
      <c r="F137" s="709">
        <f>'CEKLIST 003 (LAPORAN KEUANGAN)'!N37</f>
        <v>0.50380627366848352</v>
      </c>
      <c r="G137" s="710">
        <f>'CEKLIST 003 (LAPORAN KEUANGAN)'!O37</f>
        <v>6.1592796740057153E-2</v>
      </c>
      <c r="H137" s="3281">
        <f>'CEKLIST 003 (LAPORAN KEUANGAN)'!P37</f>
        <v>1.1099651413714429E-2</v>
      </c>
      <c r="I137" s="3282"/>
      <c r="J137" s="3283"/>
      <c r="K137" s="3243"/>
      <c r="L137" s="3243"/>
      <c r="M137" s="3243"/>
      <c r="N137" s="398"/>
      <c r="O137" s="398"/>
      <c r="P137" s="398"/>
      <c r="Q137" s="398"/>
      <c r="R137" s="398"/>
      <c r="S137" s="398"/>
      <c r="T137" s="89"/>
      <c r="U137" s="89"/>
      <c r="V137" s="89"/>
      <c r="W137" s="89"/>
      <c r="X137" s="89"/>
      <c r="Y137" s="89"/>
      <c r="AA137" s="2148"/>
    </row>
    <row r="138" spans="1:27" s="33" customFormat="1" ht="13.5" customHeight="1" x14ac:dyDescent="0.35">
      <c r="A138" s="2185"/>
      <c r="B138" s="601"/>
      <c r="C138" s="2184"/>
      <c r="D138" s="2186"/>
      <c r="E138" s="2186"/>
      <c r="F138" s="2186"/>
      <c r="G138" s="2187"/>
      <c r="H138" s="2188"/>
      <c r="I138" s="2189"/>
      <c r="J138" s="2184"/>
      <c r="K138" s="2184"/>
      <c r="L138" s="2184"/>
      <c r="M138" s="1335"/>
      <c r="N138" s="398"/>
      <c r="O138" s="398"/>
      <c r="P138" s="398"/>
      <c r="Q138" s="398"/>
      <c r="R138" s="398"/>
      <c r="S138" s="398"/>
      <c r="T138" s="89"/>
      <c r="U138" s="89"/>
      <c r="V138" s="89"/>
      <c r="W138" s="89"/>
      <c r="X138" s="89"/>
      <c r="Y138" s="89"/>
      <c r="AA138" s="2148"/>
    </row>
    <row r="139" spans="1:27" s="33" customFormat="1" ht="13.5" customHeight="1" x14ac:dyDescent="0.35">
      <c r="A139" s="2185"/>
      <c r="B139" s="601"/>
      <c r="C139" s="1468"/>
      <c r="D139" s="2190"/>
      <c r="E139" s="2191"/>
      <c r="F139" s="2192"/>
      <c r="G139" s="2192"/>
      <c r="H139" s="2192"/>
      <c r="I139" s="1468"/>
      <c r="J139" s="1468"/>
      <c r="K139" s="1468"/>
      <c r="L139" s="2184"/>
      <c r="M139" s="1335"/>
      <c r="N139" s="398"/>
      <c r="O139" s="398"/>
      <c r="P139" s="398"/>
      <c r="Q139" s="398"/>
      <c r="R139" s="398"/>
      <c r="S139" s="398"/>
      <c r="T139" s="89"/>
      <c r="U139" s="89"/>
      <c r="V139" s="89"/>
      <c r="W139" s="89"/>
      <c r="X139" s="89"/>
      <c r="Y139" s="89"/>
      <c r="AA139" s="2148"/>
    </row>
    <row r="140" spans="1:27" s="18" customFormat="1" ht="24" customHeight="1" thickBot="1" x14ac:dyDescent="0.4">
      <c r="A140" s="2150"/>
      <c r="B140" s="138"/>
      <c r="C140" s="138"/>
      <c r="D140" s="138"/>
      <c r="E140" s="138"/>
      <c r="F140" s="138"/>
      <c r="G140" s="138"/>
      <c r="H140" s="138"/>
      <c r="I140" s="138"/>
      <c r="J140" s="138"/>
      <c r="K140" s="138"/>
      <c r="L140" s="138"/>
      <c r="M140" s="138"/>
      <c r="N140" s="132"/>
      <c r="O140" s="132"/>
      <c r="P140" s="132"/>
      <c r="Q140" s="132"/>
      <c r="R140" s="132"/>
      <c r="S140" s="2109"/>
      <c r="T140" s="92"/>
      <c r="U140" s="92"/>
      <c r="V140" s="92"/>
      <c r="W140" s="92"/>
      <c r="X140" s="92"/>
      <c r="Y140" s="92"/>
      <c r="AA140" s="2145"/>
    </row>
    <row r="141" spans="1:27" s="18" customFormat="1" ht="15.75" customHeight="1" thickBot="1" x14ac:dyDescent="0.4">
      <c r="A141" s="2193" t="s">
        <v>68</v>
      </c>
      <c r="B141" s="2194"/>
      <c r="C141" s="2194"/>
      <c r="D141" s="2194"/>
      <c r="E141" s="2194"/>
      <c r="F141" s="2194"/>
      <c r="G141" s="2194"/>
      <c r="H141" s="2194"/>
      <c r="I141" s="2194"/>
      <c r="J141" s="2194"/>
      <c r="K141" s="2194"/>
      <c r="L141" s="2194"/>
      <c r="M141" s="2195"/>
      <c r="N141" s="132"/>
      <c r="O141" s="132"/>
      <c r="P141" s="132"/>
      <c r="Q141" s="132"/>
      <c r="R141" s="132"/>
      <c r="S141" s="2109"/>
      <c r="T141" s="92"/>
      <c r="U141" s="92"/>
      <c r="V141" s="92"/>
      <c r="W141" s="92"/>
      <c r="X141" s="92"/>
      <c r="Y141" s="92"/>
      <c r="AA141" s="2145"/>
    </row>
    <row r="142" spans="1:27" s="18" customFormat="1" ht="15" customHeight="1" x14ac:dyDescent="0.35">
      <c r="A142" s="2196"/>
      <c r="B142" s="2197"/>
      <c r="C142" s="2197"/>
      <c r="D142" s="2197"/>
      <c r="E142" s="2197"/>
      <c r="F142" s="2197"/>
      <c r="G142" s="2197"/>
      <c r="H142" s="2197"/>
      <c r="I142" s="2197"/>
      <c r="J142" s="2197"/>
      <c r="K142" s="2197"/>
      <c r="L142" s="601"/>
      <c r="M142" s="2198"/>
      <c r="N142" s="132"/>
      <c r="O142" s="132"/>
      <c r="P142" s="132"/>
      <c r="Q142" s="132"/>
      <c r="R142" s="132"/>
      <c r="S142" s="2109"/>
      <c r="T142" s="92"/>
      <c r="U142" s="92"/>
      <c r="V142" s="92"/>
      <c r="W142" s="92"/>
      <c r="X142" s="92"/>
      <c r="Y142" s="92"/>
      <c r="AA142" s="2145"/>
    </row>
    <row r="143" spans="1:27" s="18" customFormat="1" ht="15" customHeight="1" x14ac:dyDescent="0.35">
      <c r="A143" s="2199" t="s">
        <v>69</v>
      </c>
      <c r="B143" s="2197"/>
      <c r="C143" s="2197"/>
      <c r="D143" s="2197"/>
      <c r="E143" s="2197"/>
      <c r="F143" s="2197"/>
      <c r="G143" s="2197"/>
      <c r="H143" s="2197"/>
      <c r="I143" s="2197"/>
      <c r="J143" s="2197"/>
      <c r="K143" s="2197"/>
      <c r="L143" s="601"/>
      <c r="M143" s="2198"/>
      <c r="N143" s="132"/>
      <c r="O143" s="132"/>
      <c r="P143" s="132"/>
      <c r="Q143" s="132"/>
      <c r="R143" s="132"/>
      <c r="S143" s="2109"/>
      <c r="T143" s="92"/>
      <c r="U143" s="92"/>
      <c r="V143" s="92"/>
      <c r="W143" s="92"/>
      <c r="X143" s="92"/>
      <c r="Y143" s="92"/>
      <c r="AA143" s="2145"/>
    </row>
    <row r="144" spans="1:27" s="18" customFormat="1" ht="15" customHeight="1" x14ac:dyDescent="0.35">
      <c r="A144" s="2199" t="s">
        <v>55</v>
      </c>
      <c r="B144" s="2200" t="s">
        <v>961</v>
      </c>
      <c r="C144" s="2197"/>
      <c r="D144" s="2197"/>
      <c r="E144" s="2197"/>
      <c r="F144" s="2197"/>
      <c r="G144" s="435"/>
      <c r="H144" s="435"/>
      <c r="I144" s="435"/>
      <c r="J144" s="2197"/>
      <c r="K144" s="2211"/>
      <c r="L144" s="601"/>
      <c r="M144" s="2198"/>
      <c r="N144" s="132"/>
      <c r="O144" s="132"/>
      <c r="P144" s="132"/>
      <c r="Q144" s="132"/>
      <c r="R144" s="132"/>
      <c r="S144" s="2109"/>
      <c r="T144" s="92"/>
      <c r="U144" s="92"/>
      <c r="V144" s="92"/>
      <c r="W144" s="92"/>
      <c r="X144" s="92"/>
      <c r="Y144" s="92"/>
      <c r="AA144" s="2145"/>
    </row>
    <row r="145" spans="1:27" s="18" customFormat="1" ht="15" customHeight="1" x14ac:dyDescent="0.35">
      <c r="A145" s="2196"/>
      <c r="B145" s="2201" t="s">
        <v>70</v>
      </c>
      <c r="C145" s="2197"/>
      <c r="D145" s="2197"/>
      <c r="E145" s="2489">
        <f>(F60+F61)</f>
        <v>12200101402.889999</v>
      </c>
      <c r="F145" s="2197"/>
      <c r="G145" s="435"/>
      <c r="H145" s="435"/>
      <c r="I145" s="435"/>
      <c r="J145" s="2211"/>
      <c r="K145" s="2197"/>
      <c r="L145" s="601"/>
      <c r="M145" s="2198"/>
      <c r="N145" s="132"/>
      <c r="O145" s="132"/>
      <c r="P145" s="132"/>
      <c r="Q145" s="132"/>
      <c r="R145" s="132"/>
      <c r="S145" s="2109"/>
      <c r="T145" s="92"/>
      <c r="U145" s="92"/>
      <c r="V145" s="92"/>
      <c r="W145" s="92"/>
      <c r="X145" s="92"/>
      <c r="Y145" s="92"/>
      <c r="AA145" s="2145"/>
    </row>
    <row r="146" spans="1:27" s="18" customFormat="1" ht="15" customHeight="1" x14ac:dyDescent="0.35">
      <c r="A146" s="2196"/>
      <c r="B146" s="2203" t="s">
        <v>71</v>
      </c>
      <c r="C146" s="2197"/>
      <c r="D146" s="2201" t="s">
        <v>72</v>
      </c>
      <c r="E146" s="2204" t="s">
        <v>22</v>
      </c>
      <c r="F146" s="2201" t="s">
        <v>73</v>
      </c>
      <c r="G146" s="437"/>
      <c r="H146" s="438">
        <v>180</v>
      </c>
      <c r="I146" s="437" t="s">
        <v>72</v>
      </c>
      <c r="J146" s="3417">
        <f>(+E145/E147)*H146</f>
        <v>259.42409106150768</v>
      </c>
      <c r="K146" s="3417"/>
      <c r="L146" s="3417"/>
      <c r="M146" s="3418"/>
      <c r="N146" s="132"/>
      <c r="O146" s="132"/>
      <c r="P146" s="132"/>
      <c r="Q146" s="132"/>
      <c r="R146" s="132"/>
      <c r="S146" s="2109"/>
      <c r="T146" s="92"/>
      <c r="U146" s="92"/>
      <c r="V146" s="92"/>
      <c r="W146" s="92"/>
      <c r="X146" s="92"/>
      <c r="Y146" s="92"/>
      <c r="AA146" s="2145"/>
    </row>
    <row r="147" spans="1:27" s="18" customFormat="1" ht="16.5" customHeight="1" x14ac:dyDescent="0.35">
      <c r="A147" s="2196"/>
      <c r="B147" s="2203" t="s">
        <v>501</v>
      </c>
      <c r="C147" s="2197"/>
      <c r="D147" s="2197"/>
      <c r="E147" s="2202">
        <f>(F36)</f>
        <v>8464974257.1499996</v>
      </c>
      <c r="F147" s="2197"/>
      <c r="G147" s="435"/>
      <c r="H147" s="440"/>
      <c r="I147" s="435"/>
      <c r="J147" s="2212"/>
      <c r="K147" s="2213"/>
      <c r="L147" s="2213"/>
      <c r="M147" s="2214"/>
      <c r="N147" s="132"/>
      <c r="O147" s="132"/>
      <c r="P147" s="132"/>
      <c r="Q147" s="132"/>
      <c r="R147" s="132"/>
      <c r="S147" s="2109"/>
      <c r="T147" s="92"/>
      <c r="U147" s="92"/>
      <c r="V147" s="92"/>
      <c r="W147" s="92"/>
      <c r="X147" s="92"/>
      <c r="Y147" s="92"/>
      <c r="AA147" s="2145"/>
    </row>
    <row r="148" spans="1:27" s="18" customFormat="1" ht="15" customHeight="1" x14ac:dyDescent="0.35">
      <c r="A148" s="2199" t="s">
        <v>56</v>
      </c>
      <c r="B148" s="2200" t="s">
        <v>962</v>
      </c>
      <c r="C148" s="2197"/>
      <c r="D148" s="2197"/>
      <c r="E148" s="2205"/>
      <c r="F148" s="2197"/>
      <c r="G148" s="435"/>
      <c r="H148" s="440"/>
      <c r="I148" s="435"/>
      <c r="J148" s="2212"/>
      <c r="K148" s="2213"/>
      <c r="L148" s="2213"/>
      <c r="M148" s="2214"/>
      <c r="N148" s="132"/>
      <c r="O148" s="132"/>
      <c r="P148" s="132"/>
      <c r="Q148" s="132"/>
      <c r="R148" s="132"/>
      <c r="S148" s="2109"/>
      <c r="T148" s="92"/>
      <c r="U148" s="92"/>
      <c r="V148" s="92"/>
      <c r="W148" s="92"/>
      <c r="X148" s="92"/>
      <c r="Y148" s="92"/>
      <c r="AA148" s="2145"/>
    </row>
    <row r="149" spans="1:27" s="18" customFormat="1" ht="15" customHeight="1" x14ac:dyDescent="0.35">
      <c r="A149" s="2196"/>
      <c r="B149" s="2201" t="s">
        <v>75</v>
      </c>
      <c r="C149" s="2197"/>
      <c r="D149" s="2197"/>
      <c r="E149" s="2206">
        <f>(F62)</f>
        <v>52167989567.119995</v>
      </c>
      <c r="F149" s="2197"/>
      <c r="G149" s="435"/>
      <c r="H149" s="440"/>
      <c r="I149" s="435"/>
      <c r="J149" s="2212"/>
      <c r="K149" s="2213"/>
      <c r="L149" s="2213"/>
      <c r="M149" s="2214"/>
      <c r="N149" s="132"/>
      <c r="O149" s="132"/>
      <c r="P149" s="132"/>
      <c r="Q149" s="132"/>
      <c r="R149" s="132"/>
      <c r="S149" s="2109"/>
      <c r="T149" s="92"/>
      <c r="U149" s="92"/>
      <c r="V149" s="92"/>
      <c r="W149" s="92"/>
      <c r="X149" s="92"/>
      <c r="Y149" s="92"/>
      <c r="AA149" s="2145"/>
    </row>
    <row r="150" spans="1:27" s="18" customFormat="1" ht="10.5" customHeight="1" x14ac:dyDescent="0.35">
      <c r="A150" s="2196"/>
      <c r="B150" s="2203" t="s">
        <v>76</v>
      </c>
      <c r="C150" s="2197"/>
      <c r="D150" s="2201" t="s">
        <v>72</v>
      </c>
      <c r="E150" s="2207" t="s">
        <v>22</v>
      </c>
      <c r="F150" s="2201" t="s">
        <v>73</v>
      </c>
      <c r="G150" s="437"/>
      <c r="H150" s="438">
        <v>180</v>
      </c>
      <c r="I150" s="437" t="s">
        <v>72</v>
      </c>
      <c r="J150" s="3417">
        <f>(+E149/E151)*H150</f>
        <v>1109.3049827233756</v>
      </c>
      <c r="K150" s="3417"/>
      <c r="L150" s="3417"/>
      <c r="M150" s="3418"/>
      <c r="N150" s="132"/>
      <c r="O150" s="132"/>
      <c r="P150" s="132"/>
      <c r="Q150" s="132"/>
      <c r="R150" s="132"/>
      <c r="S150" s="2109"/>
      <c r="T150" s="92"/>
      <c r="U150" s="92"/>
      <c r="V150" s="92"/>
      <c r="W150" s="92"/>
      <c r="X150" s="92"/>
      <c r="Y150" s="92"/>
      <c r="AA150" s="2145"/>
    </row>
    <row r="151" spans="1:27" s="18" customFormat="1" ht="25.5" customHeight="1" x14ac:dyDescent="0.35">
      <c r="A151" s="2196"/>
      <c r="B151" s="2203" t="s">
        <v>1709</v>
      </c>
      <c r="C151" s="2197"/>
      <c r="D151" s="2197"/>
      <c r="E151" s="2202">
        <f>F36</f>
        <v>8464974257.1499996</v>
      </c>
      <c r="F151" s="2197"/>
      <c r="G151" s="435"/>
      <c r="H151" s="440"/>
      <c r="I151" s="435"/>
      <c r="J151" s="2212"/>
      <c r="K151" s="2213"/>
      <c r="L151" s="2213"/>
      <c r="M151" s="2214"/>
      <c r="N151" s="132"/>
      <c r="O151" s="132"/>
      <c r="P151" s="132"/>
      <c r="Q151" s="132"/>
      <c r="R151" s="132"/>
      <c r="S151" s="2109"/>
      <c r="T151" s="92"/>
      <c r="U151" s="92"/>
      <c r="V151" s="92"/>
      <c r="W151" s="92"/>
      <c r="X151" s="92"/>
      <c r="Y151" s="92"/>
      <c r="AA151" s="2145"/>
    </row>
    <row r="152" spans="1:27" s="18" customFormat="1" ht="15" customHeight="1" x14ac:dyDescent="0.35">
      <c r="A152" s="2199" t="s">
        <v>57</v>
      </c>
      <c r="B152" s="2200" t="s">
        <v>502</v>
      </c>
      <c r="C152" s="2197"/>
      <c r="D152" s="2197"/>
      <c r="E152" s="2208"/>
      <c r="F152" s="2197"/>
      <c r="G152" s="435"/>
      <c r="H152" s="440"/>
      <c r="I152" s="435"/>
      <c r="J152" s="2212"/>
      <c r="K152" s="2213"/>
      <c r="L152" s="2213"/>
      <c r="M152" s="2214"/>
      <c r="N152" s="132"/>
      <c r="O152" s="132"/>
      <c r="P152" s="132"/>
      <c r="Q152" s="132"/>
      <c r="R152" s="132"/>
      <c r="S152" s="2109"/>
      <c r="T152" s="92"/>
      <c r="U152" s="92"/>
      <c r="V152" s="92"/>
      <c r="W152" s="92"/>
      <c r="X152" s="92"/>
      <c r="Y152" s="92"/>
      <c r="AA152" s="2145"/>
    </row>
    <row r="153" spans="1:27" s="18" customFormat="1" ht="15" customHeight="1" x14ac:dyDescent="0.35">
      <c r="A153" s="2196"/>
      <c r="B153" s="2201" t="s">
        <v>503</v>
      </c>
      <c r="C153" s="2197"/>
      <c r="D153" s="2197"/>
      <c r="E153" s="2523">
        <f>('CEKLIST 003 (LAPORAN KEUANGAN))'!K47+'CEKLIST 003 (LAPORAN KEUANGAN))'!K54)</f>
        <v>3840867081.04</v>
      </c>
      <c r="F153" s="2197"/>
      <c r="G153" s="435"/>
      <c r="H153" s="440"/>
      <c r="I153" s="435"/>
      <c r="J153" s="2212"/>
      <c r="K153" s="2213"/>
      <c r="L153" s="2213"/>
      <c r="M153" s="2214"/>
      <c r="N153" s="132"/>
      <c r="O153" s="132"/>
      <c r="P153" s="132"/>
      <c r="Q153" s="132"/>
      <c r="R153" s="132"/>
      <c r="S153" s="2109"/>
      <c r="T153" s="92"/>
      <c r="U153" s="92"/>
      <c r="V153" s="92"/>
      <c r="W153" s="92"/>
      <c r="X153" s="92"/>
      <c r="Y153" s="92"/>
      <c r="AA153" s="2145"/>
    </row>
    <row r="154" spans="1:27" s="18" customFormat="1" ht="15" customHeight="1" x14ac:dyDescent="0.35">
      <c r="A154" s="2196"/>
      <c r="B154" s="2203" t="s">
        <v>77</v>
      </c>
      <c r="C154" s="2197"/>
      <c r="D154" s="2201" t="s">
        <v>72</v>
      </c>
      <c r="E154" s="2207" t="s">
        <v>22</v>
      </c>
      <c r="F154" s="2201" t="s">
        <v>73</v>
      </c>
      <c r="G154" s="437"/>
      <c r="H154" s="438">
        <v>180</v>
      </c>
      <c r="I154" s="437" t="s">
        <v>72</v>
      </c>
      <c r="J154" s="3417">
        <f>(+E153/E155)*H154</f>
        <v>131.06938651095939</v>
      </c>
      <c r="K154" s="3417"/>
      <c r="L154" s="3417"/>
      <c r="M154" s="3418"/>
      <c r="N154" s="132"/>
      <c r="O154" s="132"/>
      <c r="P154" s="132"/>
      <c r="Q154" s="132"/>
      <c r="R154" s="132"/>
      <c r="S154" s="2109"/>
      <c r="T154" s="92"/>
      <c r="U154" s="92"/>
      <c r="V154" s="92"/>
      <c r="W154" s="92"/>
      <c r="X154" s="92"/>
      <c r="Y154" s="92"/>
      <c r="AA154" s="2145"/>
    </row>
    <row r="155" spans="1:27" s="18" customFormat="1" ht="15.75" customHeight="1" thickBot="1" x14ac:dyDescent="0.4">
      <c r="A155" s="2196"/>
      <c r="B155" s="2203" t="s">
        <v>1710</v>
      </c>
      <c r="C155" s="2197"/>
      <c r="D155" s="2197"/>
      <c r="E155" s="2202">
        <f>-F42</f>
        <v>5274733429.3000002</v>
      </c>
      <c r="F155" s="2197"/>
      <c r="G155" s="435"/>
      <c r="H155" s="435"/>
      <c r="I155" s="435"/>
      <c r="J155" s="2215"/>
      <c r="K155" s="2216"/>
      <c r="L155" s="2216"/>
      <c r="M155" s="2217"/>
      <c r="N155" s="132"/>
      <c r="O155" s="132"/>
      <c r="P155" s="132"/>
      <c r="Q155" s="132"/>
      <c r="R155" s="132"/>
      <c r="S155" s="2109"/>
      <c r="T155" s="92"/>
      <c r="U155" s="92"/>
      <c r="V155" s="92"/>
      <c r="W155" s="92"/>
      <c r="X155" s="92"/>
      <c r="Y155" s="92"/>
      <c r="AA155" s="2145"/>
    </row>
    <row r="156" spans="1:27" s="18" customFormat="1" ht="15" customHeight="1" x14ac:dyDescent="0.35">
      <c r="A156" s="2196"/>
      <c r="B156" s="2197"/>
      <c r="C156" s="2197"/>
      <c r="D156" s="2197"/>
      <c r="E156" s="2203"/>
      <c r="F156" s="2197"/>
      <c r="G156" s="435"/>
      <c r="H156" s="435"/>
      <c r="I156" s="435"/>
      <c r="J156" s="2212"/>
      <c r="K156" s="2213"/>
      <c r="L156" s="2213"/>
      <c r="M156" s="2214"/>
      <c r="N156" s="132"/>
      <c r="O156" s="132"/>
      <c r="P156" s="132"/>
      <c r="Q156" s="132"/>
      <c r="R156" s="132"/>
      <c r="S156" s="2109"/>
      <c r="T156" s="92"/>
      <c r="U156" s="92"/>
      <c r="V156" s="92"/>
      <c r="W156" s="92"/>
      <c r="X156" s="92"/>
      <c r="Y156" s="92"/>
      <c r="AA156" s="2145"/>
    </row>
    <row r="157" spans="1:27" s="18" customFormat="1" ht="15" customHeight="1" x14ac:dyDescent="0.35">
      <c r="A157" s="2209" t="s">
        <v>78</v>
      </c>
      <c r="B157" s="2197"/>
      <c r="C157" s="2197"/>
      <c r="D157" s="2197"/>
      <c r="E157" s="2203"/>
      <c r="F157" s="2197"/>
      <c r="G157" s="435"/>
      <c r="H157" s="440" t="s">
        <v>72</v>
      </c>
      <c r="I157" s="435"/>
      <c r="J157" s="3417">
        <f>+J146+J150+J154</f>
        <v>1499.7984602958427</v>
      </c>
      <c r="K157" s="3417"/>
      <c r="L157" s="3417"/>
      <c r="M157" s="3418"/>
      <c r="N157" s="132"/>
      <c r="O157" s="132"/>
      <c r="P157" s="132"/>
      <c r="Q157" s="132"/>
      <c r="R157" s="132"/>
      <c r="S157" s="2109"/>
      <c r="T157" s="92"/>
      <c r="U157" s="92"/>
      <c r="V157" s="92"/>
      <c r="W157" s="92"/>
      <c r="X157" s="92"/>
      <c r="Y157" s="92"/>
      <c r="AA157" s="2145"/>
    </row>
    <row r="158" spans="1:27" s="18" customFormat="1" ht="50.25" customHeight="1" x14ac:dyDescent="0.35">
      <c r="A158" s="2210"/>
      <c r="B158" s="2197"/>
      <c r="C158" s="2197"/>
      <c r="D158" s="2197"/>
      <c r="E158" s="2197"/>
      <c r="F158" s="2197"/>
      <c r="G158" s="435"/>
      <c r="H158" s="435"/>
      <c r="I158" s="435"/>
      <c r="J158" s="2218"/>
      <c r="K158" s="2219"/>
      <c r="L158" s="2219"/>
      <c r="M158" s="2220"/>
      <c r="N158" s="132"/>
      <c r="O158" s="132"/>
      <c r="P158" s="132"/>
      <c r="Q158" s="132"/>
      <c r="R158" s="132"/>
      <c r="S158" s="2109"/>
      <c r="T158" s="92"/>
      <c r="U158" s="92"/>
      <c r="V158" s="92"/>
      <c r="W158" s="92"/>
      <c r="X158" s="92"/>
      <c r="Y158" s="92"/>
      <c r="AA158" s="2145"/>
    </row>
    <row r="159" spans="1:27" s="18" customFormat="1" ht="15" customHeight="1" x14ac:dyDescent="0.35">
      <c r="A159" s="2221"/>
      <c r="B159" s="2222"/>
      <c r="C159" s="2222"/>
      <c r="D159" s="2222"/>
      <c r="E159" s="2222"/>
      <c r="F159" s="444"/>
      <c r="G159" s="444"/>
      <c r="H159" s="444"/>
      <c r="I159" s="2222"/>
      <c r="J159" s="2223"/>
      <c r="K159" s="601"/>
      <c r="L159" s="601"/>
      <c r="M159" s="2226"/>
      <c r="N159" s="132"/>
      <c r="O159" s="132"/>
      <c r="P159" s="132"/>
      <c r="Q159" s="132"/>
      <c r="R159" s="132"/>
      <c r="S159" s="2109"/>
      <c r="T159" s="92"/>
      <c r="U159" s="92"/>
      <c r="V159" s="92"/>
      <c r="W159" s="92"/>
      <c r="X159" s="92"/>
      <c r="Y159" s="92"/>
      <c r="AA159" s="2145"/>
    </row>
    <row r="160" spans="1:27" s="18" customFormat="1" ht="15" customHeight="1" x14ac:dyDescent="0.35">
      <c r="A160" s="2199" t="s">
        <v>79</v>
      </c>
      <c r="B160" s="2197"/>
      <c r="C160" s="2197"/>
      <c r="D160" s="2197"/>
      <c r="E160" s="2197"/>
      <c r="F160" s="435"/>
      <c r="G160" s="435"/>
      <c r="H160" s="435"/>
      <c r="I160" s="2197"/>
      <c r="J160" s="2197"/>
      <c r="K160" s="601"/>
      <c r="L160" s="601"/>
      <c r="M160" s="2214"/>
      <c r="N160" s="132"/>
      <c r="O160" s="132"/>
      <c r="P160" s="132"/>
      <c r="Q160" s="132"/>
      <c r="R160" s="132"/>
      <c r="S160" s="2109"/>
      <c r="T160" s="92"/>
      <c r="U160" s="92"/>
      <c r="V160" s="92"/>
      <c r="W160" s="92"/>
      <c r="X160" s="92"/>
      <c r="Y160" s="92"/>
      <c r="AA160" s="2145"/>
    </row>
    <row r="161" spans="1:27" s="18" customFormat="1" ht="15" customHeight="1" x14ac:dyDescent="0.35">
      <c r="A161" s="2196"/>
      <c r="B161" s="2197"/>
      <c r="C161" s="2201" t="s">
        <v>80</v>
      </c>
      <c r="D161" s="2197"/>
      <c r="E161" s="2197"/>
      <c r="F161" s="445">
        <v>180</v>
      </c>
      <c r="G161" s="446"/>
      <c r="H161" s="435"/>
      <c r="I161" s="2197"/>
      <c r="J161" s="2197"/>
      <c r="K161" s="601"/>
      <c r="L161" s="601"/>
      <c r="M161" s="2227"/>
      <c r="N161" s="132"/>
      <c r="O161" s="132"/>
      <c r="P161" s="132"/>
      <c r="Q161" s="132"/>
      <c r="R161" s="132"/>
      <c r="S161" s="2109"/>
      <c r="T161" s="92"/>
      <c r="U161" s="92"/>
      <c r="V161" s="92"/>
      <c r="W161" s="92"/>
      <c r="X161" s="92"/>
      <c r="Y161" s="92"/>
      <c r="AA161" s="2145"/>
    </row>
    <row r="162" spans="1:27" s="18" customFormat="1" ht="15" customHeight="1" x14ac:dyDescent="0.35">
      <c r="A162" s="2196"/>
      <c r="B162" s="2197"/>
      <c r="C162" s="2223" t="s">
        <v>22</v>
      </c>
      <c r="D162" s="2197"/>
      <c r="E162" s="2201" t="s">
        <v>72</v>
      </c>
      <c r="F162" s="447" t="s">
        <v>1761</v>
      </c>
      <c r="G162" s="447"/>
      <c r="H162" s="435"/>
      <c r="I162" s="2228" t="s">
        <v>72</v>
      </c>
      <c r="J162" s="3425">
        <f>F161/F163</f>
        <v>0.12001612534293048</v>
      </c>
      <c r="K162" s="3425"/>
      <c r="L162" s="3425"/>
      <c r="M162" s="3426"/>
      <c r="N162" s="132"/>
      <c r="O162" s="132"/>
      <c r="P162" s="132"/>
      <c r="Q162" s="132"/>
      <c r="R162" s="132"/>
      <c r="S162" s="2109"/>
      <c r="T162" s="92"/>
      <c r="U162" s="92"/>
      <c r="V162" s="92"/>
      <c r="W162" s="92"/>
      <c r="X162" s="92"/>
      <c r="Y162" s="92"/>
      <c r="AA162" s="2145"/>
    </row>
    <row r="163" spans="1:27" s="18" customFormat="1" ht="15" customHeight="1" x14ac:dyDescent="0.35">
      <c r="A163" s="2196"/>
      <c r="B163" s="2197"/>
      <c r="C163" s="2201" t="s">
        <v>81</v>
      </c>
      <c r="D163" s="2197"/>
      <c r="E163" s="2197"/>
      <c r="F163" s="2212">
        <f>+J157</f>
        <v>1499.7984602958427</v>
      </c>
      <c r="G163" s="441"/>
      <c r="H163" s="435"/>
      <c r="I163" s="2197"/>
      <c r="J163" s="2197"/>
      <c r="K163" s="601"/>
      <c r="L163" s="601"/>
      <c r="M163" s="2227"/>
      <c r="N163" s="132"/>
      <c r="O163" s="132"/>
      <c r="P163" s="132"/>
      <c r="Q163" s="132"/>
      <c r="R163" s="132"/>
      <c r="S163" s="2109"/>
      <c r="T163" s="92"/>
      <c r="U163" s="92"/>
      <c r="V163" s="92"/>
      <c r="W163" s="92"/>
      <c r="X163" s="92"/>
      <c r="Y163" s="92"/>
      <c r="AA163" s="2145"/>
    </row>
    <row r="164" spans="1:27" s="18" customFormat="1" ht="15" customHeight="1" x14ac:dyDescent="0.35">
      <c r="A164" s="2210"/>
      <c r="B164" s="2197"/>
      <c r="C164" s="2197"/>
      <c r="D164" s="2197"/>
      <c r="E164" s="2197"/>
      <c r="F164" s="2197"/>
      <c r="G164" s="435"/>
      <c r="H164" s="435"/>
      <c r="I164" s="2197"/>
      <c r="J164" s="2197"/>
      <c r="K164" s="601"/>
      <c r="L164" s="601"/>
      <c r="M164" s="2214"/>
      <c r="N164" s="132"/>
      <c r="O164" s="132"/>
      <c r="P164" s="132"/>
      <c r="Q164" s="132"/>
      <c r="R164" s="132"/>
      <c r="S164" s="2109"/>
      <c r="T164" s="92"/>
      <c r="U164" s="92"/>
      <c r="V164" s="92"/>
      <c r="W164" s="92"/>
      <c r="X164" s="92"/>
      <c r="Y164" s="92"/>
      <c r="AA164" s="2145"/>
    </row>
    <row r="165" spans="1:27" s="18" customFormat="1" ht="15" customHeight="1" x14ac:dyDescent="0.35">
      <c r="A165" s="2199" t="s">
        <v>82</v>
      </c>
      <c r="B165" s="2197"/>
      <c r="C165" s="2197"/>
      <c r="D165" s="2197"/>
      <c r="E165" s="2197"/>
      <c r="F165" s="2197"/>
      <c r="G165" s="435"/>
      <c r="H165" s="435"/>
      <c r="I165" s="2197"/>
      <c r="J165" s="2197"/>
      <c r="K165" s="601"/>
      <c r="L165" s="601"/>
      <c r="M165" s="2214"/>
      <c r="N165" s="132"/>
      <c r="O165" s="132"/>
      <c r="P165" s="132"/>
      <c r="Q165" s="132"/>
      <c r="R165" s="132"/>
      <c r="S165" s="2109"/>
      <c r="T165" s="92"/>
      <c r="U165" s="92"/>
      <c r="V165" s="92"/>
      <c r="W165" s="92"/>
      <c r="X165" s="92"/>
      <c r="Y165" s="92"/>
      <c r="AA165" s="2145"/>
    </row>
    <row r="166" spans="1:27" s="18" customFormat="1" ht="15" customHeight="1" x14ac:dyDescent="0.35">
      <c r="A166" s="2196"/>
      <c r="B166" s="2203" t="s">
        <v>55</v>
      </c>
      <c r="C166" s="2203" t="s">
        <v>83</v>
      </c>
      <c r="D166" s="2197"/>
      <c r="E166" s="2197"/>
      <c r="F166" s="2197"/>
      <c r="G166" s="435"/>
      <c r="H166" s="435"/>
      <c r="I166" s="2197"/>
      <c r="J166" s="2197"/>
      <c r="K166" s="601"/>
      <c r="L166" s="601"/>
      <c r="M166" s="2214"/>
      <c r="N166" s="132"/>
      <c r="O166" s="132"/>
      <c r="P166" s="132"/>
      <c r="Q166" s="132"/>
      <c r="R166" s="132"/>
      <c r="S166" s="2109"/>
      <c r="T166" s="92"/>
      <c r="U166" s="92"/>
      <c r="V166" s="92"/>
      <c r="W166" s="92"/>
      <c r="X166" s="92"/>
      <c r="Y166" s="92"/>
      <c r="AA166" s="2145"/>
    </row>
    <row r="167" spans="1:27" s="18" customFormat="1" ht="15" customHeight="1" x14ac:dyDescent="0.35">
      <c r="A167" s="2196"/>
      <c r="B167" s="2197"/>
      <c r="C167" s="2224" t="s">
        <v>50</v>
      </c>
      <c r="D167" s="2197"/>
      <c r="E167" s="2197"/>
      <c r="F167" s="2231">
        <f>F36</f>
        <v>8464974257.1499996</v>
      </c>
      <c r="G167" s="439"/>
      <c r="H167" s="439"/>
      <c r="I167" s="2197"/>
      <c r="J167" s="2197"/>
      <c r="K167" s="601"/>
      <c r="L167" s="601"/>
      <c r="M167" s="2229"/>
      <c r="N167" s="132"/>
      <c r="O167" s="132"/>
      <c r="P167" s="132"/>
      <c r="Q167" s="132"/>
      <c r="R167" s="132"/>
      <c r="S167" s="2109"/>
      <c r="T167" s="92"/>
      <c r="U167" s="92"/>
      <c r="V167" s="92"/>
      <c r="W167" s="92"/>
      <c r="X167" s="92"/>
      <c r="Y167" s="92"/>
      <c r="AA167" s="2145"/>
    </row>
    <row r="168" spans="1:27" s="18" customFormat="1" ht="15" customHeight="1" x14ac:dyDescent="0.35">
      <c r="A168" s="2196"/>
      <c r="B168" s="2197"/>
      <c r="C168" s="2223" t="s">
        <v>22</v>
      </c>
      <c r="D168" s="2197"/>
      <c r="E168" s="2201" t="s">
        <v>72</v>
      </c>
      <c r="F168" s="2197"/>
      <c r="G168" s="435"/>
      <c r="H168" s="447" t="s">
        <v>1762</v>
      </c>
      <c r="I168" s="2228" t="s">
        <v>72</v>
      </c>
      <c r="J168" s="3423">
        <f>F167/F169</f>
        <v>70531974207.319519</v>
      </c>
      <c r="K168" s="3423"/>
      <c r="L168" s="3423"/>
      <c r="M168" s="3424"/>
      <c r="N168" s="132"/>
      <c r="O168" s="132"/>
      <c r="P168" s="2111"/>
      <c r="Q168" s="2111"/>
      <c r="R168" s="2111"/>
      <c r="S168" s="2109"/>
      <c r="T168" s="92"/>
      <c r="U168" s="92"/>
      <c r="V168" s="92"/>
      <c r="W168" s="92"/>
      <c r="X168" s="92"/>
      <c r="Y168" s="92"/>
      <c r="AA168" s="2145"/>
    </row>
    <row r="169" spans="1:27" s="18" customFormat="1" ht="15" customHeight="1" x14ac:dyDescent="0.35">
      <c r="A169" s="2196"/>
      <c r="B169" s="2197"/>
      <c r="C169" s="2224" t="s">
        <v>85</v>
      </c>
      <c r="D169" s="2197"/>
      <c r="E169" s="2197"/>
      <c r="F169" s="2208">
        <f>J162</f>
        <v>0.12001612534293048</v>
      </c>
      <c r="G169" s="439"/>
      <c r="H169" s="439"/>
      <c r="I169" s="2197"/>
      <c r="J169" s="2230"/>
      <c r="K169" s="601"/>
      <c r="L169" s="601"/>
      <c r="M169" s="2198"/>
      <c r="N169" s="132"/>
      <c r="O169" s="132"/>
      <c r="P169" s="132"/>
      <c r="Q169" s="132"/>
      <c r="R169" s="132"/>
      <c r="S169" s="2109"/>
      <c r="T169" s="92"/>
      <c r="U169" s="92"/>
      <c r="V169" s="92"/>
      <c r="W169" s="92"/>
      <c r="X169" s="92"/>
      <c r="Y169" s="92"/>
      <c r="AA169" s="2145"/>
    </row>
    <row r="170" spans="1:27" s="18" customFormat="1" ht="15" customHeight="1" x14ac:dyDescent="0.35">
      <c r="A170" s="2196"/>
      <c r="B170" s="2203" t="s">
        <v>56</v>
      </c>
      <c r="C170" s="2203" t="s">
        <v>86</v>
      </c>
      <c r="D170" s="2197"/>
      <c r="E170" s="2201" t="s">
        <v>72</v>
      </c>
      <c r="F170" s="449">
        <v>0.1</v>
      </c>
      <c r="G170" s="449"/>
      <c r="H170" s="449"/>
      <c r="I170" s="2228" t="s">
        <v>72</v>
      </c>
      <c r="J170" s="3421">
        <f>IF(F170=0,0,(F170*J168))</f>
        <v>7053197420.7319527</v>
      </c>
      <c r="K170" s="3421"/>
      <c r="L170" s="3421"/>
      <c r="M170" s="3422"/>
      <c r="N170" s="132"/>
      <c r="O170" s="132"/>
      <c r="P170" s="132"/>
      <c r="Q170" s="132"/>
      <c r="R170" s="132"/>
      <c r="S170" s="2109"/>
      <c r="T170" s="92"/>
      <c r="U170" s="92"/>
      <c r="V170" s="92"/>
      <c r="W170" s="92"/>
      <c r="X170" s="92"/>
      <c r="Y170" s="92"/>
      <c r="AA170" s="2145"/>
    </row>
    <row r="171" spans="1:27" s="18" customFormat="1" ht="15.75" customHeight="1" x14ac:dyDescent="0.35">
      <c r="A171" s="2196"/>
      <c r="B171" s="2197"/>
      <c r="C171" s="2201"/>
      <c r="D171" s="2197"/>
      <c r="E171" s="2197"/>
      <c r="F171" s="435"/>
      <c r="G171" s="435"/>
      <c r="H171" s="435"/>
      <c r="I171" s="2197"/>
      <c r="J171" s="2520"/>
      <c r="K171" s="2219"/>
      <c r="L171" s="2219"/>
      <c r="M171" s="2450"/>
      <c r="N171" s="132"/>
      <c r="O171" s="132"/>
      <c r="P171" s="132"/>
      <c r="Q171" s="132"/>
      <c r="R171" s="132"/>
      <c r="S171" s="2109"/>
      <c r="T171" s="92"/>
      <c r="U171" s="92"/>
      <c r="V171" s="92"/>
      <c r="W171" s="92"/>
      <c r="X171" s="92"/>
      <c r="Y171" s="92"/>
      <c r="AA171" s="2145"/>
    </row>
    <row r="172" spans="1:27" s="18" customFormat="1" ht="15" customHeight="1" x14ac:dyDescent="0.35">
      <c r="A172" s="2196"/>
      <c r="B172" s="2203" t="s">
        <v>57</v>
      </c>
      <c r="C172" s="2201" t="s">
        <v>88</v>
      </c>
      <c r="D172" s="2225" t="s">
        <v>84</v>
      </c>
      <c r="E172" s="2201" t="s">
        <v>89</v>
      </c>
      <c r="F172" s="450" t="s">
        <v>90</v>
      </c>
      <c r="G172" s="450"/>
      <c r="H172" s="450"/>
      <c r="I172" s="2228" t="s">
        <v>72</v>
      </c>
      <c r="J172" s="3421">
        <f>J168+J170</f>
        <v>77585171628.051468</v>
      </c>
      <c r="K172" s="3421"/>
      <c r="L172" s="3421"/>
      <c r="M172" s="3422"/>
      <c r="N172" s="132"/>
      <c r="O172" s="132"/>
      <c r="P172" s="132"/>
      <c r="Q172" s="132"/>
      <c r="R172" s="132"/>
      <c r="S172" s="2109"/>
      <c r="T172" s="92"/>
      <c r="U172" s="92"/>
      <c r="V172" s="92"/>
      <c r="W172" s="92"/>
      <c r="X172" s="92"/>
      <c r="Y172" s="92"/>
      <c r="AA172" s="2145"/>
    </row>
    <row r="173" spans="1:27" s="18" customFormat="1" ht="15" customHeight="1" x14ac:dyDescent="0.35">
      <c r="A173" s="2196"/>
      <c r="B173" s="2203" t="s">
        <v>58</v>
      </c>
      <c r="C173" s="2201" t="s">
        <v>91</v>
      </c>
      <c r="D173" s="2197"/>
      <c r="E173" s="2197"/>
      <c r="F173" s="435"/>
      <c r="G173" s="435"/>
      <c r="H173" s="435"/>
      <c r="I173" s="2197"/>
      <c r="J173" s="2230"/>
      <c r="K173" s="601"/>
      <c r="L173" s="601"/>
      <c r="M173" s="2198"/>
      <c r="N173" s="132"/>
      <c r="O173" s="132"/>
      <c r="P173" s="132"/>
      <c r="Q173" s="132"/>
      <c r="R173" s="132"/>
      <c r="S173" s="2109"/>
      <c r="T173" s="92"/>
      <c r="U173" s="92"/>
      <c r="V173" s="92"/>
      <c r="W173" s="92"/>
      <c r="X173" s="92"/>
      <c r="Y173" s="92"/>
      <c r="AA173" s="2145"/>
    </row>
    <row r="174" spans="1:27" s="18" customFormat="1" ht="15" customHeight="1" x14ac:dyDescent="0.35">
      <c r="A174" s="2196"/>
      <c r="B174" s="2197"/>
      <c r="C174" s="2203" t="s">
        <v>92</v>
      </c>
      <c r="D174" s="2197"/>
      <c r="E174" s="2201" t="s">
        <v>72</v>
      </c>
      <c r="F174" s="2231">
        <f>F69</f>
        <v>66029494618.339996</v>
      </c>
      <c r="G174" s="439"/>
      <c r="H174" s="439"/>
      <c r="I174" s="2197"/>
      <c r="J174" s="2230"/>
      <c r="K174" s="601"/>
      <c r="L174" s="601"/>
      <c r="M174" s="2198"/>
      <c r="N174" s="132"/>
      <c r="O174" s="132"/>
      <c r="P174" s="132"/>
      <c r="Q174" s="132"/>
      <c r="R174" s="132"/>
      <c r="S174" s="2109"/>
      <c r="T174" s="92"/>
      <c r="U174" s="92"/>
      <c r="V174" s="92"/>
      <c r="W174" s="92"/>
      <c r="X174" s="92"/>
      <c r="Y174" s="92"/>
      <c r="AA174" s="2145"/>
    </row>
    <row r="175" spans="1:27" s="18" customFormat="1" ht="15" customHeight="1" x14ac:dyDescent="0.35">
      <c r="A175" s="2196"/>
      <c r="B175" s="2197"/>
      <c r="C175" s="2203" t="s">
        <v>93</v>
      </c>
      <c r="D175" s="2197"/>
      <c r="E175" s="2201" t="s">
        <v>72</v>
      </c>
      <c r="F175" s="442">
        <v>0</v>
      </c>
      <c r="G175" s="442"/>
      <c r="H175" s="442"/>
      <c r="I175" s="2228" t="s">
        <v>72</v>
      </c>
      <c r="J175" s="2230"/>
      <c r="K175" s="601"/>
      <c r="L175" s="601"/>
      <c r="M175" s="2198"/>
      <c r="N175" s="132"/>
      <c r="O175" s="132"/>
      <c r="P175" s="132"/>
      <c r="Q175" s="132"/>
      <c r="R175" s="132"/>
      <c r="S175" s="2109"/>
      <c r="T175" s="92"/>
      <c r="U175" s="92"/>
      <c r="V175" s="92"/>
      <c r="W175" s="92"/>
      <c r="X175" s="92"/>
      <c r="Y175" s="92"/>
      <c r="AA175" s="2145"/>
    </row>
    <row r="176" spans="1:27" s="18" customFormat="1" ht="15" customHeight="1" x14ac:dyDescent="0.35">
      <c r="A176" s="2196"/>
      <c r="B176" s="2197"/>
      <c r="C176" s="2197"/>
      <c r="D176" s="2197"/>
      <c r="E176" s="2197"/>
      <c r="F176" s="435"/>
      <c r="G176" s="435"/>
      <c r="H176" s="435"/>
      <c r="I176" s="2197"/>
      <c r="J176" s="3421">
        <f>F174+F175</f>
        <v>66029494618.339996</v>
      </c>
      <c r="K176" s="3421"/>
      <c r="L176" s="3421"/>
      <c r="M176" s="3422"/>
      <c r="N176" s="132"/>
      <c r="O176" s="132"/>
      <c r="P176" s="132"/>
      <c r="Q176" s="132"/>
      <c r="R176" s="132"/>
      <c r="S176" s="2109"/>
      <c r="T176" s="92"/>
      <c r="U176" s="92"/>
      <c r="V176" s="92"/>
      <c r="W176" s="92"/>
      <c r="X176" s="92"/>
      <c r="Y176" s="92"/>
      <c r="AA176" s="2145"/>
    </row>
    <row r="177" spans="1:27" s="18" customFormat="1" ht="15" customHeight="1" x14ac:dyDescent="0.35">
      <c r="A177" s="2196"/>
      <c r="B177" s="2203" t="s">
        <v>67</v>
      </c>
      <c r="C177" s="2203" t="s">
        <v>94</v>
      </c>
      <c r="D177" s="2197"/>
      <c r="E177" s="2197"/>
      <c r="F177" s="435"/>
      <c r="G177" s="435"/>
      <c r="H177" s="435"/>
      <c r="I177" s="448" t="s">
        <v>72</v>
      </c>
      <c r="J177" s="3419">
        <v>0</v>
      </c>
      <c r="K177" s="3419"/>
      <c r="L177" s="3419"/>
      <c r="M177" s="3420"/>
      <c r="N177" s="132"/>
      <c r="O177" s="132"/>
      <c r="P177" s="132"/>
      <c r="Q177" s="132"/>
      <c r="R177" s="132"/>
      <c r="S177" s="2109"/>
      <c r="T177" s="92"/>
      <c r="U177" s="92"/>
      <c r="V177" s="92"/>
      <c r="W177" s="92"/>
      <c r="X177" s="92"/>
      <c r="Y177" s="92"/>
      <c r="AA177" s="2145"/>
    </row>
    <row r="178" spans="1:27" s="18" customFormat="1" ht="15.75" customHeight="1" x14ac:dyDescent="0.35">
      <c r="A178" s="2196"/>
      <c r="B178" s="2197"/>
      <c r="C178" s="2201"/>
      <c r="D178" s="2197"/>
      <c r="E178" s="2197"/>
      <c r="F178" s="435"/>
      <c r="G178" s="435"/>
      <c r="H178" s="435"/>
      <c r="I178" s="435"/>
      <c r="J178" s="2505"/>
      <c r="K178" s="144"/>
      <c r="L178" s="144"/>
      <c r="M178" s="436"/>
      <c r="N178" s="132"/>
      <c r="O178" s="132"/>
      <c r="P178" s="132"/>
      <c r="Q178" s="132"/>
      <c r="R178" s="132"/>
      <c r="S178" s="2109"/>
      <c r="T178" s="92"/>
      <c r="U178" s="92"/>
      <c r="V178" s="92"/>
      <c r="W178" s="92"/>
      <c r="X178" s="92"/>
      <c r="Y178" s="92"/>
      <c r="AA178" s="2145"/>
    </row>
    <row r="179" spans="1:27" s="18" customFormat="1" ht="15.75" customHeight="1" thickBot="1" x14ac:dyDescent="0.4">
      <c r="A179" s="2196"/>
      <c r="B179" s="2203" t="s">
        <v>95</v>
      </c>
      <c r="C179" s="2203" t="s">
        <v>1711</v>
      </c>
      <c r="D179" s="2197"/>
      <c r="E179" s="2197"/>
      <c r="F179" s="435"/>
      <c r="G179" s="435"/>
      <c r="H179" s="451"/>
      <c r="I179" s="2201" t="s">
        <v>72</v>
      </c>
      <c r="J179" s="3413">
        <f>+J172-J176+J177</f>
        <v>11555677009.711472</v>
      </c>
      <c r="K179" s="3413"/>
      <c r="L179" s="3413"/>
      <c r="M179" s="3413"/>
      <c r="N179" s="132"/>
      <c r="O179" s="132"/>
      <c r="P179" s="132"/>
      <c r="Q179" s="132"/>
      <c r="R179" s="132"/>
      <c r="S179" s="2109"/>
      <c r="T179" s="92"/>
      <c r="U179" s="92"/>
      <c r="V179" s="92"/>
      <c r="W179" s="92"/>
      <c r="X179" s="92"/>
      <c r="Y179" s="92"/>
      <c r="AA179" s="2145"/>
    </row>
    <row r="180" spans="1:27" s="18" customFormat="1" ht="15" customHeight="1" x14ac:dyDescent="0.35">
      <c r="A180" s="2150"/>
      <c r="B180" s="2232" t="s">
        <v>246</v>
      </c>
      <c r="C180" s="2233"/>
      <c r="D180" s="2234"/>
      <c r="E180" s="2234"/>
      <c r="F180" s="2234"/>
      <c r="G180" s="2234"/>
      <c r="H180" s="2234"/>
      <c r="I180" s="2234"/>
      <c r="J180" s="2237"/>
      <c r="K180" s="2237"/>
      <c r="L180" s="2237"/>
      <c r="M180" s="2506"/>
      <c r="N180" s="132"/>
      <c r="O180" s="132"/>
      <c r="P180" s="132"/>
      <c r="Q180" s="132"/>
      <c r="R180" s="132"/>
      <c r="S180" s="2109"/>
      <c r="T180" s="92"/>
      <c r="U180" s="92"/>
      <c r="V180" s="92"/>
      <c r="W180" s="92"/>
      <c r="X180" s="92"/>
      <c r="Y180" s="92"/>
      <c r="AA180" s="2145"/>
    </row>
    <row r="181" spans="1:27" s="18" customFormat="1" ht="18" customHeight="1" x14ac:dyDescent="0.35">
      <c r="A181" s="2150"/>
      <c r="B181" s="3410" t="s">
        <v>468</v>
      </c>
      <c r="C181" s="3411"/>
      <c r="D181" s="3411"/>
      <c r="E181" s="3411"/>
      <c r="F181" s="3411"/>
      <c r="G181" s="3411"/>
      <c r="H181" s="3411"/>
      <c r="I181" s="2235"/>
      <c r="J181" s="2235"/>
      <c r="K181" s="3408">
        <f>F170</f>
        <v>0.1</v>
      </c>
      <c r="L181" s="3408"/>
      <c r="M181" s="3409"/>
      <c r="N181" s="2112"/>
      <c r="O181" s="132"/>
      <c r="P181" s="132"/>
      <c r="Q181" s="132"/>
      <c r="R181" s="132"/>
      <c r="S181" s="2109"/>
      <c r="T181" s="92"/>
      <c r="U181" s="92"/>
      <c r="V181" s="92"/>
      <c r="W181" s="92"/>
      <c r="X181" s="92"/>
      <c r="Y181" s="92"/>
      <c r="AA181" s="2145"/>
    </row>
    <row r="182" spans="1:27" s="18" customFormat="1" ht="15" customHeight="1" x14ac:dyDescent="0.35">
      <c r="A182" s="2150"/>
      <c r="B182" s="2236" t="s">
        <v>1712</v>
      </c>
      <c r="C182" s="2237"/>
      <c r="D182" s="3412">
        <f>J179</f>
        <v>11555677009.711472</v>
      </c>
      <c r="E182" s="3412"/>
      <c r="F182" s="2235"/>
      <c r="G182" s="2235"/>
      <c r="H182" s="2235"/>
      <c r="I182" s="2235"/>
      <c r="J182" s="2235"/>
      <c r="K182" s="2235"/>
      <c r="L182" s="2235"/>
      <c r="M182" s="2238"/>
      <c r="N182" s="2113"/>
      <c r="O182" s="132"/>
      <c r="P182" s="132"/>
      <c r="Q182" s="132"/>
      <c r="R182" s="132"/>
      <c r="S182" s="2109"/>
      <c r="T182" s="92"/>
      <c r="U182" s="92"/>
      <c r="V182" s="92"/>
      <c r="W182" s="92"/>
      <c r="X182" s="92"/>
      <c r="Y182" s="92"/>
      <c r="AA182" s="2145"/>
    </row>
    <row r="183" spans="1:27" s="18" customFormat="1" ht="15" customHeight="1" x14ac:dyDescent="0.35">
      <c r="A183" s="2150"/>
      <c r="B183" s="2239"/>
      <c r="C183" s="2240"/>
      <c r="D183" s="2240"/>
      <c r="E183" s="2240"/>
      <c r="F183" s="2240"/>
      <c r="G183" s="2240"/>
      <c r="H183" s="2240"/>
      <c r="I183" s="2240"/>
      <c r="J183" s="2240"/>
      <c r="K183" s="2240"/>
      <c r="L183" s="2240"/>
      <c r="M183" s="2241"/>
      <c r="N183" s="132"/>
      <c r="O183" s="132"/>
      <c r="P183" s="132"/>
      <c r="Q183" s="132"/>
      <c r="R183" s="132"/>
      <c r="S183" s="2109"/>
      <c r="T183" s="92"/>
      <c r="U183" s="92"/>
      <c r="V183" s="92"/>
      <c r="W183" s="92"/>
      <c r="X183" s="92"/>
      <c r="Y183" s="92"/>
      <c r="AA183" s="2145"/>
    </row>
    <row r="184" spans="1:27" s="18" customFormat="1" ht="15.75" customHeight="1" thickBot="1" x14ac:dyDescent="0.4">
      <c r="A184" s="2150"/>
      <c r="B184" s="2242"/>
      <c r="C184" s="2243"/>
      <c r="D184" s="2243"/>
      <c r="E184" s="2243"/>
      <c r="F184" s="2243"/>
      <c r="G184" s="2243"/>
      <c r="H184" s="2243"/>
      <c r="I184" s="2243"/>
      <c r="J184" s="2243"/>
      <c r="K184" s="2243"/>
      <c r="L184" s="2243"/>
      <c r="M184" s="2244"/>
      <c r="N184" s="132"/>
      <c r="O184" s="132"/>
      <c r="P184" s="132"/>
      <c r="Q184" s="132"/>
      <c r="R184" s="132"/>
      <c r="S184" s="2109"/>
      <c r="T184" s="92"/>
      <c r="U184" s="92"/>
      <c r="V184" s="92"/>
      <c r="W184" s="92"/>
      <c r="X184" s="92"/>
      <c r="Y184" s="92"/>
      <c r="AA184" s="2145"/>
    </row>
    <row r="185" spans="1:27" s="18" customFormat="1" ht="15" customHeight="1" x14ac:dyDescent="0.35">
      <c r="A185" s="2150"/>
      <c r="B185" s="138"/>
      <c r="C185" s="138"/>
      <c r="D185" s="138"/>
      <c r="E185" s="138"/>
      <c r="F185" s="138"/>
      <c r="G185" s="138"/>
      <c r="H185" s="138"/>
      <c r="I185" s="138"/>
      <c r="J185" s="138"/>
      <c r="K185" s="138"/>
      <c r="L185" s="138"/>
      <c r="M185" s="138"/>
      <c r="N185" s="132"/>
      <c r="O185" s="132"/>
      <c r="P185" s="132"/>
      <c r="Q185" s="132"/>
      <c r="R185" s="132"/>
      <c r="S185" s="2109"/>
      <c r="T185" s="92"/>
      <c r="U185" s="92"/>
      <c r="V185" s="92"/>
      <c r="W185" s="92"/>
      <c r="X185" s="92"/>
      <c r="Y185" s="92"/>
      <c r="AA185" s="2145"/>
    </row>
    <row r="186" spans="1:27" s="18" customFormat="1" ht="16.5" hidden="1" customHeight="1" x14ac:dyDescent="0.35">
      <c r="A186" s="2245"/>
      <c r="B186" s="2246"/>
      <c r="C186" s="2246"/>
      <c r="D186" s="2246"/>
      <c r="E186" s="2246"/>
      <c r="F186" s="2246"/>
      <c r="G186" s="2246"/>
      <c r="H186" s="2246"/>
      <c r="I186" s="2246"/>
      <c r="J186" s="2246"/>
      <c r="K186" s="2246"/>
      <c r="L186" s="2246"/>
      <c r="M186" s="2246"/>
      <c r="N186" s="452"/>
      <c r="O186" s="452"/>
      <c r="P186" s="452"/>
      <c r="Q186" s="452"/>
      <c r="R186" s="452"/>
      <c r="S186" s="452"/>
      <c r="T186" s="97"/>
      <c r="U186" s="97"/>
      <c r="V186" s="94"/>
      <c r="W186" s="94"/>
      <c r="X186" s="94"/>
      <c r="Y186" s="94"/>
      <c r="AA186" s="2145"/>
    </row>
    <row r="187" spans="1:27" s="18" customFormat="1" ht="16.5" hidden="1" customHeight="1" x14ac:dyDescent="0.35">
      <c r="A187" s="1335"/>
      <c r="B187" s="2247"/>
      <c r="C187" s="2247"/>
      <c r="D187" s="2247"/>
      <c r="E187" s="2247"/>
      <c r="F187" s="2247"/>
      <c r="G187" s="2247"/>
      <c r="H187" s="2247"/>
      <c r="I187" s="2247"/>
      <c r="J187" s="2247"/>
      <c r="K187" s="2247"/>
      <c r="L187" s="2247"/>
      <c r="M187" s="2247"/>
      <c r="N187" s="453"/>
      <c r="O187" s="453"/>
      <c r="P187" s="453"/>
      <c r="Q187" s="453"/>
      <c r="R187" s="453"/>
      <c r="S187" s="453"/>
      <c r="T187" s="98"/>
      <c r="U187" s="98"/>
      <c r="V187" s="98"/>
      <c r="W187" s="98"/>
      <c r="X187" s="99"/>
      <c r="Y187" s="94"/>
      <c r="AA187" s="2145"/>
    </row>
    <row r="188" spans="1:27" s="18" customFormat="1" ht="15" hidden="1" customHeight="1" x14ac:dyDescent="0.25">
      <c r="A188" s="1335"/>
      <c r="B188" s="2248"/>
      <c r="C188" s="2248"/>
      <c r="D188" s="2249"/>
      <c r="E188" s="2249"/>
      <c r="F188" s="2249"/>
      <c r="G188" s="2249"/>
      <c r="H188" s="2249"/>
      <c r="I188" s="1455"/>
      <c r="J188" s="1455"/>
      <c r="K188" s="1455"/>
      <c r="L188" s="1455"/>
      <c r="M188" s="1455"/>
      <c r="N188" s="412"/>
      <c r="O188" s="412"/>
      <c r="P188" s="412"/>
      <c r="Q188" s="412"/>
      <c r="R188" s="412"/>
      <c r="S188" s="412"/>
      <c r="T188" s="100"/>
      <c r="U188" s="100"/>
      <c r="V188" s="100"/>
      <c r="W188" s="100"/>
      <c r="X188" s="90"/>
      <c r="Y188" s="90"/>
      <c r="AA188" s="2145"/>
    </row>
    <row r="189" spans="1:27" s="18" customFormat="1" ht="15" hidden="1" customHeight="1" x14ac:dyDescent="0.25">
      <c r="A189" s="1335"/>
      <c r="B189" s="1455"/>
      <c r="C189" s="1455"/>
      <c r="D189" s="2249"/>
      <c r="E189" s="2249"/>
      <c r="F189" s="2249"/>
      <c r="G189" s="2249"/>
      <c r="H189" s="2249"/>
      <c r="I189" s="1455"/>
      <c r="J189" s="1455"/>
      <c r="K189" s="1455"/>
      <c r="L189" s="1455"/>
      <c r="M189" s="1455"/>
      <c r="N189" s="412"/>
      <c r="O189" s="412"/>
      <c r="P189" s="412"/>
      <c r="Q189" s="412"/>
      <c r="R189" s="412"/>
      <c r="S189" s="412"/>
      <c r="T189" s="100"/>
      <c r="U189" s="100"/>
      <c r="V189" s="100"/>
      <c r="W189" s="100"/>
      <c r="X189" s="90"/>
      <c r="Y189" s="90"/>
      <c r="AA189" s="2145"/>
    </row>
    <row r="190" spans="1:27" s="18" customFormat="1" ht="15" hidden="1" customHeight="1" x14ac:dyDescent="0.25">
      <c r="A190" s="1335"/>
      <c r="B190" s="2249"/>
      <c r="C190" s="2249"/>
      <c r="D190" s="2249"/>
      <c r="E190" s="2249"/>
      <c r="F190" s="2249"/>
      <c r="G190" s="2249"/>
      <c r="H190" s="2249"/>
      <c r="I190" s="2249"/>
      <c r="J190" s="2249"/>
      <c r="K190" s="2249"/>
      <c r="L190" s="2249"/>
      <c r="M190" s="1341"/>
      <c r="N190" s="1480"/>
      <c r="O190" s="1480"/>
      <c r="P190" s="1480"/>
      <c r="Q190" s="1480"/>
      <c r="R190" s="1480"/>
      <c r="S190" s="1480"/>
      <c r="T190" s="90"/>
      <c r="U190" s="90"/>
      <c r="V190" s="90"/>
      <c r="W190" s="90"/>
      <c r="X190" s="90"/>
      <c r="Y190" s="90"/>
      <c r="AA190" s="2145"/>
    </row>
    <row r="191" spans="1:27" s="18" customFormat="1" ht="15" hidden="1" customHeight="1" x14ac:dyDescent="0.35">
      <c r="A191" s="2250" t="s">
        <v>463</v>
      </c>
      <c r="B191" s="2251" t="s">
        <v>389</v>
      </c>
      <c r="C191" s="2251"/>
      <c r="D191" s="2251"/>
      <c r="E191" s="2251"/>
      <c r="F191" s="2251"/>
      <c r="G191" s="2251"/>
      <c r="H191" s="2251"/>
      <c r="I191" s="2251"/>
      <c r="J191" s="2251"/>
      <c r="K191" s="2251"/>
      <c r="L191" s="2251"/>
      <c r="M191" s="2251"/>
      <c r="N191" s="455"/>
      <c r="O191" s="455"/>
      <c r="P191" s="455"/>
      <c r="Q191" s="455"/>
      <c r="R191" s="455"/>
      <c r="S191" s="455"/>
      <c r="T191" s="421"/>
      <c r="U191" s="421"/>
      <c r="V191" s="92"/>
      <c r="W191" s="92"/>
      <c r="X191" s="92"/>
      <c r="Y191" s="92"/>
      <c r="AA191" s="2145"/>
    </row>
    <row r="192" spans="1:27" s="18" customFormat="1" ht="15" hidden="1" customHeight="1" x14ac:dyDescent="0.25">
      <c r="A192" s="1540"/>
      <c r="B192" s="2252" t="s">
        <v>390</v>
      </c>
      <c r="C192" s="2252"/>
      <c r="D192" s="2252"/>
      <c r="E192" s="2252"/>
      <c r="F192" s="2252"/>
      <c r="G192" s="2252"/>
      <c r="H192" s="2252"/>
      <c r="I192" s="2252"/>
      <c r="J192" s="2252"/>
      <c r="K192" s="2252"/>
      <c r="L192" s="2252"/>
      <c r="M192" s="2252"/>
      <c r="N192" s="457"/>
      <c r="O192" s="457"/>
      <c r="P192" s="457"/>
      <c r="Q192" s="457"/>
      <c r="R192" s="457"/>
      <c r="S192" s="457"/>
      <c r="T192" s="422"/>
      <c r="U192" s="422"/>
      <c r="V192" s="422"/>
      <c r="W192" s="422"/>
      <c r="X192" s="422"/>
      <c r="Y192" s="422"/>
      <c r="AA192" s="2145"/>
    </row>
    <row r="193" spans="1:27" s="18" customFormat="1" ht="15" hidden="1" customHeight="1" x14ac:dyDescent="0.25">
      <c r="A193" s="1540"/>
      <c r="B193" s="2253" t="s">
        <v>391</v>
      </c>
      <c r="C193" s="2254"/>
      <c r="D193" s="1479"/>
      <c r="E193" s="1479" t="s">
        <v>0</v>
      </c>
      <c r="F193" s="1479"/>
      <c r="G193" s="1479"/>
      <c r="H193" s="2255"/>
      <c r="I193" s="2256" t="s">
        <v>464</v>
      </c>
      <c r="J193" s="2257"/>
      <c r="K193" s="2257"/>
      <c r="L193" s="2257"/>
      <c r="M193" s="2257"/>
      <c r="N193" s="459"/>
      <c r="O193" s="459"/>
      <c r="P193" s="459"/>
      <c r="Q193" s="2114"/>
      <c r="R193" s="458" t="s">
        <v>392</v>
      </c>
      <c r="S193" s="459"/>
      <c r="T193" s="423"/>
      <c r="U193" s="423"/>
      <c r="V193" s="423"/>
      <c r="W193" s="424"/>
      <c r="X193" s="102" t="s">
        <v>465</v>
      </c>
      <c r="Y193" s="102" t="s">
        <v>465</v>
      </c>
      <c r="AA193" s="2145"/>
    </row>
    <row r="194" spans="1:27" s="18" customFormat="1" ht="15" hidden="1" customHeight="1" x14ac:dyDescent="0.25">
      <c r="A194" s="1540"/>
      <c r="B194" s="2256" t="s">
        <v>393</v>
      </c>
      <c r="C194" s="2257"/>
      <c r="D194" s="1479"/>
      <c r="E194" s="1479" t="s">
        <v>0</v>
      </c>
      <c r="F194" s="1479"/>
      <c r="G194" s="1479"/>
      <c r="H194" s="2255"/>
      <c r="I194" s="2256" t="s">
        <v>472</v>
      </c>
      <c r="J194" s="2257"/>
      <c r="K194" s="2257"/>
      <c r="L194" s="2257"/>
      <c r="M194" s="2257"/>
      <c r="N194" s="459"/>
      <c r="O194" s="459"/>
      <c r="P194" s="459"/>
      <c r="Q194" s="459"/>
      <c r="R194" s="459"/>
      <c r="S194" s="459"/>
      <c r="T194" s="423"/>
      <c r="U194" s="423"/>
      <c r="V194" s="423"/>
      <c r="W194" s="424"/>
      <c r="X194" s="103">
        <v>2009</v>
      </c>
      <c r="Y194" s="103">
        <v>2010</v>
      </c>
      <c r="AA194" s="2145"/>
    </row>
    <row r="195" spans="1:27" s="18" customFormat="1" ht="15" hidden="1" customHeight="1" x14ac:dyDescent="0.25">
      <c r="A195" s="1540"/>
      <c r="B195" s="2258" t="s">
        <v>394</v>
      </c>
      <c r="C195" s="2259"/>
      <c r="D195" s="2259"/>
      <c r="E195" s="1479" t="s">
        <v>0</v>
      </c>
      <c r="F195" s="1479" t="s">
        <v>395</v>
      </c>
      <c r="G195" s="1479"/>
      <c r="H195" s="1479"/>
      <c r="I195" s="2260">
        <v>1</v>
      </c>
      <c r="J195" s="2261"/>
      <c r="K195" s="2260">
        <v>2</v>
      </c>
      <c r="L195" s="2262"/>
      <c r="M195" s="1502"/>
      <c r="N195" s="2115">
        <v>3</v>
      </c>
      <c r="O195" s="1493">
        <v>4</v>
      </c>
      <c r="P195" s="1491">
        <v>5</v>
      </c>
      <c r="Q195" s="1512">
        <v>6</v>
      </c>
      <c r="R195" s="1492">
        <v>7</v>
      </c>
      <c r="S195" s="1512">
        <v>8</v>
      </c>
      <c r="T195" s="87">
        <v>9</v>
      </c>
      <c r="U195" s="86">
        <v>10</v>
      </c>
      <c r="V195" s="104">
        <v>11</v>
      </c>
      <c r="W195" s="86">
        <v>12</v>
      </c>
      <c r="X195" s="86"/>
      <c r="Y195" s="86"/>
      <c r="AA195" s="2145"/>
    </row>
    <row r="196" spans="1:27" s="18" customFormat="1" ht="15" hidden="1" customHeight="1" x14ac:dyDescent="0.25">
      <c r="A196" s="1540"/>
      <c r="B196" s="2263">
        <v>1</v>
      </c>
      <c r="C196" s="2264" t="s">
        <v>396</v>
      </c>
      <c r="D196" s="2264"/>
      <c r="E196" s="2264"/>
      <c r="F196" s="2264"/>
      <c r="G196" s="2264"/>
      <c r="H196" s="2265"/>
      <c r="I196" s="2266"/>
      <c r="J196" s="2267"/>
      <c r="K196" s="2263"/>
      <c r="L196" s="2264"/>
      <c r="M196" s="2264"/>
      <c r="N196" s="2116"/>
      <c r="O196" s="2117">
        <f>F49</f>
        <v>0</v>
      </c>
      <c r="P196" s="2118" t="e">
        <f>O235</f>
        <v>#REF!</v>
      </c>
      <c r="Q196" s="2119" t="e">
        <f t="shared" ref="Q196:W196" si="11">P235</f>
        <v>#REF!</v>
      </c>
      <c r="R196" s="2119" t="e">
        <f t="shared" si="11"/>
        <v>#REF!</v>
      </c>
      <c r="S196" s="2119" t="e">
        <f t="shared" si="11"/>
        <v>#REF!</v>
      </c>
      <c r="T196" s="105" t="e">
        <f t="shared" si="11"/>
        <v>#REF!</v>
      </c>
      <c r="U196" s="105" t="e">
        <f t="shared" si="11"/>
        <v>#REF!</v>
      </c>
      <c r="V196" s="105" t="e">
        <f t="shared" si="11"/>
        <v>#REF!</v>
      </c>
      <c r="W196" s="105" t="e">
        <f t="shared" si="11"/>
        <v>#REF!</v>
      </c>
      <c r="X196" s="105" t="e">
        <f>+W235</f>
        <v>#REF!</v>
      </c>
      <c r="Y196" s="105" t="e">
        <f>X235</f>
        <v>#REF!</v>
      </c>
      <c r="AA196" s="2145"/>
    </row>
    <row r="197" spans="1:27" s="18" customFormat="1" ht="30" hidden="1" customHeight="1" x14ac:dyDescent="0.25">
      <c r="A197" s="1540"/>
      <c r="B197" s="1527">
        <v>2</v>
      </c>
      <c r="C197" s="1528" t="s">
        <v>87</v>
      </c>
      <c r="D197" s="1528"/>
      <c r="E197" s="1528" t="s">
        <v>397</v>
      </c>
      <c r="F197" s="2268">
        <v>0.2</v>
      </c>
      <c r="G197" s="2268"/>
      <c r="H197" s="2269" t="s">
        <v>473</v>
      </c>
      <c r="I197" s="2270"/>
      <c r="J197" s="2271"/>
      <c r="K197" s="2270"/>
      <c r="L197" s="2272"/>
      <c r="M197" s="2272"/>
      <c r="N197" s="2120"/>
      <c r="O197" s="2121">
        <f>(F30/3)</f>
        <v>0</v>
      </c>
      <c r="P197" s="2121">
        <f>O197</f>
        <v>0</v>
      </c>
      <c r="Q197" s="2121">
        <f>(P197)</f>
        <v>0</v>
      </c>
      <c r="R197" s="2121">
        <f>(Q197)*1.2</f>
        <v>0</v>
      </c>
      <c r="S197" s="2121">
        <f>(R197)</f>
        <v>0</v>
      </c>
      <c r="T197" s="106">
        <f>(S197)</f>
        <v>0</v>
      </c>
      <c r="U197" s="106">
        <f>(T197)</f>
        <v>0</v>
      </c>
      <c r="V197" s="106">
        <f>(U197)</f>
        <v>0</v>
      </c>
      <c r="W197" s="106">
        <f>(V197)</f>
        <v>0</v>
      </c>
      <c r="X197" s="106">
        <f>+(W197*12)*1.2</f>
        <v>0</v>
      </c>
      <c r="Y197" s="106">
        <f>+X197*1.2</f>
        <v>0</v>
      </c>
      <c r="AA197" s="2145"/>
    </row>
    <row r="198" spans="1:27" s="18" customFormat="1" ht="15" hidden="1" customHeight="1" x14ac:dyDescent="0.25">
      <c r="A198" s="1540"/>
      <c r="B198" s="1527">
        <v>3</v>
      </c>
      <c r="C198" s="1528" t="s">
        <v>398</v>
      </c>
      <c r="D198" s="1528"/>
      <c r="E198" s="1528"/>
      <c r="F198" s="2268">
        <v>0.6</v>
      </c>
      <c r="G198" s="2268"/>
      <c r="H198" s="2273"/>
      <c r="I198" s="2270"/>
      <c r="J198" s="2271"/>
      <c r="K198" s="2270"/>
      <c r="L198" s="2272"/>
      <c r="M198" s="2272"/>
      <c r="N198" s="2120"/>
      <c r="O198" s="2121">
        <f>-(O197*0.6)</f>
        <v>0</v>
      </c>
      <c r="P198" s="2121">
        <f>-(P197*0.6)</f>
        <v>0</v>
      </c>
      <c r="Q198" s="2121">
        <f>-(Q197*0.6)</f>
        <v>0</v>
      </c>
      <c r="R198" s="2121">
        <f t="shared" ref="R198:Y198" si="12">-(R197*0.5)</f>
        <v>0</v>
      </c>
      <c r="S198" s="2121">
        <f t="shared" si="12"/>
        <v>0</v>
      </c>
      <c r="T198" s="106">
        <f t="shared" si="12"/>
        <v>0</v>
      </c>
      <c r="U198" s="106">
        <f t="shared" si="12"/>
        <v>0</v>
      </c>
      <c r="V198" s="106">
        <f t="shared" si="12"/>
        <v>0</v>
      </c>
      <c r="W198" s="106">
        <f t="shared" si="12"/>
        <v>0</v>
      </c>
      <c r="X198" s="106">
        <f t="shared" si="12"/>
        <v>0</v>
      </c>
      <c r="Y198" s="106">
        <f t="shared" si="12"/>
        <v>0</v>
      </c>
      <c r="AA198" s="2145"/>
    </row>
    <row r="199" spans="1:27" s="18" customFormat="1" ht="30" hidden="1" customHeight="1" x14ac:dyDescent="0.25">
      <c r="A199" s="1540"/>
      <c r="B199" s="1527">
        <v>4</v>
      </c>
      <c r="C199" s="1528" t="s">
        <v>399</v>
      </c>
      <c r="D199" s="1528"/>
      <c r="E199" s="1528"/>
      <c r="F199" s="2268">
        <v>0.5</v>
      </c>
      <c r="G199" s="2268"/>
      <c r="H199" s="2269" t="s">
        <v>473</v>
      </c>
      <c r="I199" s="2270"/>
      <c r="J199" s="2271"/>
      <c r="K199" s="2270"/>
      <c r="L199" s="2272"/>
      <c r="M199" s="2272"/>
      <c r="N199" s="2120"/>
      <c r="O199" s="2121">
        <f>O197*0.4</f>
        <v>0</v>
      </c>
      <c r="P199" s="2121">
        <f>P197*0.4</f>
        <v>0</v>
      </c>
      <c r="Q199" s="2121">
        <f>Q197*0.4</f>
        <v>0</v>
      </c>
      <c r="R199" s="2121">
        <f t="shared" ref="R199:Y199" si="13">R197*0.5</f>
        <v>0</v>
      </c>
      <c r="S199" s="2121">
        <f t="shared" si="13"/>
        <v>0</v>
      </c>
      <c r="T199" s="106">
        <f t="shared" si="13"/>
        <v>0</v>
      </c>
      <c r="U199" s="106">
        <f t="shared" si="13"/>
        <v>0</v>
      </c>
      <c r="V199" s="106">
        <f t="shared" si="13"/>
        <v>0</v>
      </c>
      <c r="W199" s="106">
        <f t="shared" si="13"/>
        <v>0</v>
      </c>
      <c r="X199" s="106">
        <f t="shared" si="13"/>
        <v>0</v>
      </c>
      <c r="Y199" s="106">
        <f t="shared" si="13"/>
        <v>0</v>
      </c>
      <c r="AA199" s="2145"/>
    </row>
    <row r="200" spans="1:27" s="18" customFormat="1" ht="15" hidden="1" customHeight="1" x14ac:dyDescent="0.25">
      <c r="A200" s="1540"/>
      <c r="B200" s="1527">
        <v>5</v>
      </c>
      <c r="C200" s="1528" t="s">
        <v>400</v>
      </c>
      <c r="D200" s="1528"/>
      <c r="E200" s="1528"/>
      <c r="F200" s="2268"/>
      <c r="G200" s="2268"/>
      <c r="H200" s="1528"/>
      <c r="I200" s="2270"/>
      <c r="J200" s="2271"/>
      <c r="K200" s="2270"/>
      <c r="L200" s="2272"/>
      <c r="M200" s="2272"/>
      <c r="N200" s="2120"/>
      <c r="O200" s="2122">
        <v>0</v>
      </c>
      <c r="P200" s="2122">
        <v>0</v>
      </c>
      <c r="Q200" s="2122">
        <v>0</v>
      </c>
      <c r="R200" s="2122">
        <v>0</v>
      </c>
      <c r="S200" s="2122">
        <v>0</v>
      </c>
      <c r="T200" s="107">
        <v>0</v>
      </c>
      <c r="U200" s="107">
        <v>0</v>
      </c>
      <c r="V200" s="107">
        <v>0</v>
      </c>
      <c r="W200" s="107">
        <v>0</v>
      </c>
      <c r="X200" s="107">
        <v>0</v>
      </c>
      <c r="Y200" s="107">
        <v>0</v>
      </c>
      <c r="AA200" s="2145"/>
    </row>
    <row r="201" spans="1:27" s="18" customFormat="1" ht="15" hidden="1" customHeight="1" x14ac:dyDescent="0.25">
      <c r="A201" s="1540"/>
      <c r="B201" s="1527">
        <v>6</v>
      </c>
      <c r="C201" s="1528"/>
      <c r="D201" s="1528"/>
      <c r="E201" s="1528"/>
      <c r="F201" s="1528"/>
      <c r="G201" s="1528"/>
      <c r="H201" s="1529"/>
      <c r="I201" s="2270"/>
      <c r="J201" s="2271"/>
      <c r="K201" s="2270"/>
      <c r="L201" s="2272"/>
      <c r="M201" s="2272"/>
      <c r="N201" s="2120"/>
      <c r="O201" s="2122">
        <v>0</v>
      </c>
      <c r="P201" s="2122">
        <v>0</v>
      </c>
      <c r="Q201" s="2122">
        <v>0</v>
      </c>
      <c r="R201" s="2122">
        <v>0</v>
      </c>
      <c r="S201" s="2122">
        <v>0</v>
      </c>
      <c r="T201" s="107">
        <v>0</v>
      </c>
      <c r="U201" s="107">
        <v>0</v>
      </c>
      <c r="V201" s="107">
        <v>0</v>
      </c>
      <c r="W201" s="107">
        <v>0</v>
      </c>
      <c r="X201" s="107">
        <v>0</v>
      </c>
      <c r="Y201" s="107">
        <v>0</v>
      </c>
      <c r="AA201" s="2145"/>
    </row>
    <row r="202" spans="1:27" s="18" customFormat="1" ht="15" hidden="1" customHeight="1" x14ac:dyDescent="0.25">
      <c r="A202" s="1540"/>
      <c r="B202" s="1527">
        <v>7</v>
      </c>
      <c r="C202" s="1528"/>
      <c r="D202" s="1528"/>
      <c r="E202" s="1528"/>
      <c r="F202" s="1528"/>
      <c r="G202" s="1528"/>
      <c r="H202" s="1529"/>
      <c r="I202" s="2270"/>
      <c r="J202" s="2271"/>
      <c r="K202" s="2270"/>
      <c r="L202" s="2272"/>
      <c r="M202" s="2272"/>
      <c r="N202" s="2120"/>
      <c r="O202" s="2122">
        <v>0</v>
      </c>
      <c r="P202" s="2122">
        <v>0</v>
      </c>
      <c r="Q202" s="2122">
        <v>0</v>
      </c>
      <c r="R202" s="2122">
        <v>0</v>
      </c>
      <c r="S202" s="2122">
        <v>0</v>
      </c>
      <c r="T202" s="107">
        <v>0</v>
      </c>
      <c r="U202" s="107">
        <v>0</v>
      </c>
      <c r="V202" s="107">
        <v>0</v>
      </c>
      <c r="W202" s="107">
        <v>0</v>
      </c>
      <c r="X202" s="107">
        <v>0</v>
      </c>
      <c r="Y202" s="107">
        <v>0</v>
      </c>
      <c r="AA202" s="2145"/>
    </row>
    <row r="203" spans="1:27" s="18" customFormat="1" ht="15" hidden="1" customHeight="1" x14ac:dyDescent="0.25">
      <c r="A203" s="1540"/>
      <c r="B203" s="2274">
        <v>8</v>
      </c>
      <c r="C203" s="2275" t="s">
        <v>401</v>
      </c>
      <c r="D203" s="2275"/>
      <c r="E203" s="2275"/>
      <c r="F203" s="2275"/>
      <c r="G203" s="2275"/>
      <c r="H203" s="2276"/>
      <c r="I203" s="2274"/>
      <c r="J203" s="2276"/>
      <c r="K203" s="2274"/>
      <c r="L203" s="2275"/>
      <c r="M203" s="2275"/>
      <c r="N203" s="2123"/>
      <c r="O203" s="2124">
        <f>SUM(O196:O202)</f>
        <v>0</v>
      </c>
      <c r="P203" s="2124" t="e">
        <f t="shared" ref="P203:Y203" si="14">SUM(P196:P202)</f>
        <v>#REF!</v>
      </c>
      <c r="Q203" s="2124" t="e">
        <f t="shared" si="14"/>
        <v>#REF!</v>
      </c>
      <c r="R203" s="2124" t="e">
        <f t="shared" si="14"/>
        <v>#REF!</v>
      </c>
      <c r="S203" s="2124" t="e">
        <f t="shared" si="14"/>
        <v>#REF!</v>
      </c>
      <c r="T203" s="108" t="e">
        <f t="shared" si="14"/>
        <v>#REF!</v>
      </c>
      <c r="U203" s="108" t="e">
        <f t="shared" si="14"/>
        <v>#REF!</v>
      </c>
      <c r="V203" s="108" t="e">
        <f t="shared" si="14"/>
        <v>#REF!</v>
      </c>
      <c r="W203" s="108" t="e">
        <f t="shared" si="14"/>
        <v>#REF!</v>
      </c>
      <c r="X203" s="108" t="e">
        <f t="shared" si="14"/>
        <v>#REF!</v>
      </c>
      <c r="Y203" s="108" t="e">
        <f t="shared" si="14"/>
        <v>#REF!</v>
      </c>
      <c r="AA203" s="2145"/>
    </row>
    <row r="204" spans="1:27" s="18" customFormat="1" ht="13.5" hidden="1" customHeight="1" x14ac:dyDescent="0.25">
      <c r="A204" s="1540"/>
      <c r="B204" s="1527">
        <v>9</v>
      </c>
      <c r="C204" s="1528" t="s">
        <v>474</v>
      </c>
      <c r="D204" s="1528"/>
      <c r="E204" s="1528" t="s">
        <v>397</v>
      </c>
      <c r="F204" s="2268">
        <v>0.2</v>
      </c>
      <c r="G204" s="2268"/>
      <c r="H204" s="1528"/>
      <c r="I204" s="2270"/>
      <c r="J204" s="2271"/>
      <c r="K204" s="2270"/>
      <c r="L204" s="2272"/>
      <c r="M204" s="2272"/>
      <c r="N204" s="2120"/>
      <c r="O204" s="2121">
        <f>(F31/3)</f>
        <v>2496413777.8633332</v>
      </c>
      <c r="P204" s="2121">
        <f>O204</f>
        <v>2496413777.8633332</v>
      </c>
      <c r="Q204" s="2121">
        <f t="shared" ref="Q204:W204" si="15">P204</f>
        <v>2496413777.8633332</v>
      </c>
      <c r="R204" s="2121">
        <f t="shared" si="15"/>
        <v>2496413777.8633332</v>
      </c>
      <c r="S204" s="2121">
        <f t="shared" si="15"/>
        <v>2496413777.8633332</v>
      </c>
      <c r="T204" s="106">
        <f t="shared" si="15"/>
        <v>2496413777.8633332</v>
      </c>
      <c r="U204" s="106">
        <f t="shared" si="15"/>
        <v>2496413777.8633332</v>
      </c>
      <c r="V204" s="106">
        <f t="shared" si="15"/>
        <v>2496413777.8633332</v>
      </c>
      <c r="W204" s="106">
        <f t="shared" si="15"/>
        <v>2496413777.8633332</v>
      </c>
      <c r="X204" s="106">
        <f>+(W204*12)*1.2</f>
        <v>35948358401.232002</v>
      </c>
      <c r="Y204" s="106">
        <f>+X204*1.2</f>
        <v>43138030081.478401</v>
      </c>
      <c r="AA204" s="2145"/>
    </row>
    <row r="205" spans="1:27" s="18" customFormat="1" ht="15" hidden="1" customHeight="1" x14ac:dyDescent="0.25">
      <c r="A205" s="1540"/>
      <c r="B205" s="1527">
        <v>10</v>
      </c>
      <c r="C205" s="1528" t="s">
        <v>475</v>
      </c>
      <c r="D205" s="1528"/>
      <c r="E205" s="1528"/>
      <c r="F205" s="2268">
        <v>0.6</v>
      </c>
      <c r="G205" s="2268"/>
      <c r="H205" s="1528"/>
      <c r="I205" s="2270"/>
      <c r="J205" s="2271"/>
      <c r="K205" s="2270"/>
      <c r="L205" s="2272"/>
      <c r="M205" s="2272"/>
      <c r="N205" s="2120"/>
      <c r="O205" s="2121">
        <f>-(O204*0.6)</f>
        <v>-1497848266.7179999</v>
      </c>
      <c r="P205" s="2121">
        <f t="shared" ref="P205:Y205" si="16">-(P204*0.6)</f>
        <v>-1497848266.7179999</v>
      </c>
      <c r="Q205" s="2121">
        <f t="shared" si="16"/>
        <v>-1497848266.7179999</v>
      </c>
      <c r="R205" s="2121">
        <f t="shared" si="16"/>
        <v>-1497848266.7179999</v>
      </c>
      <c r="S205" s="2121">
        <f t="shared" si="16"/>
        <v>-1497848266.7179999</v>
      </c>
      <c r="T205" s="106">
        <f t="shared" si="16"/>
        <v>-1497848266.7179999</v>
      </c>
      <c r="U205" s="106">
        <f t="shared" si="16"/>
        <v>-1497848266.7179999</v>
      </c>
      <c r="V205" s="106">
        <f t="shared" si="16"/>
        <v>-1497848266.7179999</v>
      </c>
      <c r="W205" s="106">
        <f t="shared" si="16"/>
        <v>-1497848266.7179999</v>
      </c>
      <c r="X205" s="106">
        <f t="shared" si="16"/>
        <v>-21569015040.739201</v>
      </c>
      <c r="Y205" s="106">
        <f t="shared" si="16"/>
        <v>-25882818048.887039</v>
      </c>
      <c r="AA205" s="2145"/>
    </row>
    <row r="206" spans="1:27" s="18" customFormat="1" ht="15" hidden="1" customHeight="1" x14ac:dyDescent="0.25">
      <c r="A206" s="1540"/>
      <c r="B206" s="1527">
        <v>11</v>
      </c>
      <c r="C206" s="1528" t="s">
        <v>476</v>
      </c>
      <c r="D206" s="1528"/>
      <c r="E206" s="1528"/>
      <c r="F206" s="1528"/>
      <c r="G206" s="1528"/>
      <c r="H206" s="1528"/>
      <c r="I206" s="2272"/>
      <c r="J206" s="2271"/>
      <c r="K206" s="2270"/>
      <c r="L206" s="2272"/>
      <c r="M206" s="2272"/>
      <c r="N206" s="2120"/>
      <c r="O206" s="2121">
        <f>O204+O205</f>
        <v>998565511.14533329</v>
      </c>
      <c r="P206" s="2121">
        <f t="shared" ref="P206:Y206" si="17">P204+P205</f>
        <v>998565511.14533329</v>
      </c>
      <c r="Q206" s="2121">
        <f t="shared" si="17"/>
        <v>998565511.14533329</v>
      </c>
      <c r="R206" s="2121">
        <f t="shared" si="17"/>
        <v>998565511.14533329</v>
      </c>
      <c r="S206" s="2121">
        <f t="shared" si="17"/>
        <v>998565511.14533329</v>
      </c>
      <c r="T206" s="106">
        <f t="shared" si="17"/>
        <v>998565511.14533329</v>
      </c>
      <c r="U206" s="106">
        <f t="shared" si="17"/>
        <v>998565511.14533329</v>
      </c>
      <c r="V206" s="106">
        <f t="shared" si="17"/>
        <v>998565511.14533329</v>
      </c>
      <c r="W206" s="106">
        <f t="shared" si="17"/>
        <v>998565511.14533329</v>
      </c>
      <c r="X206" s="106">
        <f t="shared" si="17"/>
        <v>14379343360.492802</v>
      </c>
      <c r="Y206" s="106">
        <f t="shared" si="17"/>
        <v>17255212032.591362</v>
      </c>
      <c r="AA206" s="2145"/>
    </row>
    <row r="207" spans="1:27" s="18" customFormat="1" ht="15" hidden="1" customHeight="1" x14ac:dyDescent="0.25">
      <c r="A207" s="1540"/>
      <c r="B207" s="1527">
        <v>12</v>
      </c>
      <c r="C207" s="1528" t="s">
        <v>402</v>
      </c>
      <c r="D207" s="1528"/>
      <c r="E207" s="1528"/>
      <c r="F207" s="1528"/>
      <c r="G207" s="1528"/>
      <c r="H207" s="1529"/>
      <c r="I207" s="2270"/>
      <c r="J207" s="2271"/>
      <c r="K207" s="2270"/>
      <c r="L207" s="2272"/>
      <c r="M207" s="2272"/>
      <c r="N207" s="2120"/>
      <c r="O207" s="2121">
        <f>F33/3</f>
        <v>156611545.44</v>
      </c>
      <c r="P207" s="2121">
        <f>O207*1.2</f>
        <v>187933854.528</v>
      </c>
      <c r="Q207" s="2121">
        <f>P207</f>
        <v>187933854.528</v>
      </c>
      <c r="R207" s="2121">
        <f>Q207*1.2</f>
        <v>225520625.43359998</v>
      </c>
      <c r="S207" s="2121">
        <f>R207</f>
        <v>225520625.43359998</v>
      </c>
      <c r="T207" s="106">
        <f>S207</f>
        <v>225520625.43359998</v>
      </c>
      <c r="U207" s="106">
        <f>T207</f>
        <v>225520625.43359998</v>
      </c>
      <c r="V207" s="106">
        <f>U207</f>
        <v>225520625.43359998</v>
      </c>
      <c r="W207" s="106">
        <f>V207</f>
        <v>225520625.43359998</v>
      </c>
      <c r="X207" s="106">
        <f>+(W207*12)*1.2</f>
        <v>3247497006.2438397</v>
      </c>
      <c r="Y207" s="106">
        <f>+X207*1.2</f>
        <v>3896996407.4926076</v>
      </c>
      <c r="AA207" s="2145"/>
    </row>
    <row r="208" spans="1:27" s="18" customFormat="1" ht="15" hidden="1" customHeight="1" x14ac:dyDescent="0.25">
      <c r="A208" s="1540"/>
      <c r="B208" s="1527">
        <v>13</v>
      </c>
      <c r="C208" s="1528" t="s">
        <v>403</v>
      </c>
      <c r="D208" s="1528"/>
      <c r="E208" s="1528"/>
      <c r="F208" s="1528"/>
      <c r="G208" s="1528"/>
      <c r="H208" s="1529"/>
      <c r="I208" s="2270"/>
      <c r="J208" s="2271"/>
      <c r="K208" s="2270"/>
      <c r="L208" s="2272"/>
      <c r="M208" s="2272"/>
      <c r="N208" s="2120"/>
      <c r="O208" s="2121">
        <f>F35/3</f>
        <v>144648386.08000001</v>
      </c>
      <c r="P208" s="2121">
        <f>O208*1.2</f>
        <v>173578063.296</v>
      </c>
      <c r="Q208" s="2121">
        <f t="shared" ref="Q208:Y209" si="18">P208</f>
        <v>173578063.296</v>
      </c>
      <c r="R208" s="2121">
        <f t="shared" si="18"/>
        <v>173578063.296</v>
      </c>
      <c r="S208" s="2121">
        <f t="shared" si="18"/>
        <v>173578063.296</v>
      </c>
      <c r="T208" s="106">
        <f t="shared" si="18"/>
        <v>173578063.296</v>
      </c>
      <c r="U208" s="106">
        <f t="shared" si="18"/>
        <v>173578063.296</v>
      </c>
      <c r="V208" s="106">
        <f t="shared" si="18"/>
        <v>173578063.296</v>
      </c>
      <c r="W208" s="106">
        <f t="shared" si="18"/>
        <v>173578063.296</v>
      </c>
      <c r="X208" s="106">
        <f t="shared" si="18"/>
        <v>173578063.296</v>
      </c>
      <c r="Y208" s="106">
        <f t="shared" si="18"/>
        <v>173578063.296</v>
      </c>
      <c r="AA208" s="2145"/>
    </row>
    <row r="209" spans="1:27" s="18" customFormat="1" ht="15" hidden="1" customHeight="1" x14ac:dyDescent="0.25">
      <c r="A209" s="1540"/>
      <c r="B209" s="1527">
        <v>14</v>
      </c>
      <c r="C209" s="1528" t="s">
        <v>404</v>
      </c>
      <c r="D209" s="1528"/>
      <c r="E209" s="1528"/>
      <c r="F209" s="1528"/>
      <c r="G209" s="1528"/>
      <c r="H209" s="1529"/>
      <c r="I209" s="2270"/>
      <c r="J209" s="2271"/>
      <c r="K209" s="2270"/>
      <c r="L209" s="2272"/>
      <c r="M209" s="2272"/>
      <c r="N209" s="2120"/>
      <c r="O209" s="2121">
        <f>F36/3</f>
        <v>2821658085.7166667</v>
      </c>
      <c r="P209" s="2121">
        <f>O209*1.2</f>
        <v>3385989702.8600001</v>
      </c>
      <c r="Q209" s="2121">
        <f t="shared" si="18"/>
        <v>3385989702.8600001</v>
      </c>
      <c r="R209" s="2121">
        <f>Q209*1.2</f>
        <v>4063187643.4320002</v>
      </c>
      <c r="S209" s="2121">
        <f t="shared" si="18"/>
        <v>4063187643.4320002</v>
      </c>
      <c r="T209" s="106">
        <f t="shared" si="18"/>
        <v>4063187643.4320002</v>
      </c>
      <c r="U209" s="106">
        <f t="shared" si="18"/>
        <v>4063187643.4320002</v>
      </c>
      <c r="V209" s="106">
        <f t="shared" si="18"/>
        <v>4063187643.4320002</v>
      </c>
      <c r="W209" s="106">
        <f t="shared" si="18"/>
        <v>4063187643.4320002</v>
      </c>
      <c r="X209" s="106">
        <f>+(W209*12)*1.2</f>
        <v>58509902065.420807</v>
      </c>
      <c r="Y209" s="106">
        <f>+X209*1.2</f>
        <v>70211882478.504959</v>
      </c>
      <c r="AA209" s="2145"/>
    </row>
    <row r="210" spans="1:27" s="18" customFormat="1" ht="13.5" hidden="1" customHeight="1" x14ac:dyDescent="0.25">
      <c r="A210" s="1540"/>
      <c r="B210" s="1527">
        <v>15</v>
      </c>
      <c r="C210" s="1528" t="s">
        <v>405</v>
      </c>
      <c r="D210" s="1528"/>
      <c r="E210" s="1528"/>
      <c r="F210" s="2268" t="s">
        <v>406</v>
      </c>
      <c r="G210" s="2268"/>
      <c r="H210" s="1528"/>
      <c r="I210" s="2270"/>
      <c r="J210" s="2271"/>
      <c r="K210" s="2270"/>
      <c r="L210" s="2272"/>
      <c r="M210" s="2272"/>
      <c r="N210" s="2120"/>
      <c r="O210" s="2122">
        <v>0</v>
      </c>
      <c r="P210" s="2122">
        <f>(14%/12)*250</f>
        <v>2.916666666666667</v>
      </c>
      <c r="Q210" s="2122">
        <f t="shared" ref="Q210:W210" si="19">(14%/12)*450</f>
        <v>5.25</v>
      </c>
      <c r="R210" s="2122">
        <f t="shared" si="19"/>
        <v>5.25</v>
      </c>
      <c r="S210" s="2122">
        <f t="shared" si="19"/>
        <v>5.25</v>
      </c>
      <c r="T210" s="107">
        <f t="shared" si="19"/>
        <v>5.25</v>
      </c>
      <c r="U210" s="107">
        <f t="shared" si="19"/>
        <v>5.25</v>
      </c>
      <c r="V210" s="107">
        <f t="shared" si="19"/>
        <v>5.25</v>
      </c>
      <c r="W210" s="107">
        <f t="shared" si="19"/>
        <v>5.25</v>
      </c>
      <c r="X210" s="107">
        <f>+(W210*12)</f>
        <v>63</v>
      </c>
      <c r="Y210" s="107">
        <f>+X210</f>
        <v>63</v>
      </c>
      <c r="AA210" s="2145"/>
    </row>
    <row r="211" spans="1:27" s="18" customFormat="1" ht="15" hidden="1" customHeight="1" x14ac:dyDescent="0.25">
      <c r="A211" s="1540"/>
      <c r="B211" s="1527">
        <v>16</v>
      </c>
      <c r="C211" s="1528" t="s">
        <v>407</v>
      </c>
      <c r="D211" s="1528"/>
      <c r="E211" s="1528"/>
      <c r="F211" s="1528"/>
      <c r="G211" s="1528"/>
      <c r="H211" s="1529"/>
      <c r="I211" s="2270"/>
      <c r="J211" s="2271"/>
      <c r="K211" s="2270"/>
      <c r="L211" s="2272"/>
      <c r="M211" s="2272"/>
      <c r="N211" s="2120"/>
      <c r="O211" s="2122">
        <f>O197*0.1</f>
        <v>0</v>
      </c>
      <c r="P211" s="2122">
        <f t="shared" ref="P211:Y211" si="20">P197*0.1</f>
        <v>0</v>
      </c>
      <c r="Q211" s="2122">
        <f t="shared" si="20"/>
        <v>0</v>
      </c>
      <c r="R211" s="2122">
        <f t="shared" si="20"/>
        <v>0</v>
      </c>
      <c r="S211" s="2122">
        <f t="shared" si="20"/>
        <v>0</v>
      </c>
      <c r="T211" s="107">
        <f t="shared" si="20"/>
        <v>0</v>
      </c>
      <c r="U211" s="107">
        <f t="shared" si="20"/>
        <v>0</v>
      </c>
      <c r="V211" s="107">
        <f t="shared" si="20"/>
        <v>0</v>
      </c>
      <c r="W211" s="107">
        <f t="shared" si="20"/>
        <v>0</v>
      </c>
      <c r="X211" s="107">
        <f t="shared" si="20"/>
        <v>0</v>
      </c>
      <c r="Y211" s="107">
        <f t="shared" si="20"/>
        <v>0</v>
      </c>
      <c r="AA211" s="2145"/>
    </row>
    <row r="212" spans="1:27" s="18" customFormat="1" ht="15" hidden="1" customHeight="1" x14ac:dyDescent="0.25">
      <c r="A212" s="1540"/>
      <c r="B212" s="1527">
        <v>17</v>
      </c>
      <c r="C212" s="1528"/>
      <c r="D212" s="1528"/>
      <c r="E212" s="1528"/>
      <c r="F212" s="1528"/>
      <c r="G212" s="1528"/>
      <c r="H212" s="1529"/>
      <c r="I212" s="2270"/>
      <c r="J212" s="2271"/>
      <c r="K212" s="2270"/>
      <c r="L212" s="2272"/>
      <c r="M212" s="2272"/>
      <c r="N212" s="2120"/>
      <c r="O212" s="395"/>
      <c r="P212" s="395"/>
      <c r="Q212" s="395"/>
      <c r="R212" s="395"/>
      <c r="S212" s="395"/>
      <c r="T212" s="88"/>
      <c r="U212" s="88"/>
      <c r="V212" s="88"/>
      <c r="W212" s="88"/>
      <c r="X212" s="88"/>
      <c r="Y212" s="88"/>
      <c r="AA212" s="2145"/>
    </row>
    <row r="213" spans="1:27" s="18" customFormat="1" ht="13.5" hidden="1" customHeight="1" x14ac:dyDescent="0.25">
      <c r="A213" s="1540"/>
      <c r="B213" s="1527">
        <v>18</v>
      </c>
      <c r="C213" s="1528"/>
      <c r="D213" s="1528"/>
      <c r="E213" s="1528"/>
      <c r="F213" s="1528"/>
      <c r="G213" s="1528"/>
      <c r="H213" s="1529"/>
      <c r="I213" s="2270"/>
      <c r="J213" s="2271"/>
      <c r="K213" s="2270"/>
      <c r="L213" s="2272"/>
      <c r="M213" s="2272"/>
      <c r="N213" s="2120"/>
      <c r="O213" s="395"/>
      <c r="P213" s="395"/>
      <c r="Q213" s="395"/>
      <c r="R213" s="395"/>
      <c r="S213" s="395"/>
      <c r="T213" s="88"/>
      <c r="U213" s="88"/>
      <c r="V213" s="88"/>
      <c r="W213" s="88"/>
      <c r="X213" s="88"/>
      <c r="Y213" s="88"/>
      <c r="AA213" s="2145"/>
    </row>
    <row r="214" spans="1:27" s="18" customFormat="1" ht="15" hidden="1" customHeight="1" x14ac:dyDescent="0.25">
      <c r="A214" s="1540"/>
      <c r="B214" s="2274">
        <v>19</v>
      </c>
      <c r="C214" s="2275" t="s">
        <v>466</v>
      </c>
      <c r="D214" s="2275"/>
      <c r="E214" s="2275"/>
      <c r="F214" s="2275"/>
      <c r="G214" s="2275"/>
      <c r="H214" s="2276"/>
      <c r="I214" s="2274"/>
      <c r="J214" s="2276"/>
      <c r="K214" s="2274"/>
      <c r="L214" s="2275"/>
      <c r="M214" s="2275"/>
      <c r="N214" s="2123"/>
      <c r="O214" s="2124">
        <f>SUM(O204:O211)</f>
        <v>5120049039.5273333</v>
      </c>
      <c r="P214" s="2124">
        <f t="shared" ref="P214:Y214" si="21">SUM(P204:P211)</f>
        <v>5744632645.8913336</v>
      </c>
      <c r="Q214" s="2124">
        <f t="shared" si="21"/>
        <v>5744632648.2246666</v>
      </c>
      <c r="R214" s="2124">
        <f t="shared" si="21"/>
        <v>6459417359.7022667</v>
      </c>
      <c r="S214" s="2124">
        <f t="shared" si="21"/>
        <v>6459417359.7022667</v>
      </c>
      <c r="T214" s="108">
        <f t="shared" si="21"/>
        <v>6459417359.7022667</v>
      </c>
      <c r="U214" s="108">
        <f t="shared" si="21"/>
        <v>6459417359.7022667</v>
      </c>
      <c r="V214" s="108">
        <f t="shared" si="21"/>
        <v>6459417359.7022667</v>
      </c>
      <c r="W214" s="108">
        <f t="shared" si="21"/>
        <v>6459417359.7022667</v>
      </c>
      <c r="X214" s="108">
        <f t="shared" si="21"/>
        <v>90689663918.946259</v>
      </c>
      <c r="Y214" s="108">
        <f t="shared" si="21"/>
        <v>108792881077.47629</v>
      </c>
      <c r="AA214" s="2145"/>
    </row>
    <row r="215" spans="1:27" s="18" customFormat="1" ht="13.5" hidden="1" customHeight="1" x14ac:dyDescent="0.25">
      <c r="A215" s="1540"/>
      <c r="B215" s="1527"/>
      <c r="C215" s="1528"/>
      <c r="D215" s="1528"/>
      <c r="E215" s="1528"/>
      <c r="F215" s="1528"/>
      <c r="G215" s="1528"/>
      <c r="H215" s="1529"/>
      <c r="I215" s="2270"/>
      <c r="J215" s="2271"/>
      <c r="K215" s="2270"/>
      <c r="L215" s="2272"/>
      <c r="M215" s="2272"/>
      <c r="N215" s="2120"/>
      <c r="O215" s="2121"/>
      <c r="P215" s="395"/>
      <c r="Q215" s="395"/>
      <c r="R215" s="395"/>
      <c r="S215" s="395"/>
      <c r="T215" s="88"/>
      <c r="U215" s="88"/>
      <c r="V215" s="88"/>
      <c r="W215" s="88"/>
      <c r="X215" s="88"/>
      <c r="Y215" s="88"/>
      <c r="AA215" s="2145"/>
    </row>
    <row r="216" spans="1:27" s="18" customFormat="1" ht="15" hidden="1" customHeight="1" x14ac:dyDescent="0.25">
      <c r="A216" s="1540"/>
      <c r="B216" s="1527">
        <v>20</v>
      </c>
      <c r="C216" s="1528" t="s">
        <v>408</v>
      </c>
      <c r="D216" s="1528"/>
      <c r="E216" s="1528"/>
      <c r="F216" s="1528"/>
      <c r="G216" s="1528"/>
      <c r="H216" s="1529"/>
      <c r="I216" s="2270"/>
      <c r="J216" s="2271"/>
      <c r="K216" s="2270"/>
      <c r="L216" s="2272"/>
      <c r="M216" s="2272"/>
      <c r="N216" s="2120"/>
      <c r="O216" s="2122">
        <v>0</v>
      </c>
      <c r="P216" s="2122">
        <v>0</v>
      </c>
      <c r="Q216" s="2122">
        <v>0</v>
      </c>
      <c r="R216" s="2122">
        <v>0</v>
      </c>
      <c r="S216" s="2122">
        <v>0</v>
      </c>
      <c r="T216" s="107">
        <v>0</v>
      </c>
      <c r="U216" s="107">
        <v>0</v>
      </c>
      <c r="V216" s="107">
        <v>0</v>
      </c>
      <c r="W216" s="107">
        <v>0</v>
      </c>
      <c r="X216" s="107">
        <v>0</v>
      </c>
      <c r="Y216" s="107">
        <v>0</v>
      </c>
      <c r="AA216" s="2145"/>
    </row>
    <row r="217" spans="1:27" s="18" customFormat="1" ht="15" hidden="1" customHeight="1" x14ac:dyDescent="0.25">
      <c r="A217" s="1540"/>
      <c r="B217" s="1527">
        <v>21</v>
      </c>
      <c r="C217" s="1528" t="s">
        <v>409</v>
      </c>
      <c r="D217" s="1528"/>
      <c r="E217" s="1528"/>
      <c r="F217" s="1528"/>
      <c r="G217" s="1528"/>
      <c r="H217" s="1529"/>
      <c r="I217" s="2270"/>
      <c r="J217" s="2271"/>
      <c r="K217" s="2270"/>
      <c r="L217" s="2272"/>
      <c r="M217" s="2272"/>
      <c r="N217" s="2120"/>
      <c r="O217" s="2122" t="e">
        <f>#REF!/3</f>
        <v>#REF!</v>
      </c>
      <c r="P217" s="2122" t="e">
        <f>O217*1.2</f>
        <v>#REF!</v>
      </c>
      <c r="Q217" s="2122" t="e">
        <f>P217</f>
        <v>#REF!</v>
      </c>
      <c r="R217" s="2122" t="e">
        <f t="shared" ref="R217:Y217" si="22">Q217</f>
        <v>#REF!</v>
      </c>
      <c r="S217" s="2122" t="e">
        <f t="shared" si="22"/>
        <v>#REF!</v>
      </c>
      <c r="T217" s="107" t="e">
        <f t="shared" si="22"/>
        <v>#REF!</v>
      </c>
      <c r="U217" s="107" t="e">
        <f t="shared" si="22"/>
        <v>#REF!</v>
      </c>
      <c r="V217" s="107" t="e">
        <f t="shared" si="22"/>
        <v>#REF!</v>
      </c>
      <c r="W217" s="107" t="e">
        <f t="shared" si="22"/>
        <v>#REF!</v>
      </c>
      <c r="X217" s="107" t="e">
        <f t="shared" si="22"/>
        <v>#REF!</v>
      </c>
      <c r="Y217" s="107" t="e">
        <f t="shared" si="22"/>
        <v>#REF!</v>
      </c>
      <c r="AA217" s="2145"/>
    </row>
    <row r="218" spans="1:27" s="18" customFormat="1" ht="15" hidden="1" customHeight="1" x14ac:dyDescent="0.25">
      <c r="A218" s="1540"/>
      <c r="B218" s="1527">
        <v>22</v>
      </c>
      <c r="C218" s="1528" t="s">
        <v>410</v>
      </c>
      <c r="D218" s="1528"/>
      <c r="E218" s="1528"/>
      <c r="F218" s="1528"/>
      <c r="G218" s="1528"/>
      <c r="H218" s="1529"/>
      <c r="I218" s="2270"/>
      <c r="J218" s="2271"/>
      <c r="K218" s="2270"/>
      <c r="L218" s="2272"/>
      <c r="M218" s="2272"/>
      <c r="N218" s="2120"/>
      <c r="O218" s="2125">
        <v>0</v>
      </c>
      <c r="P218" s="2122">
        <v>0</v>
      </c>
      <c r="Q218" s="2126">
        <v>0</v>
      </c>
      <c r="R218" s="2125">
        <v>0</v>
      </c>
      <c r="S218" s="2122">
        <v>0</v>
      </c>
      <c r="T218" s="109">
        <v>0</v>
      </c>
      <c r="U218" s="107">
        <v>0</v>
      </c>
      <c r="V218" s="109">
        <v>0</v>
      </c>
      <c r="W218" s="107">
        <v>0</v>
      </c>
      <c r="X218" s="107">
        <v>0</v>
      </c>
      <c r="Y218" s="107">
        <v>0</v>
      </c>
      <c r="AA218" s="2145"/>
    </row>
    <row r="219" spans="1:27" s="18" customFormat="1" ht="15" hidden="1" customHeight="1" x14ac:dyDescent="0.25">
      <c r="A219" s="1540"/>
      <c r="B219" s="1527">
        <v>23</v>
      </c>
      <c r="C219" s="1450" t="s">
        <v>411</v>
      </c>
      <c r="D219" s="1450"/>
      <c r="E219" s="1450"/>
      <c r="F219" s="1450"/>
      <c r="G219" s="1450"/>
      <c r="H219" s="1331"/>
      <c r="I219" s="2270"/>
      <c r="J219" s="2271"/>
      <c r="K219" s="2270"/>
      <c r="L219" s="2272"/>
      <c r="M219" s="2272"/>
      <c r="N219" s="2120"/>
      <c r="O219" s="2125" t="e">
        <f>O216+O217+O218</f>
        <v>#REF!</v>
      </c>
      <c r="P219" s="2122" t="e">
        <f t="shared" ref="P219:Y219" si="23">P216+P217+P218</f>
        <v>#REF!</v>
      </c>
      <c r="Q219" s="2126" t="e">
        <f t="shared" si="23"/>
        <v>#REF!</v>
      </c>
      <c r="R219" s="2125" t="e">
        <f t="shared" si="23"/>
        <v>#REF!</v>
      </c>
      <c r="S219" s="2122" t="e">
        <f t="shared" si="23"/>
        <v>#REF!</v>
      </c>
      <c r="T219" s="109" t="e">
        <f t="shared" si="23"/>
        <v>#REF!</v>
      </c>
      <c r="U219" s="107" t="e">
        <f t="shared" si="23"/>
        <v>#REF!</v>
      </c>
      <c r="V219" s="109" t="e">
        <f t="shared" si="23"/>
        <v>#REF!</v>
      </c>
      <c r="W219" s="107" t="e">
        <f t="shared" si="23"/>
        <v>#REF!</v>
      </c>
      <c r="X219" s="107" t="e">
        <f t="shared" si="23"/>
        <v>#REF!</v>
      </c>
      <c r="Y219" s="107" t="e">
        <f t="shared" si="23"/>
        <v>#REF!</v>
      </c>
      <c r="AA219" s="2145"/>
    </row>
    <row r="220" spans="1:27" s="18" customFormat="1" ht="15" hidden="1" customHeight="1" x14ac:dyDescent="0.25">
      <c r="A220" s="1540"/>
      <c r="B220" s="1527">
        <v>24</v>
      </c>
      <c r="C220" s="1528" t="s">
        <v>412</v>
      </c>
      <c r="D220" s="1528"/>
      <c r="E220" s="1528"/>
      <c r="F220" s="1528"/>
      <c r="G220" s="1528"/>
      <c r="H220" s="1529"/>
      <c r="I220" s="2270"/>
      <c r="J220" s="2271"/>
      <c r="K220" s="2270"/>
      <c r="L220" s="2272"/>
      <c r="M220" s="2272"/>
      <c r="N220" s="2120"/>
      <c r="O220" s="2125">
        <v>0</v>
      </c>
      <c r="P220" s="2122">
        <v>0</v>
      </c>
      <c r="Q220" s="2125">
        <v>0</v>
      </c>
      <c r="R220" s="2127">
        <v>0</v>
      </c>
      <c r="S220" s="2127">
        <v>0</v>
      </c>
      <c r="T220" s="110">
        <v>0</v>
      </c>
      <c r="U220" s="110">
        <v>0</v>
      </c>
      <c r="V220" s="110">
        <v>0</v>
      </c>
      <c r="W220" s="107">
        <v>0</v>
      </c>
      <c r="X220" s="107">
        <v>0</v>
      </c>
      <c r="Y220" s="107">
        <v>0</v>
      </c>
      <c r="AA220" s="2145"/>
    </row>
    <row r="221" spans="1:27" s="18" customFormat="1" ht="15" hidden="1" customHeight="1" x14ac:dyDescent="0.25">
      <c r="A221" s="1540"/>
      <c r="B221" s="1527">
        <v>25</v>
      </c>
      <c r="C221" s="1528" t="s">
        <v>413</v>
      </c>
      <c r="D221" s="1528"/>
      <c r="E221" s="1528"/>
      <c r="F221" s="1528"/>
      <c r="G221" s="1528"/>
      <c r="H221" s="1529"/>
      <c r="I221" s="2270"/>
      <c r="J221" s="2271"/>
      <c r="K221" s="2270"/>
      <c r="L221" s="2272"/>
      <c r="M221" s="2272"/>
      <c r="N221" s="2120"/>
      <c r="O221" s="2125">
        <v>0</v>
      </c>
      <c r="P221" s="2122">
        <v>0</v>
      </c>
      <c r="Q221" s="2125">
        <v>0</v>
      </c>
      <c r="R221" s="2127">
        <v>0</v>
      </c>
      <c r="S221" s="2127">
        <v>0</v>
      </c>
      <c r="T221" s="110">
        <v>0</v>
      </c>
      <c r="U221" s="110">
        <v>0</v>
      </c>
      <c r="V221" s="110">
        <v>0</v>
      </c>
      <c r="W221" s="107">
        <v>0</v>
      </c>
      <c r="X221" s="107">
        <v>0</v>
      </c>
      <c r="Y221" s="107">
        <v>0</v>
      </c>
      <c r="AA221" s="2145"/>
    </row>
    <row r="222" spans="1:27" s="18" customFormat="1" ht="13.5" hidden="1" customHeight="1" x14ac:dyDescent="0.25">
      <c r="A222" s="1540"/>
      <c r="B222" s="1527">
        <v>26</v>
      </c>
      <c r="C222" s="1528" t="s">
        <v>414</v>
      </c>
      <c r="D222" s="1528"/>
      <c r="E222" s="1528"/>
      <c r="F222" s="1528"/>
      <c r="G222" s="1528"/>
      <c r="H222" s="1529"/>
      <c r="I222" s="2270"/>
      <c r="J222" s="2271"/>
      <c r="K222" s="2270"/>
      <c r="L222" s="2272"/>
      <c r="M222" s="2272"/>
      <c r="N222" s="2120"/>
      <c r="O222" s="2125">
        <v>0</v>
      </c>
      <c r="P222" s="2122">
        <v>100</v>
      </c>
      <c r="Q222" s="2125">
        <v>100</v>
      </c>
      <c r="R222" s="2127">
        <v>100</v>
      </c>
      <c r="S222" s="2127">
        <v>50</v>
      </c>
      <c r="T222" s="110">
        <v>50</v>
      </c>
      <c r="U222" s="110">
        <v>20</v>
      </c>
      <c r="V222" s="110">
        <v>0</v>
      </c>
      <c r="W222" s="107">
        <v>0</v>
      </c>
      <c r="X222" s="107">
        <v>0</v>
      </c>
      <c r="Y222" s="107">
        <v>0</v>
      </c>
      <c r="AA222" s="2145"/>
    </row>
    <row r="223" spans="1:27" s="18" customFormat="1" ht="15" hidden="1" customHeight="1" x14ac:dyDescent="0.25">
      <c r="A223" s="1540"/>
      <c r="B223" s="1527">
        <v>27</v>
      </c>
      <c r="C223" s="1450" t="s">
        <v>415</v>
      </c>
      <c r="D223" s="1450"/>
      <c r="E223" s="1450"/>
      <c r="F223" s="1450"/>
      <c r="G223" s="1450"/>
      <c r="H223" s="1331"/>
      <c r="I223" s="2270"/>
      <c r="J223" s="2271"/>
      <c r="K223" s="2270"/>
      <c r="L223" s="2272"/>
      <c r="M223" s="2272"/>
      <c r="N223" s="2120"/>
      <c r="O223" s="2125">
        <f>O220+O221+O222</f>
        <v>0</v>
      </c>
      <c r="P223" s="2122">
        <f t="shared" ref="P223:Y223" si="24">P220+P221+P222</f>
        <v>100</v>
      </c>
      <c r="Q223" s="2125">
        <f t="shared" si="24"/>
        <v>100</v>
      </c>
      <c r="R223" s="2127">
        <f t="shared" si="24"/>
        <v>100</v>
      </c>
      <c r="S223" s="2127">
        <f t="shared" si="24"/>
        <v>50</v>
      </c>
      <c r="T223" s="110">
        <f t="shared" si="24"/>
        <v>50</v>
      </c>
      <c r="U223" s="110">
        <f t="shared" si="24"/>
        <v>20</v>
      </c>
      <c r="V223" s="110">
        <f t="shared" si="24"/>
        <v>0</v>
      </c>
      <c r="W223" s="107">
        <f t="shared" si="24"/>
        <v>0</v>
      </c>
      <c r="X223" s="107">
        <f t="shared" si="24"/>
        <v>0</v>
      </c>
      <c r="Y223" s="107">
        <f t="shared" si="24"/>
        <v>0</v>
      </c>
      <c r="AA223" s="2145"/>
    </row>
    <row r="224" spans="1:27" s="18" customFormat="1" ht="15" hidden="1" customHeight="1" x14ac:dyDescent="0.25">
      <c r="A224" s="1540"/>
      <c r="B224" s="2277">
        <v>28</v>
      </c>
      <c r="C224" s="2275" t="s">
        <v>477</v>
      </c>
      <c r="D224" s="2275"/>
      <c r="E224" s="2275"/>
      <c r="F224" s="2275"/>
      <c r="G224" s="2275"/>
      <c r="H224" s="2276"/>
      <c r="I224" s="2277"/>
      <c r="J224" s="2278"/>
      <c r="K224" s="2277"/>
      <c r="L224" s="2279"/>
      <c r="M224" s="2279"/>
      <c r="N224" s="2128"/>
      <c r="O224" s="2129" t="e">
        <f>O219+O223</f>
        <v>#REF!</v>
      </c>
      <c r="P224" s="2130" t="e">
        <f t="shared" ref="P224:Y224" si="25">P219+P223</f>
        <v>#REF!</v>
      </c>
      <c r="Q224" s="2129" t="e">
        <f t="shared" si="25"/>
        <v>#REF!</v>
      </c>
      <c r="R224" s="2131" t="e">
        <f t="shared" si="25"/>
        <v>#REF!</v>
      </c>
      <c r="S224" s="2131" t="e">
        <f t="shared" si="25"/>
        <v>#REF!</v>
      </c>
      <c r="T224" s="112" t="e">
        <f t="shared" si="25"/>
        <v>#REF!</v>
      </c>
      <c r="U224" s="112" t="e">
        <f t="shared" si="25"/>
        <v>#REF!</v>
      </c>
      <c r="V224" s="112" t="e">
        <f t="shared" si="25"/>
        <v>#REF!</v>
      </c>
      <c r="W224" s="111" t="e">
        <f t="shared" si="25"/>
        <v>#REF!</v>
      </c>
      <c r="X224" s="111" t="e">
        <f t="shared" si="25"/>
        <v>#REF!</v>
      </c>
      <c r="Y224" s="111" t="e">
        <f t="shared" si="25"/>
        <v>#REF!</v>
      </c>
      <c r="AA224" s="2145"/>
    </row>
    <row r="225" spans="1:27" s="18" customFormat="1" ht="15" hidden="1" customHeight="1" x14ac:dyDescent="0.25">
      <c r="A225" s="1540"/>
      <c r="B225" s="1527">
        <v>29</v>
      </c>
      <c r="C225" s="1528" t="s">
        <v>416</v>
      </c>
      <c r="D225" s="1528"/>
      <c r="E225" s="1528"/>
      <c r="F225" s="1528"/>
      <c r="G225" s="1528"/>
      <c r="H225" s="1529"/>
      <c r="I225" s="2270"/>
      <c r="J225" s="2271"/>
      <c r="K225" s="2270"/>
      <c r="L225" s="2272"/>
      <c r="M225" s="2272"/>
      <c r="N225" s="2120"/>
      <c r="O225" s="2125">
        <v>0</v>
      </c>
      <c r="P225" s="2122" t="e">
        <f>#REF!</f>
        <v>#REF!</v>
      </c>
      <c r="Q225" s="2125" t="e">
        <f>#REF!</f>
        <v>#REF!</v>
      </c>
      <c r="R225" s="2125" t="e">
        <f>#REF!/3</f>
        <v>#REF!</v>
      </c>
      <c r="S225" s="2125" t="e">
        <f>#REF!/3</f>
        <v>#REF!</v>
      </c>
      <c r="T225" s="109" t="e">
        <f>#REF!/3</f>
        <v>#REF!</v>
      </c>
      <c r="U225" s="109" t="e">
        <f>#REF!/3</f>
        <v>#REF!</v>
      </c>
      <c r="V225" s="109" t="e">
        <f>#REF!/3</f>
        <v>#REF!</v>
      </c>
      <c r="W225" s="109" t="e">
        <f>#REF!/3</f>
        <v>#REF!</v>
      </c>
      <c r="X225" s="109" t="e">
        <f>#REF!/3</f>
        <v>#REF!</v>
      </c>
      <c r="Y225" s="109" t="e">
        <f>#REF!/3</f>
        <v>#REF!</v>
      </c>
      <c r="AA225" s="2145"/>
    </row>
    <row r="226" spans="1:27" s="18" customFormat="1" ht="15" hidden="1" customHeight="1" x14ac:dyDescent="0.25">
      <c r="A226" s="1540"/>
      <c r="B226" s="1527">
        <v>30</v>
      </c>
      <c r="C226" s="1528" t="s">
        <v>97</v>
      </c>
      <c r="D226" s="1528"/>
      <c r="E226" s="1528"/>
      <c r="F226" s="1528"/>
      <c r="G226" s="1528"/>
      <c r="H226" s="1529"/>
      <c r="I226" s="2270"/>
      <c r="J226" s="2271"/>
      <c r="K226" s="2270"/>
      <c r="L226" s="2272"/>
      <c r="M226" s="2272"/>
      <c r="N226" s="2120"/>
      <c r="O226" s="2125" t="e">
        <f>#REF!</f>
        <v>#REF!</v>
      </c>
      <c r="P226" s="2125" t="e">
        <f>#REF!/3</f>
        <v>#REF!</v>
      </c>
      <c r="Q226" s="2125" t="e">
        <f>P226</f>
        <v>#REF!</v>
      </c>
      <c r="R226" s="2125" t="e">
        <f t="shared" ref="R226:W226" si="26">Q226</f>
        <v>#REF!</v>
      </c>
      <c r="S226" s="2125" t="e">
        <f t="shared" si="26"/>
        <v>#REF!</v>
      </c>
      <c r="T226" s="109" t="e">
        <f t="shared" si="26"/>
        <v>#REF!</v>
      </c>
      <c r="U226" s="109" t="e">
        <f t="shared" si="26"/>
        <v>#REF!</v>
      </c>
      <c r="V226" s="109" t="e">
        <f t="shared" si="26"/>
        <v>#REF!</v>
      </c>
      <c r="W226" s="109" t="e">
        <f t="shared" si="26"/>
        <v>#REF!</v>
      </c>
      <c r="X226" s="109" t="e">
        <f>W226*12</f>
        <v>#REF!</v>
      </c>
      <c r="Y226" s="109" t="e">
        <f>X226</f>
        <v>#REF!</v>
      </c>
      <c r="AA226" s="2145"/>
    </row>
    <row r="227" spans="1:27" s="18" customFormat="1" ht="15" hidden="1" customHeight="1" x14ac:dyDescent="0.25">
      <c r="A227" s="1540"/>
      <c r="B227" s="1527">
        <v>31</v>
      </c>
      <c r="C227" s="1528" t="s">
        <v>417</v>
      </c>
      <c r="D227" s="1528"/>
      <c r="E227" s="1528"/>
      <c r="F227" s="1528"/>
      <c r="G227" s="1528"/>
      <c r="H227" s="1529"/>
      <c r="I227" s="2270"/>
      <c r="J227" s="2271"/>
      <c r="K227" s="2270"/>
      <c r="L227" s="2272"/>
      <c r="M227" s="2272"/>
      <c r="N227" s="2120"/>
      <c r="O227" s="2125" t="e">
        <f>#REF!</f>
        <v>#REF!</v>
      </c>
      <c r="P227" s="2122" t="e">
        <f>#REF!</f>
        <v>#REF!</v>
      </c>
      <c r="Q227" s="2125" t="e">
        <f>#REF!</f>
        <v>#REF!</v>
      </c>
      <c r="R227" s="2127" t="e">
        <f>#REF!</f>
        <v>#REF!</v>
      </c>
      <c r="S227" s="2127" t="e">
        <f>#REF!</f>
        <v>#REF!</v>
      </c>
      <c r="T227" s="110" t="e">
        <f>#REF!</f>
        <v>#REF!</v>
      </c>
      <c r="U227" s="110" t="e">
        <f>#REF!</f>
        <v>#REF!</v>
      </c>
      <c r="V227" s="110" t="e">
        <f>#REF!</f>
        <v>#REF!</v>
      </c>
      <c r="W227" s="107" t="e">
        <f>#REF!</f>
        <v>#REF!</v>
      </c>
      <c r="X227" s="107" t="e">
        <f>#REF!</f>
        <v>#REF!</v>
      </c>
      <c r="Y227" s="107" t="e">
        <f>#REF!</f>
        <v>#REF!</v>
      </c>
      <c r="AA227" s="2145"/>
    </row>
    <row r="228" spans="1:27" s="18" customFormat="1" ht="13.5" hidden="1" customHeight="1" x14ac:dyDescent="0.25">
      <c r="A228" s="1540"/>
      <c r="B228" s="1527">
        <v>32</v>
      </c>
      <c r="C228" s="1450" t="s">
        <v>418</v>
      </c>
      <c r="D228" s="1450"/>
      <c r="E228" s="1450"/>
      <c r="F228" s="1450"/>
      <c r="G228" s="1450"/>
      <c r="H228" s="1331"/>
      <c r="I228" s="2270"/>
      <c r="J228" s="2271"/>
      <c r="K228" s="2270"/>
      <c r="L228" s="2272"/>
      <c r="M228" s="2272"/>
      <c r="N228" s="2120"/>
      <c r="O228" s="2132" t="e">
        <f>O225+O226+O227</f>
        <v>#REF!</v>
      </c>
      <c r="P228" s="2122" t="e">
        <f t="shared" ref="P228:Y228" si="27">P225+P226+P227</f>
        <v>#REF!</v>
      </c>
      <c r="Q228" s="2125" t="e">
        <f t="shared" si="27"/>
        <v>#REF!</v>
      </c>
      <c r="R228" s="2127" t="e">
        <f t="shared" si="27"/>
        <v>#REF!</v>
      </c>
      <c r="S228" s="2127" t="e">
        <f t="shared" si="27"/>
        <v>#REF!</v>
      </c>
      <c r="T228" s="110" t="e">
        <f t="shared" si="27"/>
        <v>#REF!</v>
      </c>
      <c r="U228" s="110" t="e">
        <f t="shared" si="27"/>
        <v>#REF!</v>
      </c>
      <c r="V228" s="110" t="e">
        <f t="shared" si="27"/>
        <v>#REF!</v>
      </c>
      <c r="W228" s="107" t="e">
        <f t="shared" si="27"/>
        <v>#REF!</v>
      </c>
      <c r="X228" s="107" t="e">
        <f t="shared" si="27"/>
        <v>#REF!</v>
      </c>
      <c r="Y228" s="107" t="e">
        <f t="shared" si="27"/>
        <v>#REF!</v>
      </c>
      <c r="AA228" s="2145"/>
    </row>
    <row r="229" spans="1:27" s="18" customFormat="1" ht="15" hidden="1" customHeight="1" x14ac:dyDescent="0.25">
      <c r="A229" s="1540"/>
      <c r="B229" s="1527">
        <v>33</v>
      </c>
      <c r="C229" s="1528" t="s">
        <v>419</v>
      </c>
      <c r="D229" s="1528"/>
      <c r="E229" s="1528"/>
      <c r="F229" s="1528"/>
      <c r="G229" s="1528"/>
      <c r="H229" s="1529"/>
      <c r="I229" s="2270"/>
      <c r="J229" s="2271"/>
      <c r="K229" s="2270"/>
      <c r="L229" s="2272"/>
      <c r="M229" s="2272"/>
      <c r="N229" s="2120"/>
      <c r="O229" s="2125">
        <v>0</v>
      </c>
      <c r="P229" s="2122" t="e">
        <f>#REF!</f>
        <v>#REF!</v>
      </c>
      <c r="Q229" s="2125" t="e">
        <f>#REF!</f>
        <v>#REF!</v>
      </c>
      <c r="R229" s="2127" t="e">
        <f>#REF!</f>
        <v>#REF!</v>
      </c>
      <c r="S229" s="2127" t="e">
        <f>#REF!</f>
        <v>#REF!</v>
      </c>
      <c r="T229" s="110" t="e">
        <f>#REF!</f>
        <v>#REF!</v>
      </c>
      <c r="U229" s="110" t="e">
        <f>#REF!</f>
        <v>#REF!</v>
      </c>
      <c r="V229" s="110" t="e">
        <f>#REF!</f>
        <v>#REF!</v>
      </c>
      <c r="W229" s="107" t="e">
        <f>#REF!</f>
        <v>#REF!</v>
      </c>
      <c r="X229" s="107" t="e">
        <f>#REF!</f>
        <v>#REF!</v>
      </c>
      <c r="Y229" s="107" t="e">
        <f>#REF!</f>
        <v>#REF!</v>
      </c>
      <c r="AA229" s="2145"/>
    </row>
    <row r="230" spans="1:27" s="18" customFormat="1" ht="15" hidden="1" customHeight="1" x14ac:dyDescent="0.25">
      <c r="A230" s="1540"/>
      <c r="B230" s="1527">
        <v>34</v>
      </c>
      <c r="C230" s="1528" t="s">
        <v>420</v>
      </c>
      <c r="D230" s="1528"/>
      <c r="E230" s="1528"/>
      <c r="F230" s="1528"/>
      <c r="G230" s="1528"/>
      <c r="H230" s="1529"/>
      <c r="I230" s="2270"/>
      <c r="J230" s="2271"/>
      <c r="K230" s="2270"/>
      <c r="L230" s="2272"/>
      <c r="M230" s="2272"/>
      <c r="N230" s="2120"/>
      <c r="O230" s="2125" t="e">
        <f>#REF!</f>
        <v>#REF!</v>
      </c>
      <c r="P230" s="2122" t="e">
        <f>#REF!</f>
        <v>#REF!</v>
      </c>
      <c r="Q230" s="2125" t="e">
        <f>#REF!</f>
        <v>#REF!</v>
      </c>
      <c r="R230" s="2127" t="e">
        <f>#REF!</f>
        <v>#REF!</v>
      </c>
      <c r="S230" s="2127" t="e">
        <f>#REF!</f>
        <v>#REF!</v>
      </c>
      <c r="T230" s="110" t="e">
        <f>#REF!</f>
        <v>#REF!</v>
      </c>
      <c r="U230" s="110" t="e">
        <f>#REF!</f>
        <v>#REF!</v>
      </c>
      <c r="V230" s="110" t="e">
        <f>#REF!</f>
        <v>#REF!</v>
      </c>
      <c r="W230" s="107" t="e">
        <f>#REF!</f>
        <v>#REF!</v>
      </c>
      <c r="X230" s="107" t="e">
        <f>#REF!</f>
        <v>#REF!</v>
      </c>
      <c r="Y230" s="107" t="e">
        <f>#REF!</f>
        <v>#REF!</v>
      </c>
      <c r="AA230" s="2145"/>
    </row>
    <row r="231" spans="1:27" s="18" customFormat="1" ht="13.5" hidden="1" customHeight="1" x14ac:dyDescent="0.25">
      <c r="A231" s="1540"/>
      <c r="B231" s="1527">
        <v>35</v>
      </c>
      <c r="C231" s="1528" t="s">
        <v>421</v>
      </c>
      <c r="D231" s="1528"/>
      <c r="E231" s="1528"/>
      <c r="F231" s="1528"/>
      <c r="G231" s="1528"/>
      <c r="H231" s="1529"/>
      <c r="I231" s="2270"/>
      <c r="J231" s="2271"/>
      <c r="K231" s="2270"/>
      <c r="L231" s="2272"/>
      <c r="M231" s="2272"/>
      <c r="N231" s="2120"/>
      <c r="O231" s="2125" t="e">
        <f>#REF!</f>
        <v>#REF!</v>
      </c>
      <c r="P231" s="2122" t="e">
        <f>#REF!</f>
        <v>#REF!</v>
      </c>
      <c r="Q231" s="2125" t="e">
        <f>#REF!</f>
        <v>#REF!</v>
      </c>
      <c r="R231" s="2127" t="e">
        <f>#REF!</f>
        <v>#REF!</v>
      </c>
      <c r="S231" s="2127" t="e">
        <f>#REF!</f>
        <v>#REF!</v>
      </c>
      <c r="T231" s="110" t="e">
        <f>#REF!</f>
        <v>#REF!</v>
      </c>
      <c r="U231" s="110" t="e">
        <f>#REF!</f>
        <v>#REF!</v>
      </c>
      <c r="V231" s="110" t="e">
        <f>#REF!</f>
        <v>#REF!</v>
      </c>
      <c r="W231" s="107" t="e">
        <f>#REF!</f>
        <v>#REF!</v>
      </c>
      <c r="X231" s="107" t="e">
        <f>#REF!</f>
        <v>#REF!</v>
      </c>
      <c r="Y231" s="107" t="e">
        <f>#REF!</f>
        <v>#REF!</v>
      </c>
      <c r="AA231" s="2145"/>
    </row>
    <row r="232" spans="1:27" s="18" customFormat="1" ht="13.5" hidden="1" customHeight="1" x14ac:dyDescent="0.25">
      <c r="A232" s="1540"/>
      <c r="B232" s="1527">
        <v>36</v>
      </c>
      <c r="C232" s="1450" t="s">
        <v>422</v>
      </c>
      <c r="D232" s="1450"/>
      <c r="E232" s="1450"/>
      <c r="F232" s="1450"/>
      <c r="G232" s="1450"/>
      <c r="H232" s="1331"/>
      <c r="I232" s="2270"/>
      <c r="J232" s="2271"/>
      <c r="K232" s="2270"/>
      <c r="L232" s="2272"/>
      <c r="M232" s="2272"/>
      <c r="N232" s="2120"/>
      <c r="O232" s="2125" t="e">
        <f>O229+O230+O231</f>
        <v>#REF!</v>
      </c>
      <c r="P232" s="2122" t="e">
        <f t="shared" ref="P232:Y232" si="28">P229+P230+P231</f>
        <v>#REF!</v>
      </c>
      <c r="Q232" s="2125" t="e">
        <f t="shared" si="28"/>
        <v>#REF!</v>
      </c>
      <c r="R232" s="2127" t="e">
        <f t="shared" si="28"/>
        <v>#REF!</v>
      </c>
      <c r="S232" s="2127" t="e">
        <f t="shared" si="28"/>
        <v>#REF!</v>
      </c>
      <c r="T232" s="110" t="e">
        <f t="shared" si="28"/>
        <v>#REF!</v>
      </c>
      <c r="U232" s="110" t="e">
        <f t="shared" si="28"/>
        <v>#REF!</v>
      </c>
      <c r="V232" s="110" t="e">
        <f t="shared" si="28"/>
        <v>#REF!</v>
      </c>
      <c r="W232" s="107" t="e">
        <f t="shared" si="28"/>
        <v>#REF!</v>
      </c>
      <c r="X232" s="107" t="e">
        <f t="shared" si="28"/>
        <v>#REF!</v>
      </c>
      <c r="Y232" s="107" t="e">
        <f t="shared" si="28"/>
        <v>#REF!</v>
      </c>
      <c r="AA232" s="2145"/>
    </row>
    <row r="233" spans="1:27" s="18" customFormat="1" ht="13.5" hidden="1" customHeight="1" x14ac:dyDescent="0.25">
      <c r="A233" s="1540"/>
      <c r="B233" s="2274">
        <v>37</v>
      </c>
      <c r="C233" s="2275" t="s">
        <v>478</v>
      </c>
      <c r="D233" s="2275"/>
      <c r="E233" s="2275"/>
      <c r="F233" s="2275"/>
      <c r="G233" s="2275"/>
      <c r="H233" s="2276"/>
      <c r="I233" s="2277"/>
      <c r="J233" s="2278"/>
      <c r="K233" s="2277"/>
      <c r="L233" s="2279"/>
      <c r="M233" s="2279"/>
      <c r="N233" s="2128"/>
      <c r="O233" s="2133" t="e">
        <f>O228+O232</f>
        <v>#REF!</v>
      </c>
      <c r="P233" s="2134" t="e">
        <f t="shared" ref="P233:Y233" si="29">P228+P232</f>
        <v>#REF!</v>
      </c>
      <c r="Q233" s="2133" t="e">
        <f t="shared" si="29"/>
        <v>#REF!</v>
      </c>
      <c r="R233" s="2135" t="e">
        <f t="shared" si="29"/>
        <v>#REF!</v>
      </c>
      <c r="S233" s="2135" t="e">
        <f t="shared" si="29"/>
        <v>#REF!</v>
      </c>
      <c r="T233" s="114" t="e">
        <f t="shared" si="29"/>
        <v>#REF!</v>
      </c>
      <c r="U233" s="114" t="e">
        <f t="shared" si="29"/>
        <v>#REF!</v>
      </c>
      <c r="V233" s="114" t="e">
        <f t="shared" si="29"/>
        <v>#REF!</v>
      </c>
      <c r="W233" s="113" t="e">
        <f t="shared" si="29"/>
        <v>#REF!</v>
      </c>
      <c r="X233" s="113" t="e">
        <f t="shared" si="29"/>
        <v>#REF!</v>
      </c>
      <c r="Y233" s="113" t="e">
        <f t="shared" si="29"/>
        <v>#REF!</v>
      </c>
      <c r="AA233" s="2145"/>
    </row>
    <row r="234" spans="1:27" s="18" customFormat="1" ht="15" hidden="1" customHeight="1" x14ac:dyDescent="0.25">
      <c r="A234" s="1540"/>
      <c r="B234" s="2280">
        <v>38</v>
      </c>
      <c r="C234" s="2281" t="s">
        <v>479</v>
      </c>
      <c r="D234" s="2281"/>
      <c r="E234" s="2281"/>
      <c r="F234" s="2281"/>
      <c r="G234" s="2281"/>
      <c r="H234" s="2282"/>
      <c r="I234" s="2280"/>
      <c r="J234" s="2282"/>
      <c r="K234" s="2280"/>
      <c r="L234" s="2281"/>
      <c r="M234" s="2281"/>
      <c r="N234" s="2136"/>
      <c r="O234" s="2137" t="e">
        <f>(O204+O224+O220+O224)-(O215+O229+O233)</f>
        <v>#REF!</v>
      </c>
      <c r="P234" s="2138" t="e">
        <f t="shared" ref="P234:Y234" si="30">(P204+P224+P220+P224)-(P215+P229+P233)</f>
        <v>#REF!</v>
      </c>
      <c r="Q234" s="2137" t="e">
        <f t="shared" si="30"/>
        <v>#REF!</v>
      </c>
      <c r="R234" s="2139" t="e">
        <f t="shared" si="30"/>
        <v>#REF!</v>
      </c>
      <c r="S234" s="2139" t="e">
        <f t="shared" si="30"/>
        <v>#REF!</v>
      </c>
      <c r="T234" s="116" t="e">
        <f t="shared" si="30"/>
        <v>#REF!</v>
      </c>
      <c r="U234" s="116" t="e">
        <f t="shared" si="30"/>
        <v>#REF!</v>
      </c>
      <c r="V234" s="116" t="e">
        <f t="shared" si="30"/>
        <v>#REF!</v>
      </c>
      <c r="W234" s="115" t="e">
        <f t="shared" si="30"/>
        <v>#REF!</v>
      </c>
      <c r="X234" s="115" t="e">
        <f t="shared" si="30"/>
        <v>#REF!</v>
      </c>
      <c r="Y234" s="115" t="e">
        <f t="shared" si="30"/>
        <v>#REF!</v>
      </c>
      <c r="AA234" s="2145"/>
    </row>
    <row r="235" spans="1:27" s="18" customFormat="1" ht="15" hidden="1" customHeight="1" x14ac:dyDescent="0.25">
      <c r="A235" s="1540"/>
      <c r="B235" s="2280">
        <v>39</v>
      </c>
      <c r="C235" s="2281" t="s">
        <v>423</v>
      </c>
      <c r="D235" s="2281"/>
      <c r="E235" s="2281"/>
      <c r="F235" s="2281"/>
      <c r="G235" s="2281"/>
      <c r="H235" s="2282"/>
      <c r="I235" s="2280"/>
      <c r="J235" s="2282"/>
      <c r="K235" s="2280"/>
      <c r="L235" s="2281"/>
      <c r="M235" s="2281"/>
      <c r="N235" s="2136"/>
      <c r="O235" s="2137" t="e">
        <f>(O203+O224)-(O214+O233)</f>
        <v>#REF!</v>
      </c>
      <c r="P235" s="2138" t="e">
        <f t="shared" ref="P235:Y235" si="31">(P203+P224)-(P214+P233)</f>
        <v>#REF!</v>
      </c>
      <c r="Q235" s="2137" t="e">
        <f t="shared" si="31"/>
        <v>#REF!</v>
      </c>
      <c r="R235" s="2139" t="e">
        <f t="shared" si="31"/>
        <v>#REF!</v>
      </c>
      <c r="S235" s="2139" t="e">
        <f t="shared" si="31"/>
        <v>#REF!</v>
      </c>
      <c r="T235" s="116" t="e">
        <f t="shared" si="31"/>
        <v>#REF!</v>
      </c>
      <c r="U235" s="116" t="e">
        <f t="shared" si="31"/>
        <v>#REF!</v>
      </c>
      <c r="V235" s="116" t="e">
        <f t="shared" si="31"/>
        <v>#REF!</v>
      </c>
      <c r="W235" s="115" t="e">
        <f t="shared" si="31"/>
        <v>#REF!</v>
      </c>
      <c r="X235" s="115" t="e">
        <f t="shared" si="31"/>
        <v>#REF!</v>
      </c>
      <c r="Y235" s="115" t="e">
        <f t="shared" si="31"/>
        <v>#REF!</v>
      </c>
      <c r="AA235" s="2145"/>
    </row>
    <row r="236" spans="1:27" s="18" customFormat="1" ht="15" hidden="1" customHeight="1" x14ac:dyDescent="0.25">
      <c r="A236" s="1540"/>
      <c r="B236" s="1527">
        <v>40</v>
      </c>
      <c r="C236" s="1528" t="s">
        <v>424</v>
      </c>
      <c r="D236" s="1528"/>
      <c r="E236" s="1528"/>
      <c r="F236" s="1528"/>
      <c r="G236" s="1528"/>
      <c r="H236" s="1529"/>
      <c r="I236" s="2270"/>
      <c r="J236" s="2271"/>
      <c r="K236" s="2270"/>
      <c r="L236" s="2272"/>
      <c r="M236" s="2272"/>
      <c r="N236" s="2120"/>
      <c r="O236" s="2125" t="e">
        <f>O219-O228</f>
        <v>#REF!</v>
      </c>
      <c r="P236" s="2122" t="e">
        <f t="shared" ref="P236:Y236" si="32">P219-P228</f>
        <v>#REF!</v>
      </c>
      <c r="Q236" s="2125" t="e">
        <f t="shared" si="32"/>
        <v>#REF!</v>
      </c>
      <c r="R236" s="2127" t="e">
        <f t="shared" si="32"/>
        <v>#REF!</v>
      </c>
      <c r="S236" s="2127" t="e">
        <f t="shared" si="32"/>
        <v>#REF!</v>
      </c>
      <c r="T236" s="110" t="e">
        <f t="shared" si="32"/>
        <v>#REF!</v>
      </c>
      <c r="U236" s="110" t="e">
        <f t="shared" si="32"/>
        <v>#REF!</v>
      </c>
      <c r="V236" s="110" t="e">
        <f t="shared" si="32"/>
        <v>#REF!</v>
      </c>
      <c r="W236" s="107" t="e">
        <f t="shared" si="32"/>
        <v>#REF!</v>
      </c>
      <c r="X236" s="107" t="e">
        <f t="shared" si="32"/>
        <v>#REF!</v>
      </c>
      <c r="Y236" s="107" t="e">
        <f t="shared" si="32"/>
        <v>#REF!</v>
      </c>
      <c r="AA236" s="2145"/>
    </row>
    <row r="237" spans="1:27" s="18" customFormat="1" ht="15" hidden="1" customHeight="1" x14ac:dyDescent="0.25">
      <c r="A237" s="1540"/>
      <c r="B237" s="1458">
        <v>41</v>
      </c>
      <c r="C237" s="1525" t="s">
        <v>425</v>
      </c>
      <c r="D237" s="1525"/>
      <c r="E237" s="1525"/>
      <c r="F237" s="1525"/>
      <c r="G237" s="1525"/>
      <c r="H237" s="1526"/>
      <c r="I237" s="2283"/>
      <c r="J237" s="2284"/>
      <c r="K237" s="2283"/>
      <c r="L237" s="2285"/>
      <c r="M237" s="2285"/>
      <c r="N237" s="2140"/>
      <c r="O237" s="2141" t="e">
        <f>O223-O232</f>
        <v>#REF!</v>
      </c>
      <c r="P237" s="2142" t="e">
        <f t="shared" ref="P237:Y237" si="33">P223-P232</f>
        <v>#REF!</v>
      </c>
      <c r="Q237" s="2141" t="e">
        <f t="shared" si="33"/>
        <v>#REF!</v>
      </c>
      <c r="R237" s="2143" t="e">
        <f t="shared" si="33"/>
        <v>#REF!</v>
      </c>
      <c r="S237" s="2143" t="e">
        <f t="shared" si="33"/>
        <v>#REF!</v>
      </c>
      <c r="T237" s="118" t="e">
        <f t="shared" si="33"/>
        <v>#REF!</v>
      </c>
      <c r="U237" s="118" t="e">
        <f t="shared" si="33"/>
        <v>#REF!</v>
      </c>
      <c r="V237" s="118" t="e">
        <f t="shared" si="33"/>
        <v>#REF!</v>
      </c>
      <c r="W237" s="117" t="e">
        <f t="shared" si="33"/>
        <v>#REF!</v>
      </c>
      <c r="X237" s="117" t="e">
        <f t="shared" si="33"/>
        <v>#REF!</v>
      </c>
      <c r="Y237" s="117" t="e">
        <f t="shared" si="33"/>
        <v>#REF!</v>
      </c>
      <c r="AA237" s="2145"/>
    </row>
    <row r="238" spans="1:27" s="18" customFormat="1" ht="15" hidden="1" customHeight="1" x14ac:dyDescent="0.25">
      <c r="A238" s="1540"/>
      <c r="B238" s="1532">
        <v>42</v>
      </c>
      <c r="C238" s="1533" t="s">
        <v>426</v>
      </c>
      <c r="D238" s="1533"/>
      <c r="E238" s="1533"/>
      <c r="F238" s="1533"/>
      <c r="G238" s="1533"/>
      <c r="H238" s="1534"/>
      <c r="I238" s="2286"/>
      <c r="J238" s="2287"/>
      <c r="K238" s="2286"/>
      <c r="L238" s="2288"/>
      <c r="M238" s="2287"/>
      <c r="N238" s="463"/>
      <c r="O238" s="2144"/>
      <c r="P238" s="376"/>
      <c r="Q238" s="2144"/>
      <c r="R238" s="2144"/>
      <c r="S238" s="376"/>
      <c r="T238" s="119"/>
      <c r="U238" s="119"/>
      <c r="V238" s="119"/>
      <c r="W238" s="119"/>
      <c r="X238" s="119"/>
      <c r="Y238" s="119"/>
      <c r="AA238" s="2145"/>
    </row>
    <row r="239" spans="1:27" s="18" customFormat="1" ht="15" hidden="1" customHeight="1" x14ac:dyDescent="0.25">
      <c r="A239" s="1540"/>
      <c r="B239" s="1527"/>
      <c r="C239" s="1528" t="s">
        <v>427</v>
      </c>
      <c r="D239" s="1528"/>
      <c r="E239" s="1528"/>
      <c r="F239" s="1528"/>
      <c r="G239" s="1528"/>
      <c r="H239" s="1529"/>
      <c r="I239" s="2270"/>
      <c r="J239" s="2271"/>
      <c r="K239" s="2270"/>
      <c r="L239" s="2272"/>
      <c r="M239" s="2271"/>
      <c r="N239" s="461"/>
      <c r="O239" s="395"/>
      <c r="P239" s="1472"/>
      <c r="Q239" s="395"/>
      <c r="R239" s="395"/>
      <c r="S239" s="1472"/>
      <c r="T239" s="88"/>
      <c r="U239" s="88"/>
      <c r="V239" s="88"/>
      <c r="W239" s="88"/>
      <c r="X239" s="88"/>
      <c r="Y239" s="88"/>
      <c r="AA239" s="2145"/>
    </row>
    <row r="240" spans="1:27" s="18" customFormat="1" ht="15" hidden="1" customHeight="1" x14ac:dyDescent="0.25">
      <c r="A240" s="1540"/>
      <c r="B240" s="1527">
        <v>43</v>
      </c>
      <c r="C240" s="1528" t="s">
        <v>428</v>
      </c>
      <c r="D240" s="1528"/>
      <c r="E240" s="1528"/>
      <c r="F240" s="1528"/>
      <c r="G240" s="1528"/>
      <c r="H240" s="1529"/>
      <c r="I240" s="2270"/>
      <c r="J240" s="2271"/>
      <c r="K240" s="2270"/>
      <c r="L240" s="2272"/>
      <c r="M240" s="2271"/>
      <c r="N240" s="461"/>
      <c r="O240" s="2122" t="e">
        <f>#REF!</f>
        <v>#REF!</v>
      </c>
      <c r="P240" s="2122" t="e">
        <f>#REF!</f>
        <v>#REF!</v>
      </c>
      <c r="Q240" s="2122" t="e">
        <f>#REF!</f>
        <v>#REF!</v>
      </c>
      <c r="R240" s="2122" t="e">
        <f>#REF!</f>
        <v>#REF!</v>
      </c>
      <c r="S240" s="2122" t="e">
        <f>#REF!</f>
        <v>#REF!</v>
      </c>
      <c r="T240" s="107" t="e">
        <f>#REF!</f>
        <v>#REF!</v>
      </c>
      <c r="U240" s="107" t="e">
        <f>#REF!</f>
        <v>#REF!</v>
      </c>
      <c r="V240" s="107" t="e">
        <f>#REF!</f>
        <v>#REF!</v>
      </c>
      <c r="W240" s="107" t="e">
        <f>#REF!</f>
        <v>#REF!</v>
      </c>
      <c r="X240" s="107" t="e">
        <f>#REF!</f>
        <v>#REF!</v>
      </c>
      <c r="Y240" s="107" t="e">
        <f>#REF!</f>
        <v>#REF!</v>
      </c>
      <c r="AA240" s="2145"/>
    </row>
    <row r="241" spans="1:27" s="18" customFormat="1" ht="15" hidden="1" customHeight="1" x14ac:dyDescent="0.25">
      <c r="A241" s="1540"/>
      <c r="B241" s="1527">
        <v>44</v>
      </c>
      <c r="C241" s="1528" t="s">
        <v>429</v>
      </c>
      <c r="D241" s="1528"/>
      <c r="E241" s="1528"/>
      <c r="F241" s="1528"/>
      <c r="G241" s="1528"/>
      <c r="H241" s="1529"/>
      <c r="I241" s="2270"/>
      <c r="J241" s="2271"/>
      <c r="K241" s="2270"/>
      <c r="L241" s="2272"/>
      <c r="M241" s="2271"/>
      <c r="N241" s="461"/>
      <c r="O241" s="2122" t="e">
        <f>#REF!</f>
        <v>#REF!</v>
      </c>
      <c r="P241" s="2122" t="e">
        <f>#REF!</f>
        <v>#REF!</v>
      </c>
      <c r="Q241" s="2122" t="e">
        <f>#REF!</f>
        <v>#REF!</v>
      </c>
      <c r="R241" s="2122" t="e">
        <f>#REF!</f>
        <v>#REF!</v>
      </c>
      <c r="S241" s="2122" t="e">
        <f>#REF!</f>
        <v>#REF!</v>
      </c>
      <c r="T241" s="107" t="e">
        <f>#REF!</f>
        <v>#REF!</v>
      </c>
      <c r="U241" s="107" t="e">
        <f>#REF!</f>
        <v>#REF!</v>
      </c>
      <c r="V241" s="107" t="e">
        <f>#REF!</f>
        <v>#REF!</v>
      </c>
      <c r="W241" s="107" t="e">
        <f>#REF!</f>
        <v>#REF!</v>
      </c>
      <c r="X241" s="107" t="e">
        <f>#REF!</f>
        <v>#REF!</v>
      </c>
      <c r="Y241" s="107" t="e">
        <f>#REF!</f>
        <v>#REF!</v>
      </c>
      <c r="AA241" s="2145"/>
    </row>
    <row r="242" spans="1:27" s="18" customFormat="1" ht="15" hidden="1" customHeight="1" x14ac:dyDescent="0.25">
      <c r="A242" s="1540"/>
      <c r="B242" s="1527">
        <v>45</v>
      </c>
      <c r="C242" s="1528" t="s">
        <v>430</v>
      </c>
      <c r="D242" s="1528"/>
      <c r="E242" s="1528"/>
      <c r="F242" s="1528"/>
      <c r="G242" s="1528"/>
      <c r="H242" s="1529"/>
      <c r="I242" s="2270"/>
      <c r="J242" s="2271"/>
      <c r="K242" s="2270"/>
      <c r="L242" s="2272"/>
      <c r="M242" s="2271"/>
      <c r="N242" s="461"/>
      <c r="O242" s="2122" t="e">
        <f>O240-O241</f>
        <v>#REF!</v>
      </c>
      <c r="P242" s="2122" t="e">
        <f t="shared" ref="P242:Y242" si="34">P240-P241</f>
        <v>#REF!</v>
      </c>
      <c r="Q242" s="2122" t="e">
        <f t="shared" si="34"/>
        <v>#REF!</v>
      </c>
      <c r="R242" s="2122" t="e">
        <f t="shared" si="34"/>
        <v>#REF!</v>
      </c>
      <c r="S242" s="2122" t="e">
        <f t="shared" si="34"/>
        <v>#REF!</v>
      </c>
      <c r="T242" s="107" t="e">
        <f t="shared" si="34"/>
        <v>#REF!</v>
      </c>
      <c r="U242" s="107" t="e">
        <f t="shared" si="34"/>
        <v>#REF!</v>
      </c>
      <c r="V242" s="107" t="e">
        <f t="shared" si="34"/>
        <v>#REF!</v>
      </c>
      <c r="W242" s="107" t="e">
        <f t="shared" si="34"/>
        <v>#REF!</v>
      </c>
      <c r="X242" s="107" t="e">
        <f t="shared" si="34"/>
        <v>#REF!</v>
      </c>
      <c r="Y242" s="107" t="e">
        <f t="shared" si="34"/>
        <v>#REF!</v>
      </c>
      <c r="AA242" s="2145"/>
    </row>
    <row r="243" spans="1:27" s="18" customFormat="1" ht="15" hidden="1" customHeight="1" x14ac:dyDescent="0.25">
      <c r="A243" s="1540"/>
      <c r="B243" s="1527">
        <v>46</v>
      </c>
      <c r="C243" s="1528" t="s">
        <v>431</v>
      </c>
      <c r="D243" s="1528"/>
      <c r="E243" s="1528"/>
      <c r="F243" s="1528"/>
      <c r="G243" s="1528"/>
      <c r="H243" s="1529"/>
      <c r="I243" s="2270"/>
      <c r="J243" s="2271"/>
      <c r="K243" s="2270"/>
      <c r="L243" s="2272"/>
      <c r="M243" s="2271"/>
      <c r="N243" s="461"/>
      <c r="O243" s="2122" t="e">
        <f>#REF!</f>
        <v>#REF!</v>
      </c>
      <c r="P243" s="2122" t="e">
        <f>#REF!</f>
        <v>#REF!</v>
      </c>
      <c r="Q243" s="2122" t="e">
        <f>#REF!</f>
        <v>#REF!</v>
      </c>
      <c r="R243" s="2122" t="e">
        <f>#REF!</f>
        <v>#REF!</v>
      </c>
      <c r="S243" s="2122" t="e">
        <f>#REF!</f>
        <v>#REF!</v>
      </c>
      <c r="T243" s="107" t="e">
        <f>#REF!</f>
        <v>#REF!</v>
      </c>
      <c r="U243" s="107" t="e">
        <f>#REF!</f>
        <v>#REF!</v>
      </c>
      <c r="V243" s="107" t="e">
        <f>#REF!</f>
        <v>#REF!</v>
      </c>
      <c r="W243" s="107" t="e">
        <f>#REF!</f>
        <v>#REF!</v>
      </c>
      <c r="X243" s="107" t="e">
        <f>#REF!</f>
        <v>#REF!</v>
      </c>
      <c r="Y243" s="107" t="e">
        <f>#REF!</f>
        <v>#REF!</v>
      </c>
      <c r="AA243" s="2145"/>
    </row>
    <row r="244" spans="1:27" s="18" customFormat="1" ht="15" hidden="1" customHeight="1" x14ac:dyDescent="0.25">
      <c r="A244" s="1540"/>
      <c r="B244" s="1527">
        <v>47</v>
      </c>
      <c r="C244" s="1528" t="s">
        <v>432</v>
      </c>
      <c r="D244" s="1528"/>
      <c r="E244" s="1528"/>
      <c r="F244" s="1528"/>
      <c r="G244" s="1528"/>
      <c r="H244" s="1529"/>
      <c r="I244" s="2270"/>
      <c r="J244" s="2271"/>
      <c r="K244" s="2270"/>
      <c r="L244" s="2272"/>
      <c r="M244" s="2271"/>
      <c r="N244" s="461"/>
      <c r="O244" s="2122">
        <v>0</v>
      </c>
      <c r="P244" s="2122" t="e">
        <f>#REF!</f>
        <v>#REF!</v>
      </c>
      <c r="Q244" s="2122" t="e">
        <f>#REF!</f>
        <v>#REF!</v>
      </c>
      <c r="R244" s="2122" t="e">
        <f>#REF!</f>
        <v>#REF!</v>
      </c>
      <c r="S244" s="2122" t="e">
        <f>#REF!</f>
        <v>#REF!</v>
      </c>
      <c r="T244" s="107" t="e">
        <f>#REF!</f>
        <v>#REF!</v>
      </c>
      <c r="U244" s="107" t="e">
        <f>#REF!</f>
        <v>#REF!</v>
      </c>
      <c r="V244" s="107" t="e">
        <f>#REF!</f>
        <v>#REF!</v>
      </c>
      <c r="W244" s="107" t="e">
        <f>#REF!</f>
        <v>#REF!</v>
      </c>
      <c r="X244" s="107" t="e">
        <f>#REF!</f>
        <v>#REF!</v>
      </c>
      <c r="Y244" s="107" t="e">
        <f>#REF!</f>
        <v>#REF!</v>
      </c>
      <c r="AA244" s="2145"/>
    </row>
    <row r="245" spans="1:27" s="18" customFormat="1" ht="15" hidden="1" customHeight="1" x14ac:dyDescent="0.25">
      <c r="A245" s="1540"/>
      <c r="B245" s="1527">
        <v>48</v>
      </c>
      <c r="C245" s="1528" t="s">
        <v>433</v>
      </c>
      <c r="D245" s="1528"/>
      <c r="E245" s="1528"/>
      <c r="F245" s="1528"/>
      <c r="G245" s="1528"/>
      <c r="H245" s="1529"/>
      <c r="I245" s="2270"/>
      <c r="J245" s="2271"/>
      <c r="K245" s="2270"/>
      <c r="L245" s="2272"/>
      <c r="M245" s="2271"/>
      <c r="N245" s="461"/>
      <c r="O245" s="2122" t="e">
        <f>(O236-O241)</f>
        <v>#REF!</v>
      </c>
      <c r="P245" s="2122" t="e">
        <f t="shared" ref="P245:Y245" si="35">(P236-P241)</f>
        <v>#REF!</v>
      </c>
      <c r="Q245" s="2122" t="e">
        <f t="shared" si="35"/>
        <v>#REF!</v>
      </c>
      <c r="R245" s="2122" t="e">
        <f t="shared" si="35"/>
        <v>#REF!</v>
      </c>
      <c r="S245" s="2122" t="e">
        <f t="shared" si="35"/>
        <v>#REF!</v>
      </c>
      <c r="T245" s="107" t="e">
        <f t="shared" si="35"/>
        <v>#REF!</v>
      </c>
      <c r="U245" s="107" t="e">
        <f t="shared" si="35"/>
        <v>#REF!</v>
      </c>
      <c r="V245" s="107" t="e">
        <f t="shared" si="35"/>
        <v>#REF!</v>
      </c>
      <c r="W245" s="107" t="e">
        <f t="shared" si="35"/>
        <v>#REF!</v>
      </c>
      <c r="X245" s="107" t="e">
        <f t="shared" si="35"/>
        <v>#REF!</v>
      </c>
      <c r="Y245" s="107" t="e">
        <f t="shared" si="35"/>
        <v>#REF!</v>
      </c>
      <c r="AA245" s="2145"/>
    </row>
    <row r="246" spans="1:27" s="18" customFormat="1" ht="15" hidden="1" customHeight="1" x14ac:dyDescent="0.25">
      <c r="A246" s="1540"/>
      <c r="B246" s="1458">
        <v>49</v>
      </c>
      <c r="C246" s="1525" t="s">
        <v>434</v>
      </c>
      <c r="D246" s="1525"/>
      <c r="E246" s="1525"/>
      <c r="F246" s="1525"/>
      <c r="G246" s="1525"/>
      <c r="H246" s="1526"/>
      <c r="I246" s="2283"/>
      <c r="J246" s="2284"/>
      <c r="K246" s="2283"/>
      <c r="L246" s="2285"/>
      <c r="M246" s="2284"/>
      <c r="N246" s="462"/>
      <c r="O246" s="2142" t="e">
        <f>O224-O219</f>
        <v>#REF!</v>
      </c>
      <c r="P246" s="2142" t="e">
        <f t="shared" ref="P246:Y246" si="36">P224-P219</f>
        <v>#REF!</v>
      </c>
      <c r="Q246" s="2142" t="e">
        <f t="shared" si="36"/>
        <v>#REF!</v>
      </c>
      <c r="R246" s="2142" t="e">
        <f t="shared" si="36"/>
        <v>#REF!</v>
      </c>
      <c r="S246" s="2142" t="e">
        <f t="shared" si="36"/>
        <v>#REF!</v>
      </c>
      <c r="T246" s="117" t="e">
        <f t="shared" si="36"/>
        <v>#REF!</v>
      </c>
      <c r="U246" s="117" t="e">
        <f t="shared" si="36"/>
        <v>#REF!</v>
      </c>
      <c r="V246" s="117" t="e">
        <f t="shared" si="36"/>
        <v>#REF!</v>
      </c>
      <c r="W246" s="117" t="e">
        <f t="shared" si="36"/>
        <v>#REF!</v>
      </c>
      <c r="X246" s="117" t="e">
        <f t="shared" si="36"/>
        <v>#REF!</v>
      </c>
      <c r="Y246" s="117" t="e">
        <f t="shared" si="36"/>
        <v>#REF!</v>
      </c>
      <c r="AA246" s="2145"/>
    </row>
    <row r="247" spans="1:27" s="18" customFormat="1" ht="15" hidden="1" customHeight="1" x14ac:dyDescent="0.35">
      <c r="A247" s="2150"/>
      <c r="B247" s="138"/>
      <c r="C247" s="2289" t="s">
        <v>467</v>
      </c>
      <c r="D247" s="138"/>
      <c r="E247" s="138"/>
      <c r="F247" s="138"/>
      <c r="G247" s="138"/>
      <c r="H247" s="138"/>
      <c r="I247" s="138"/>
      <c r="J247" s="138"/>
      <c r="K247" s="601"/>
      <c r="L247" s="601"/>
      <c r="M247" s="601"/>
      <c r="N247" s="132"/>
      <c r="O247" s="132"/>
      <c r="P247" s="132"/>
      <c r="Q247" s="132"/>
      <c r="R247" s="132"/>
      <c r="S247" s="132"/>
      <c r="T247" s="92"/>
      <c r="U247" s="92"/>
      <c r="V247" s="92"/>
      <c r="W247" s="92"/>
      <c r="X247" s="92"/>
      <c r="Y247" s="92"/>
      <c r="AA247" s="2145"/>
    </row>
    <row r="248" spans="1:27" s="18" customFormat="1" ht="15" hidden="1" customHeight="1" x14ac:dyDescent="0.35">
      <c r="A248" s="2150"/>
      <c r="B248" s="138">
        <v>1</v>
      </c>
      <c r="C248" s="138" t="s">
        <v>480</v>
      </c>
      <c r="D248" s="138"/>
      <c r="E248" s="138"/>
      <c r="F248" s="138"/>
      <c r="G248" s="138"/>
      <c r="H248" s="138"/>
      <c r="I248" s="138"/>
      <c r="J248" s="138"/>
      <c r="K248" s="601"/>
      <c r="L248" s="601"/>
      <c r="M248" s="601"/>
      <c r="N248" s="132"/>
      <c r="O248" s="132"/>
      <c r="P248" s="132"/>
      <c r="Q248" s="132"/>
      <c r="R248" s="132"/>
      <c r="S248" s="132"/>
      <c r="T248" s="92"/>
      <c r="U248" s="92"/>
      <c r="V248" s="92"/>
      <c r="W248" s="92"/>
      <c r="X248" s="92"/>
      <c r="Y248" s="92"/>
      <c r="AA248" s="2145"/>
    </row>
    <row r="249" spans="1:27" s="18" customFormat="1" ht="15" hidden="1" customHeight="1" x14ac:dyDescent="0.35">
      <c r="A249" s="2150"/>
      <c r="B249" s="138">
        <v>2</v>
      </c>
      <c r="C249" s="138" t="s">
        <v>481</v>
      </c>
      <c r="D249" s="138"/>
      <c r="E249" s="138"/>
      <c r="F249" s="138"/>
      <c r="G249" s="138"/>
      <c r="H249" s="138"/>
      <c r="I249" s="138"/>
      <c r="J249" s="138"/>
      <c r="K249" s="601"/>
      <c r="L249" s="601"/>
      <c r="M249" s="601"/>
      <c r="N249" s="132"/>
      <c r="O249" s="132"/>
      <c r="P249" s="132"/>
      <c r="Q249" s="132"/>
      <c r="R249" s="132"/>
      <c r="S249" s="132"/>
      <c r="T249" s="92"/>
      <c r="U249" s="92"/>
      <c r="V249" s="92"/>
      <c r="W249" s="92"/>
      <c r="X249" s="92"/>
      <c r="Y249" s="92"/>
      <c r="AA249" s="2145"/>
    </row>
    <row r="250" spans="1:27" s="18" customFormat="1" ht="15" hidden="1" customHeight="1" x14ac:dyDescent="0.35">
      <c r="A250" s="2150"/>
      <c r="B250" s="138"/>
      <c r="C250" s="138"/>
      <c r="D250" s="138"/>
      <c r="E250" s="138"/>
      <c r="F250" s="138"/>
      <c r="G250" s="138"/>
      <c r="H250" s="138"/>
      <c r="I250" s="138"/>
      <c r="J250" s="138"/>
      <c r="K250" s="601"/>
      <c r="L250" s="601"/>
      <c r="M250" s="601"/>
      <c r="N250" s="132"/>
      <c r="O250" s="132"/>
      <c r="P250" s="132"/>
      <c r="Q250" s="132"/>
      <c r="R250" s="132"/>
      <c r="S250" s="132"/>
      <c r="T250" s="92"/>
      <c r="U250" s="92"/>
      <c r="V250" s="92"/>
      <c r="W250" s="92"/>
      <c r="X250" s="92"/>
      <c r="Y250" s="92"/>
      <c r="AA250" s="2145"/>
    </row>
    <row r="251" spans="1:27" s="18" customFormat="1" ht="15" customHeight="1" x14ac:dyDescent="0.35">
      <c r="A251" s="2150"/>
      <c r="B251" s="138"/>
      <c r="C251" s="138"/>
      <c r="D251" s="138"/>
      <c r="E251" s="1537" t="s">
        <v>98</v>
      </c>
      <c r="F251" s="1537"/>
      <c r="G251" s="2150"/>
      <c r="H251" s="138"/>
      <c r="I251" s="138"/>
      <c r="J251" s="138"/>
      <c r="K251" s="138"/>
      <c r="L251" s="138"/>
      <c r="M251" s="138"/>
      <c r="N251" s="132"/>
      <c r="O251" s="132"/>
      <c r="P251" s="132"/>
      <c r="Q251" s="132"/>
      <c r="R251" s="132"/>
      <c r="S251" s="132"/>
      <c r="T251" s="92"/>
      <c r="U251" s="92"/>
      <c r="V251" s="92"/>
      <c r="W251" s="92"/>
      <c r="X251" s="92"/>
      <c r="Y251" s="92"/>
      <c r="AA251" s="2145"/>
    </row>
    <row r="252" spans="1:27" s="18" customFormat="1" ht="15" customHeight="1" x14ac:dyDescent="0.35">
      <c r="A252" s="1514"/>
      <c r="B252" s="132"/>
      <c r="C252" s="132"/>
      <c r="D252" s="132"/>
      <c r="E252" s="1514"/>
      <c r="F252" s="1514"/>
      <c r="G252" s="1514"/>
      <c r="H252" s="132"/>
      <c r="I252" s="132"/>
      <c r="J252" s="132"/>
      <c r="K252" s="132"/>
      <c r="L252" s="132"/>
      <c r="M252" s="132"/>
      <c r="N252" s="132"/>
      <c r="O252" s="132"/>
      <c r="P252" s="132"/>
      <c r="Q252" s="132"/>
      <c r="R252" s="132"/>
      <c r="S252" s="132"/>
      <c r="T252" s="92"/>
      <c r="U252" s="92"/>
      <c r="V252" s="92"/>
      <c r="W252" s="92"/>
      <c r="X252" s="92"/>
      <c r="Y252" s="92"/>
      <c r="AA252" s="2145"/>
    </row>
    <row r="253" spans="1:27" s="18" customFormat="1" ht="15" customHeight="1" x14ac:dyDescent="0.35">
      <c r="A253" s="1514"/>
      <c r="B253" s="132"/>
      <c r="C253" s="132"/>
      <c r="D253" s="132"/>
      <c r="E253" s="1514"/>
      <c r="F253" s="1514"/>
      <c r="G253" s="1514"/>
      <c r="H253" s="132"/>
      <c r="I253" s="132"/>
      <c r="J253" s="132"/>
      <c r="K253" s="132"/>
      <c r="L253" s="132"/>
      <c r="M253" s="132"/>
      <c r="N253" s="132"/>
      <c r="O253" s="132"/>
      <c r="P253" s="132"/>
      <c r="Q253" s="132"/>
      <c r="R253" s="132"/>
      <c r="S253" s="132"/>
      <c r="T253" s="92"/>
      <c r="U253" s="92"/>
      <c r="V253" s="92"/>
      <c r="W253" s="92"/>
      <c r="X253" s="92"/>
      <c r="Y253" s="92"/>
      <c r="AA253" s="2145"/>
    </row>
    <row r="254" spans="1:27" s="18" customFormat="1" ht="15" customHeight="1" x14ac:dyDescent="0.35">
      <c r="A254" s="1514"/>
      <c r="B254" s="132"/>
      <c r="C254" s="132"/>
      <c r="D254" s="132"/>
      <c r="E254" s="132"/>
      <c r="F254" s="132"/>
      <c r="G254" s="132"/>
      <c r="H254" s="132"/>
      <c r="I254" s="132"/>
      <c r="J254" s="132"/>
      <c r="K254" s="132"/>
      <c r="L254" s="132"/>
      <c r="M254" s="132"/>
      <c r="N254" s="132"/>
      <c r="O254" s="132"/>
      <c r="P254" s="132"/>
      <c r="Q254" s="132"/>
      <c r="R254" s="132"/>
      <c r="S254" s="132"/>
      <c r="T254" s="92"/>
      <c r="U254" s="92"/>
      <c r="V254" s="92"/>
      <c r="W254" s="92"/>
      <c r="X254" s="92"/>
      <c r="Y254" s="92"/>
      <c r="AA254" s="2145"/>
    </row>
    <row r="255" spans="1:27" s="18" customFormat="1" ht="15" customHeight="1" x14ac:dyDescent="0.35">
      <c r="A255" s="1514"/>
      <c r="B255" s="132"/>
      <c r="C255" s="132"/>
      <c r="D255" s="132"/>
      <c r="E255" s="464" t="s">
        <v>482</v>
      </c>
      <c r="F255" s="464"/>
      <c r="G255" s="1514"/>
      <c r="H255" s="132"/>
      <c r="I255" s="132"/>
      <c r="J255" s="132"/>
      <c r="K255" s="132"/>
      <c r="L255" s="132"/>
      <c r="M255" s="132"/>
      <c r="N255" s="132"/>
      <c r="O255" s="132"/>
      <c r="P255" s="132"/>
      <c r="Q255" s="132"/>
      <c r="R255" s="132"/>
      <c r="S255" s="132"/>
      <c r="T255" s="92"/>
      <c r="U255" s="92"/>
      <c r="V255" s="92"/>
      <c r="W255" s="92"/>
      <c r="X255" s="92"/>
      <c r="Y255" s="92"/>
      <c r="AA255" s="2145"/>
    </row>
    <row r="256" spans="1:27" ht="15" x14ac:dyDescent="0.35">
      <c r="A256" s="1514"/>
      <c r="B256" s="1514"/>
      <c r="C256" s="1514"/>
      <c r="D256" s="1514"/>
      <c r="E256" s="1514"/>
      <c r="F256" s="1514"/>
      <c r="G256" s="1514"/>
      <c r="H256" s="1514"/>
      <c r="I256" s="1514"/>
      <c r="J256" s="1514"/>
      <c r="K256" s="1514"/>
      <c r="L256" s="1514"/>
      <c r="M256" s="1514"/>
      <c r="N256" s="1514"/>
      <c r="O256" s="1514"/>
      <c r="P256" s="1514"/>
      <c r="Q256" s="1514"/>
      <c r="R256" s="1514"/>
      <c r="S256" s="1514"/>
      <c r="T256" s="91"/>
      <c r="U256" s="91"/>
      <c r="V256" s="91"/>
      <c r="W256" s="91"/>
      <c r="X256" s="91"/>
      <c r="Y256" s="91"/>
    </row>
  </sheetData>
  <mergeCells count="359">
    <mergeCell ref="K181:M181"/>
    <mergeCell ref="B181:H181"/>
    <mergeCell ref="D182:E182"/>
    <mergeCell ref="J179:M179"/>
    <mergeCell ref="F110:F111"/>
    <mergeCell ref="F21:G22"/>
    <mergeCell ref="F23:G23"/>
    <mergeCell ref="A21:E23"/>
    <mergeCell ref="A26:M26"/>
    <mergeCell ref="D110:D111"/>
    <mergeCell ref="B94:C94"/>
    <mergeCell ref="B95:C95"/>
    <mergeCell ref="B96:C96"/>
    <mergeCell ref="J157:M157"/>
    <mergeCell ref="J154:M154"/>
    <mergeCell ref="J150:M150"/>
    <mergeCell ref="J146:M146"/>
    <mergeCell ref="J177:M177"/>
    <mergeCell ref="J176:M176"/>
    <mergeCell ref="J172:M172"/>
    <mergeCell ref="J170:M170"/>
    <mergeCell ref="J168:M168"/>
    <mergeCell ref="J162:M162"/>
    <mergeCell ref="A110:A112"/>
    <mergeCell ref="D95:M95"/>
    <mergeCell ref="K94:M94"/>
    <mergeCell ref="H88:J88"/>
    <mergeCell ref="H89:J89"/>
    <mergeCell ref="K93:M93"/>
    <mergeCell ref="H93:J93"/>
    <mergeCell ref="K88:M88"/>
    <mergeCell ref="B98:C98"/>
    <mergeCell ref="B99:C99"/>
    <mergeCell ref="H94:J94"/>
    <mergeCell ref="H90:J90"/>
    <mergeCell ref="K90:M90"/>
    <mergeCell ref="K91:M91"/>
    <mergeCell ref="K92:M92"/>
    <mergeCell ref="K98:M98"/>
    <mergeCell ref="H96:J96"/>
    <mergeCell ref="H97:J97"/>
    <mergeCell ref="H98:J98"/>
    <mergeCell ref="H99:J99"/>
    <mergeCell ref="A2:L2"/>
    <mergeCell ref="A27:C29"/>
    <mergeCell ref="A56:C58"/>
    <mergeCell ref="G4:K5"/>
    <mergeCell ref="B45:C45"/>
    <mergeCell ref="B43:C43"/>
    <mergeCell ref="B46:C46"/>
    <mergeCell ref="B32:C32"/>
    <mergeCell ref="C4:C5"/>
    <mergeCell ref="D4:D5"/>
    <mergeCell ref="B48:C48"/>
    <mergeCell ref="B33:C33"/>
    <mergeCell ref="B41:C41"/>
    <mergeCell ref="B42:C42"/>
    <mergeCell ref="B44:C44"/>
    <mergeCell ref="B19:C19"/>
    <mergeCell ref="B38:C38"/>
    <mergeCell ref="B39:C39"/>
    <mergeCell ref="B35:C35"/>
    <mergeCell ref="H32:J32"/>
    <mergeCell ref="H33:J33"/>
    <mergeCell ref="H29:J29"/>
    <mergeCell ref="H41:J41"/>
    <mergeCell ref="H42:J42"/>
    <mergeCell ref="K137:M137"/>
    <mergeCell ref="K128:M128"/>
    <mergeCell ref="K129:M129"/>
    <mergeCell ref="K130:M130"/>
    <mergeCell ref="K131:M131"/>
    <mergeCell ref="K132:M132"/>
    <mergeCell ref="K133:M133"/>
    <mergeCell ref="K134:M134"/>
    <mergeCell ref="B97:C97"/>
    <mergeCell ref="B100:C100"/>
    <mergeCell ref="B101:C101"/>
    <mergeCell ref="B102:C102"/>
    <mergeCell ref="B103:C103"/>
    <mergeCell ref="K135:M135"/>
    <mergeCell ref="K122:M122"/>
    <mergeCell ref="K123:M123"/>
    <mergeCell ref="K124:M124"/>
    <mergeCell ref="K125:M125"/>
    <mergeCell ref="K126:M126"/>
    <mergeCell ref="K127:M127"/>
    <mergeCell ref="K120:M120"/>
    <mergeCell ref="K121:M121"/>
    <mergeCell ref="E110:E111"/>
    <mergeCell ref="K99:M99"/>
    <mergeCell ref="B66:C66"/>
    <mergeCell ref="B85:C85"/>
    <mergeCell ref="B86:C86"/>
    <mergeCell ref="B87:C87"/>
    <mergeCell ref="B93:C93"/>
    <mergeCell ref="B80:C80"/>
    <mergeCell ref="B92:C92"/>
    <mergeCell ref="B82:C82"/>
    <mergeCell ref="B83:C83"/>
    <mergeCell ref="B88:C88"/>
    <mergeCell ref="B91:C91"/>
    <mergeCell ref="B69:C69"/>
    <mergeCell ref="B90:C90"/>
    <mergeCell ref="B67:C67"/>
    <mergeCell ref="B68:C68"/>
    <mergeCell ref="B73:C73"/>
    <mergeCell ref="B89:C89"/>
    <mergeCell ref="B70:C70"/>
    <mergeCell ref="B71:C71"/>
    <mergeCell ref="B72:C72"/>
    <mergeCell ref="B74:C74"/>
    <mergeCell ref="B75:C75"/>
    <mergeCell ref="B76:C76"/>
    <mergeCell ref="B77:C77"/>
    <mergeCell ref="D87:M87"/>
    <mergeCell ref="H84:J84"/>
    <mergeCell ref="H85:J85"/>
    <mergeCell ref="H86:J86"/>
    <mergeCell ref="K83:M83"/>
    <mergeCell ref="H67:J67"/>
    <mergeCell ref="H68:J68"/>
    <mergeCell ref="K69:M69"/>
    <mergeCell ref="D70:M70"/>
    <mergeCell ref="K79:M79"/>
    <mergeCell ref="K84:M84"/>
    <mergeCell ref="K85:M85"/>
    <mergeCell ref="K86:M86"/>
    <mergeCell ref="H83:J83"/>
    <mergeCell ref="H75:J75"/>
    <mergeCell ref="H79:J79"/>
    <mergeCell ref="K78:M78"/>
    <mergeCell ref="K75:M75"/>
    <mergeCell ref="K76:M76"/>
    <mergeCell ref="K77:M77"/>
    <mergeCell ref="H77:J77"/>
    <mergeCell ref="H69:J69"/>
    <mergeCell ref="H71:J71"/>
    <mergeCell ref="H72:J72"/>
    <mergeCell ref="B62:C62"/>
    <mergeCell ref="B63:C63"/>
    <mergeCell ref="B65:C65"/>
    <mergeCell ref="B60:C60"/>
    <mergeCell ref="B51:C51"/>
    <mergeCell ref="B64:C64"/>
    <mergeCell ref="B61:C61"/>
    <mergeCell ref="B47:C47"/>
    <mergeCell ref="A55:F55"/>
    <mergeCell ref="D56:D57"/>
    <mergeCell ref="E56:E57"/>
    <mergeCell ref="F56:F57"/>
    <mergeCell ref="B52:C52"/>
    <mergeCell ref="B50:C50"/>
    <mergeCell ref="D59:M59"/>
    <mergeCell ref="K63:M63"/>
    <mergeCell ref="H60:J60"/>
    <mergeCell ref="H63:J63"/>
    <mergeCell ref="K60:M60"/>
    <mergeCell ref="K61:M61"/>
    <mergeCell ref="K49:M49"/>
    <mergeCell ref="H58:J58"/>
    <mergeCell ref="G56:G57"/>
    <mergeCell ref="H50:J50"/>
    <mergeCell ref="B79:C79"/>
    <mergeCell ref="B78:C78"/>
    <mergeCell ref="B84:C84"/>
    <mergeCell ref="B81:C81"/>
    <mergeCell ref="C3:K3"/>
    <mergeCell ref="F4:F5"/>
    <mergeCell ref="H8:L9"/>
    <mergeCell ref="F8:F9"/>
    <mergeCell ref="E4:E5"/>
    <mergeCell ref="G8:G9"/>
    <mergeCell ref="E8:E9"/>
    <mergeCell ref="B15:C15"/>
    <mergeCell ref="B16:C16"/>
    <mergeCell ref="A3:B3"/>
    <mergeCell ref="B11:C11"/>
    <mergeCell ref="A10:C10"/>
    <mergeCell ref="A4:B5"/>
    <mergeCell ref="A7:L7"/>
    <mergeCell ref="A8:C9"/>
    <mergeCell ref="D8:D9"/>
    <mergeCell ref="B14:C14"/>
    <mergeCell ref="B49:C49"/>
    <mergeCell ref="B34:C34"/>
    <mergeCell ref="H51:J51"/>
    <mergeCell ref="E27:E28"/>
    <mergeCell ref="H44:J44"/>
    <mergeCell ref="H35:J35"/>
    <mergeCell ref="H36:J36"/>
    <mergeCell ref="H37:J37"/>
    <mergeCell ref="H34:J34"/>
    <mergeCell ref="B18:C18"/>
    <mergeCell ref="B12:C12"/>
    <mergeCell ref="B13:C13"/>
    <mergeCell ref="B17:C17"/>
    <mergeCell ref="H40:J40"/>
    <mergeCell ref="B20:C20"/>
    <mergeCell ref="H27:J28"/>
    <mergeCell ref="H31:J31"/>
    <mergeCell ref="D27:D28"/>
    <mergeCell ref="H39:J39"/>
    <mergeCell ref="B36:C36"/>
    <mergeCell ref="B30:C30"/>
    <mergeCell ref="B31:C31"/>
    <mergeCell ref="B37:C37"/>
    <mergeCell ref="B40:C40"/>
    <mergeCell ref="H30:J30"/>
    <mergeCell ref="H38:J38"/>
    <mergeCell ref="H23:I23"/>
    <mergeCell ref="F27:F28"/>
    <mergeCell ref="G27:G28"/>
    <mergeCell ref="K42:M42"/>
    <mergeCell ref="K52:M52"/>
    <mergeCell ref="K56:M57"/>
    <mergeCell ref="K51:M51"/>
    <mergeCell ref="K50:M50"/>
    <mergeCell ref="H48:J48"/>
    <mergeCell ref="H47:J47"/>
    <mergeCell ref="H52:J52"/>
    <mergeCell ref="K40:M40"/>
    <mergeCell ref="K41:M41"/>
    <mergeCell ref="H56:J57"/>
    <mergeCell ref="K43:M43"/>
    <mergeCell ref="K44:M44"/>
    <mergeCell ref="K45:M45"/>
    <mergeCell ref="H45:J45"/>
    <mergeCell ref="H46:J46"/>
    <mergeCell ref="K46:M46"/>
    <mergeCell ref="H43:J43"/>
    <mergeCell ref="K47:M47"/>
    <mergeCell ref="K48:M48"/>
    <mergeCell ref="H22:L22"/>
    <mergeCell ref="K33:M33"/>
    <mergeCell ref="K34:M34"/>
    <mergeCell ref="K35:M35"/>
    <mergeCell ref="K38:M38"/>
    <mergeCell ref="K39:M39"/>
    <mergeCell ref="K30:M30"/>
    <mergeCell ref="K31:M31"/>
    <mergeCell ref="K32:M32"/>
    <mergeCell ref="K27:M28"/>
    <mergeCell ref="K36:M36"/>
    <mergeCell ref="K37:M37"/>
    <mergeCell ref="J23:L23"/>
    <mergeCell ref="K29:M29"/>
    <mergeCell ref="H61:J61"/>
    <mergeCell ref="H62:J62"/>
    <mergeCell ref="K58:M58"/>
    <mergeCell ref="H49:J49"/>
    <mergeCell ref="K65:M65"/>
    <mergeCell ref="K66:M66"/>
    <mergeCell ref="K67:M67"/>
    <mergeCell ref="K68:M68"/>
    <mergeCell ref="K62:M62"/>
    <mergeCell ref="H64:J64"/>
    <mergeCell ref="H65:J65"/>
    <mergeCell ref="H66:J66"/>
    <mergeCell ref="K64:M64"/>
    <mergeCell ref="H73:J73"/>
    <mergeCell ref="H76:J76"/>
    <mergeCell ref="K71:M71"/>
    <mergeCell ref="D74:M74"/>
    <mergeCell ref="K72:M72"/>
    <mergeCell ref="K73:M73"/>
    <mergeCell ref="H81:J81"/>
    <mergeCell ref="H80:J80"/>
    <mergeCell ref="K80:M80"/>
    <mergeCell ref="H78:J78"/>
    <mergeCell ref="K81:M81"/>
    <mergeCell ref="D82:M82"/>
    <mergeCell ref="H91:J91"/>
    <mergeCell ref="H92:J92"/>
    <mergeCell ref="K89:M89"/>
    <mergeCell ref="K136:M136"/>
    <mergeCell ref="B123:C123"/>
    <mergeCell ref="B124:C124"/>
    <mergeCell ref="B125:C125"/>
    <mergeCell ref="B126:C126"/>
    <mergeCell ref="B127:C127"/>
    <mergeCell ref="K113:M113"/>
    <mergeCell ref="K114:M114"/>
    <mergeCell ref="K105:M105"/>
    <mergeCell ref="K107:M107"/>
    <mergeCell ref="H116:J116"/>
    <mergeCell ref="B113:C113"/>
    <mergeCell ref="H123:J123"/>
    <mergeCell ref="H124:J124"/>
    <mergeCell ref="H125:J125"/>
    <mergeCell ref="H126:J126"/>
    <mergeCell ref="B107:C107"/>
    <mergeCell ref="B110:C112"/>
    <mergeCell ref="K96:M96"/>
    <mergeCell ref="K97:M97"/>
    <mergeCell ref="H137:J137"/>
    <mergeCell ref="H127:J127"/>
    <mergeCell ref="H128:J128"/>
    <mergeCell ref="H129:J129"/>
    <mergeCell ref="H130:J130"/>
    <mergeCell ref="H131:J131"/>
    <mergeCell ref="H133:J133"/>
    <mergeCell ref="H134:J134"/>
    <mergeCell ref="B137:C137"/>
    <mergeCell ref="B129:C129"/>
    <mergeCell ref="B130:C130"/>
    <mergeCell ref="B131:C131"/>
    <mergeCell ref="B132:C132"/>
    <mergeCell ref="B133:C133"/>
    <mergeCell ref="B134:C134"/>
    <mergeCell ref="H135:J135"/>
    <mergeCell ref="H132:J132"/>
    <mergeCell ref="B135:C135"/>
    <mergeCell ref="B136:C136"/>
    <mergeCell ref="H136:J136"/>
    <mergeCell ref="B121:C121"/>
    <mergeCell ref="B122:C122"/>
    <mergeCell ref="H120:J120"/>
    <mergeCell ref="H121:J121"/>
    <mergeCell ref="H117:J117"/>
    <mergeCell ref="H118:J118"/>
    <mergeCell ref="H119:J119"/>
    <mergeCell ref="B119:C119"/>
    <mergeCell ref="H122:J122"/>
    <mergeCell ref="B117:C117"/>
    <mergeCell ref="B118:C118"/>
    <mergeCell ref="B120:C120"/>
    <mergeCell ref="H103:J103"/>
    <mergeCell ref="B115:C115"/>
    <mergeCell ref="B116:C116"/>
    <mergeCell ref="B106:C106"/>
    <mergeCell ref="B105:C105"/>
    <mergeCell ref="B104:C104"/>
    <mergeCell ref="G107:J107"/>
    <mergeCell ref="H100:J100"/>
    <mergeCell ref="K103:M103"/>
    <mergeCell ref="H101:J101"/>
    <mergeCell ref="K102:M102"/>
    <mergeCell ref="K100:M100"/>
    <mergeCell ref="B114:C114"/>
    <mergeCell ref="H114:J114"/>
    <mergeCell ref="H112:J112"/>
    <mergeCell ref="H115:J115"/>
    <mergeCell ref="G110:G111"/>
    <mergeCell ref="K101:M101"/>
    <mergeCell ref="H102:J102"/>
    <mergeCell ref="K119:M119"/>
    <mergeCell ref="H110:J111"/>
    <mergeCell ref="K110:M111"/>
    <mergeCell ref="K116:M116"/>
    <mergeCell ref="H113:J113"/>
    <mergeCell ref="K104:M104"/>
    <mergeCell ref="H106:J106"/>
    <mergeCell ref="K106:M106"/>
    <mergeCell ref="G105:J105"/>
    <mergeCell ref="H104:J104"/>
    <mergeCell ref="K115:M115"/>
    <mergeCell ref="K117:M117"/>
    <mergeCell ref="K118:M118"/>
  </mergeCells>
  <conditionalFormatting sqref="A21:E23">
    <cfRule type="containsBlanks" dxfId="18" priority="1" stopIfTrue="1">
      <formula>LEN(TRIM(A21))=0</formula>
    </cfRule>
  </conditionalFormatting>
  <pageMargins left="0.7" right="0.7" top="0.75" bottom="0.75" header="0.3" footer="0.3"/>
  <pageSetup paperSize="9" scale="51" orientation="portrait" verticalDpi="4294967293" r:id="rId1"/>
  <rowBreaks count="2" manualBreakCount="2">
    <brk id="23" max="16383" man="1"/>
    <brk id="127" max="16383" man="1"/>
  </rowBreaks>
  <colBreaks count="1" manualBreakCount="1">
    <brk id="13" max="261" man="1"/>
  </colBreaks>
  <drawing r:id="rId2"/>
  <legacyDrawing r:id="rId3"/>
  <oleObjects>
    <mc:AlternateContent xmlns:mc="http://schemas.openxmlformats.org/markup-compatibility/2006">
      <mc:Choice Requires="x14">
        <oleObject shapeId="3083">
          <objectPr defaultSize="0" autoFill="0" autoLine="0" autoPict="0" dde="1">
            <anchor moveWithCells="1">
              <from>
                <xdr:col>7</xdr:col>
                <xdr:colOff>28575</xdr:colOff>
                <xdr:row>17</xdr:row>
                <xdr:rowOff>561975</xdr:rowOff>
              </from>
              <to>
                <xdr:col>7</xdr:col>
                <xdr:colOff>257175</xdr:colOff>
                <xdr:row>17</xdr:row>
                <xdr:rowOff>752475</xdr:rowOff>
              </to>
            </anchor>
          </objectPr>
        </oleObject>
      </mc:Choice>
    </mc:AlternateContent>
    <mc:AlternateContent xmlns:mc="http://schemas.openxmlformats.org/markup-compatibility/2006">
      <mc:Choice Requires="x14">
        <oleObject shapeId="3147">
          <objectPr defaultSize="0" autoFill="0" autoLine="0" autoPict="0" dde="1">
            <anchor moveWithCells="1">
              <from>
                <xdr:col>7</xdr:col>
                <xdr:colOff>28575</xdr:colOff>
                <xdr:row>18</xdr:row>
                <xdr:rowOff>514350</xdr:rowOff>
              </from>
              <to>
                <xdr:col>7</xdr:col>
                <xdr:colOff>257175</xdr:colOff>
                <xdr:row>18</xdr:row>
                <xdr:rowOff>704850</xdr:rowOff>
              </to>
            </anchor>
          </objectPr>
        </oleObject>
      </mc:Choice>
    </mc:AlternateContent>
    <mc:AlternateContent xmlns:mc="http://schemas.openxmlformats.org/markup-compatibility/2006">
      <mc:Choice Requires="x14">
        <oleObject shapeId="108540">
          <objectPr defaultSize="0" autoFill="0" autoLine="0" autoPict="0">
            <anchor moveWithCells="1">
              <from>
                <xdr:col>7</xdr:col>
                <xdr:colOff>28575</xdr:colOff>
                <xdr:row>10</xdr:row>
                <xdr:rowOff>561975</xdr:rowOff>
              </from>
              <to>
                <xdr:col>7</xdr:col>
                <xdr:colOff>257175</xdr:colOff>
                <xdr:row>10</xdr:row>
                <xdr:rowOff>752475</xdr:rowOff>
              </to>
            </anchor>
          </objectPr>
        </oleObject>
      </mc:Choice>
    </mc:AlternateContent>
    <mc:AlternateContent xmlns:mc="http://schemas.openxmlformats.org/markup-compatibility/2006">
      <mc:Choice Requires="x14">
        <oleObject shapeId="145707">
          <objectPr defaultSize="0" autoFill="0" autoPict="0" dde="1">
            <anchor moveWithCells="1">
              <from>
                <xdr:col>6</xdr:col>
                <xdr:colOff>771525</xdr:colOff>
                <xdr:row>11</xdr:row>
                <xdr:rowOff>0</xdr:rowOff>
              </from>
              <to>
                <xdr:col>11</xdr:col>
                <xdr:colOff>285750</xdr:colOff>
                <xdr:row>11</xdr:row>
                <xdr:rowOff>1295400</xdr:rowOff>
              </to>
            </anchor>
          </objectPr>
        </oleObject>
      </mc:Choice>
    </mc:AlternateContent>
    <mc:AlternateContent xmlns:mc="http://schemas.openxmlformats.org/markup-compatibility/2006">
      <mc:Choice Requires="x14">
        <oleObject shapeId="145708">
          <objectPr defaultSize="0" autoFill="0" autoLine="0" autoPict="0">
            <anchor moveWithCells="1">
              <from>
                <xdr:col>7</xdr:col>
                <xdr:colOff>19050</xdr:colOff>
                <xdr:row>11</xdr:row>
                <xdr:rowOff>590550</xdr:rowOff>
              </from>
              <to>
                <xdr:col>7</xdr:col>
                <xdr:colOff>247650</xdr:colOff>
                <xdr:row>11</xdr:row>
                <xdr:rowOff>781050</xdr:rowOff>
              </to>
            </anchor>
          </objectPr>
        </oleObject>
      </mc:Choice>
    </mc:AlternateContent>
    <mc:AlternateContent xmlns:mc="http://schemas.openxmlformats.org/markup-compatibility/2006">
      <mc:Choice Requires="x14">
        <oleObject shapeId="163096">
          <objectPr defaultSize="0" autoFill="0" autoLine="0" autoPict="0" dde="1">
            <anchor moveWithCells="1">
              <from>
                <xdr:col>7</xdr:col>
                <xdr:colOff>38100</xdr:colOff>
                <xdr:row>12</xdr:row>
                <xdr:rowOff>581025</xdr:rowOff>
              </from>
              <to>
                <xdr:col>7</xdr:col>
                <xdr:colOff>276225</xdr:colOff>
                <xdr:row>12</xdr:row>
                <xdr:rowOff>771525</xdr:rowOff>
              </to>
            </anchor>
          </objectPr>
        </oleObject>
      </mc:Choice>
    </mc:AlternateContent>
    <mc:AlternateContent xmlns:mc="http://schemas.openxmlformats.org/markup-compatibility/2006">
      <mc:Choice Requires="x14">
        <oleObject shapeId="163438">
          <objectPr defaultSize="0" autoFill="0" autoPict="0" dde="1">
            <anchor moveWithCells="1">
              <from>
                <xdr:col>7</xdr:col>
                <xdr:colOff>9525</xdr:colOff>
                <xdr:row>13</xdr:row>
                <xdr:rowOff>9525</xdr:rowOff>
              </from>
              <to>
                <xdr:col>12</xdr:col>
                <xdr:colOff>0</xdr:colOff>
                <xdr:row>13</xdr:row>
                <xdr:rowOff>1285875</xdr:rowOff>
              </to>
            </anchor>
          </objectPr>
        </oleObject>
      </mc:Choice>
    </mc:AlternateContent>
  </oleObjects>
  <mc:AlternateContent xmlns:mc="http://schemas.openxmlformats.org/markup-compatibility/2006">
    <mc:Choice Requires="x14">
      <controls>
        <mc:AlternateContent xmlns:mc="http://schemas.openxmlformats.org/markup-compatibility/2006">
          <mc:Choice Requires="x14">
            <control shapeId="3079" r:id="rId4" name="Group Box 7">
              <controlPr defaultSize="0" autoFill="0" autoPict="0">
                <anchor moveWithCells="1">
                  <from>
                    <xdr:col>7</xdr:col>
                    <xdr:colOff>0</xdr:colOff>
                    <xdr:row>10</xdr:row>
                    <xdr:rowOff>9525</xdr:rowOff>
                  </from>
                  <to>
                    <xdr:col>12</xdr:col>
                    <xdr:colOff>0</xdr:colOff>
                    <xdr:row>10</xdr:row>
                    <xdr:rowOff>1295400</xdr:rowOff>
                  </to>
                </anchor>
              </controlPr>
            </control>
          </mc:Choice>
        </mc:AlternateContent>
        <mc:AlternateContent xmlns:mc="http://schemas.openxmlformats.org/markup-compatibility/2006">
          <mc:Choice Requires="x14">
            <control shapeId="3083" r:id="rId5" name="Option Button 11">
              <controlPr defaultSize="0" autoFill="0" autoLine="0" autoPict="0">
                <anchor moveWithCells="1">
                  <from>
                    <xdr:col>7</xdr:col>
                    <xdr:colOff>28575</xdr:colOff>
                    <xdr:row>17</xdr:row>
                    <xdr:rowOff>561975</xdr:rowOff>
                  </from>
                  <to>
                    <xdr:col>7</xdr:col>
                    <xdr:colOff>257175</xdr:colOff>
                    <xdr:row>17</xdr:row>
                    <xdr:rowOff>752475</xdr:rowOff>
                  </to>
                </anchor>
              </controlPr>
            </control>
          </mc:Choice>
        </mc:AlternateContent>
        <mc:AlternateContent xmlns:mc="http://schemas.openxmlformats.org/markup-compatibility/2006">
          <mc:Choice Requires="x14">
            <control shapeId="3084" r:id="rId6" name="Option Button 12">
              <controlPr defaultSize="0" autoFill="0" autoLine="0" autoPict="0">
                <anchor moveWithCells="1">
                  <from>
                    <xdr:col>7</xdr:col>
                    <xdr:colOff>285750</xdr:colOff>
                    <xdr:row>17</xdr:row>
                    <xdr:rowOff>561975</xdr:rowOff>
                  </from>
                  <to>
                    <xdr:col>8</xdr:col>
                    <xdr:colOff>238125</xdr:colOff>
                    <xdr:row>17</xdr:row>
                    <xdr:rowOff>752475</xdr:rowOff>
                  </to>
                </anchor>
              </controlPr>
            </control>
          </mc:Choice>
        </mc:AlternateContent>
        <mc:AlternateContent xmlns:mc="http://schemas.openxmlformats.org/markup-compatibility/2006">
          <mc:Choice Requires="x14">
            <control shapeId="3085" r:id="rId7" name="Option Button 13">
              <controlPr defaultSize="0" autoFill="0" autoLine="0" autoPict="0">
                <anchor moveWithCells="1">
                  <from>
                    <xdr:col>9</xdr:col>
                    <xdr:colOff>9525</xdr:colOff>
                    <xdr:row>17</xdr:row>
                    <xdr:rowOff>561975</xdr:rowOff>
                  </from>
                  <to>
                    <xdr:col>9</xdr:col>
                    <xdr:colOff>266700</xdr:colOff>
                    <xdr:row>17</xdr:row>
                    <xdr:rowOff>752475</xdr:rowOff>
                  </to>
                </anchor>
              </controlPr>
            </control>
          </mc:Choice>
        </mc:AlternateContent>
        <mc:AlternateContent xmlns:mc="http://schemas.openxmlformats.org/markup-compatibility/2006">
          <mc:Choice Requires="x14">
            <control shapeId="3086" r:id="rId8" name="Option Button 14">
              <controlPr defaultSize="0" autoFill="0" autoLine="0" autoPict="0">
                <anchor moveWithCells="1">
                  <from>
                    <xdr:col>10</xdr:col>
                    <xdr:colOff>9525</xdr:colOff>
                    <xdr:row>17</xdr:row>
                    <xdr:rowOff>561975</xdr:rowOff>
                  </from>
                  <to>
                    <xdr:col>10</xdr:col>
                    <xdr:colOff>266700</xdr:colOff>
                    <xdr:row>17</xdr:row>
                    <xdr:rowOff>752475</xdr:rowOff>
                  </to>
                </anchor>
              </controlPr>
            </control>
          </mc:Choice>
        </mc:AlternateContent>
        <mc:AlternateContent xmlns:mc="http://schemas.openxmlformats.org/markup-compatibility/2006">
          <mc:Choice Requires="x14">
            <control shapeId="3145" r:id="rId9" name="Group Box 73">
              <controlPr defaultSize="0" autoFill="0" autoPict="0">
                <anchor moveWithCells="1">
                  <from>
                    <xdr:col>7</xdr:col>
                    <xdr:colOff>0</xdr:colOff>
                    <xdr:row>18</xdr:row>
                    <xdr:rowOff>9525</xdr:rowOff>
                  </from>
                  <to>
                    <xdr:col>12</xdr:col>
                    <xdr:colOff>0</xdr:colOff>
                    <xdr:row>19</xdr:row>
                    <xdr:rowOff>9525</xdr:rowOff>
                  </to>
                </anchor>
              </controlPr>
            </control>
          </mc:Choice>
        </mc:AlternateContent>
        <mc:AlternateContent xmlns:mc="http://schemas.openxmlformats.org/markup-compatibility/2006">
          <mc:Choice Requires="x14">
            <control shapeId="3147" r:id="rId10" name="Option Button 75">
              <controlPr defaultSize="0" autoFill="0" autoLine="0" autoPict="0">
                <anchor moveWithCells="1">
                  <from>
                    <xdr:col>7</xdr:col>
                    <xdr:colOff>28575</xdr:colOff>
                    <xdr:row>18</xdr:row>
                    <xdr:rowOff>514350</xdr:rowOff>
                  </from>
                  <to>
                    <xdr:col>7</xdr:col>
                    <xdr:colOff>257175</xdr:colOff>
                    <xdr:row>18</xdr:row>
                    <xdr:rowOff>704850</xdr:rowOff>
                  </to>
                </anchor>
              </controlPr>
            </control>
          </mc:Choice>
        </mc:AlternateContent>
        <mc:AlternateContent xmlns:mc="http://schemas.openxmlformats.org/markup-compatibility/2006">
          <mc:Choice Requires="x14">
            <control shapeId="3148" r:id="rId11" name="Option Button 76">
              <controlPr defaultSize="0" autoFill="0" autoLine="0" autoPict="0">
                <anchor moveWithCells="1">
                  <from>
                    <xdr:col>7</xdr:col>
                    <xdr:colOff>285750</xdr:colOff>
                    <xdr:row>18</xdr:row>
                    <xdr:rowOff>514350</xdr:rowOff>
                  </from>
                  <to>
                    <xdr:col>8</xdr:col>
                    <xdr:colOff>238125</xdr:colOff>
                    <xdr:row>18</xdr:row>
                    <xdr:rowOff>704850</xdr:rowOff>
                  </to>
                </anchor>
              </controlPr>
            </control>
          </mc:Choice>
        </mc:AlternateContent>
        <mc:AlternateContent xmlns:mc="http://schemas.openxmlformats.org/markup-compatibility/2006">
          <mc:Choice Requires="x14">
            <control shapeId="3149" r:id="rId12" name="Option Button 77">
              <controlPr defaultSize="0" autoFill="0" autoLine="0" autoPict="0">
                <anchor moveWithCells="1">
                  <from>
                    <xdr:col>9</xdr:col>
                    <xdr:colOff>0</xdr:colOff>
                    <xdr:row>18</xdr:row>
                    <xdr:rowOff>514350</xdr:rowOff>
                  </from>
                  <to>
                    <xdr:col>9</xdr:col>
                    <xdr:colOff>257175</xdr:colOff>
                    <xdr:row>18</xdr:row>
                    <xdr:rowOff>704850</xdr:rowOff>
                  </to>
                </anchor>
              </controlPr>
            </control>
          </mc:Choice>
        </mc:AlternateContent>
        <mc:AlternateContent xmlns:mc="http://schemas.openxmlformats.org/markup-compatibility/2006">
          <mc:Choice Requires="x14">
            <control shapeId="3150" r:id="rId13" name="Option Button 78">
              <controlPr defaultSize="0" autoFill="0" autoLine="0" autoPict="0">
                <anchor moveWithCells="1">
                  <from>
                    <xdr:col>10</xdr:col>
                    <xdr:colOff>0</xdr:colOff>
                    <xdr:row>18</xdr:row>
                    <xdr:rowOff>514350</xdr:rowOff>
                  </from>
                  <to>
                    <xdr:col>10</xdr:col>
                    <xdr:colOff>257175</xdr:colOff>
                    <xdr:row>18</xdr:row>
                    <xdr:rowOff>704850</xdr:rowOff>
                  </to>
                </anchor>
              </controlPr>
            </control>
          </mc:Choice>
        </mc:AlternateContent>
        <mc:AlternateContent xmlns:mc="http://schemas.openxmlformats.org/markup-compatibility/2006">
          <mc:Choice Requires="x14">
            <control shapeId="3907" r:id="rId14" name="Option Button 835">
              <controlPr defaultSize="0" autoFill="0" autoLine="0" autoPict="0">
                <anchor moveWithCells="1">
                  <from>
                    <xdr:col>11</xdr:col>
                    <xdr:colOff>0</xdr:colOff>
                    <xdr:row>17</xdr:row>
                    <xdr:rowOff>561975</xdr:rowOff>
                  </from>
                  <to>
                    <xdr:col>11</xdr:col>
                    <xdr:colOff>247650</xdr:colOff>
                    <xdr:row>17</xdr:row>
                    <xdr:rowOff>752475</xdr:rowOff>
                  </to>
                </anchor>
              </controlPr>
            </control>
          </mc:Choice>
        </mc:AlternateContent>
        <mc:AlternateContent xmlns:mc="http://schemas.openxmlformats.org/markup-compatibility/2006">
          <mc:Choice Requires="x14">
            <control shapeId="3913" r:id="rId15" name="Option Button 841">
              <controlPr defaultSize="0" autoFill="0" autoLine="0" autoPict="0">
                <anchor moveWithCells="1">
                  <from>
                    <xdr:col>11</xdr:col>
                    <xdr:colOff>0</xdr:colOff>
                    <xdr:row>18</xdr:row>
                    <xdr:rowOff>514350</xdr:rowOff>
                  </from>
                  <to>
                    <xdr:col>11</xdr:col>
                    <xdr:colOff>247650</xdr:colOff>
                    <xdr:row>18</xdr:row>
                    <xdr:rowOff>704850</xdr:rowOff>
                  </to>
                </anchor>
              </controlPr>
            </control>
          </mc:Choice>
        </mc:AlternateContent>
        <mc:AlternateContent xmlns:mc="http://schemas.openxmlformats.org/markup-compatibility/2006">
          <mc:Choice Requires="x14">
            <control shapeId="108540" r:id="rId16" name="Option Button 12284">
              <controlPr defaultSize="0" autoFill="0" autoLine="0" autoPict="0">
                <anchor moveWithCells="1">
                  <from>
                    <xdr:col>7</xdr:col>
                    <xdr:colOff>28575</xdr:colOff>
                    <xdr:row>10</xdr:row>
                    <xdr:rowOff>561975</xdr:rowOff>
                  </from>
                  <to>
                    <xdr:col>7</xdr:col>
                    <xdr:colOff>257175</xdr:colOff>
                    <xdr:row>10</xdr:row>
                    <xdr:rowOff>752475</xdr:rowOff>
                  </to>
                </anchor>
              </controlPr>
            </control>
          </mc:Choice>
        </mc:AlternateContent>
        <mc:AlternateContent xmlns:mc="http://schemas.openxmlformats.org/markup-compatibility/2006">
          <mc:Choice Requires="x14">
            <control shapeId="108541" r:id="rId17" name="Option Button 12285">
              <controlPr defaultSize="0" autoFill="0" autoLine="0" autoPict="0">
                <anchor moveWithCells="1">
                  <from>
                    <xdr:col>8</xdr:col>
                    <xdr:colOff>0</xdr:colOff>
                    <xdr:row>10</xdr:row>
                    <xdr:rowOff>561975</xdr:rowOff>
                  </from>
                  <to>
                    <xdr:col>8</xdr:col>
                    <xdr:colOff>247650</xdr:colOff>
                    <xdr:row>10</xdr:row>
                    <xdr:rowOff>752475</xdr:rowOff>
                  </to>
                </anchor>
              </controlPr>
            </control>
          </mc:Choice>
        </mc:AlternateContent>
        <mc:AlternateContent xmlns:mc="http://schemas.openxmlformats.org/markup-compatibility/2006">
          <mc:Choice Requires="x14">
            <control shapeId="108542" r:id="rId18" name="Option Button 12286">
              <controlPr defaultSize="0" autoFill="0" autoLine="0" autoPict="0">
                <anchor moveWithCells="1">
                  <from>
                    <xdr:col>9</xdr:col>
                    <xdr:colOff>38100</xdr:colOff>
                    <xdr:row>10</xdr:row>
                    <xdr:rowOff>561975</xdr:rowOff>
                  </from>
                  <to>
                    <xdr:col>10</xdr:col>
                    <xdr:colOff>0</xdr:colOff>
                    <xdr:row>10</xdr:row>
                    <xdr:rowOff>752475</xdr:rowOff>
                  </to>
                </anchor>
              </controlPr>
            </control>
          </mc:Choice>
        </mc:AlternateContent>
        <mc:AlternateContent xmlns:mc="http://schemas.openxmlformats.org/markup-compatibility/2006">
          <mc:Choice Requires="x14">
            <control shapeId="108543" r:id="rId19" name="Option Button 12287">
              <controlPr defaultSize="0" autoFill="0" autoLine="0" autoPict="0">
                <anchor moveWithCells="1">
                  <from>
                    <xdr:col>10</xdr:col>
                    <xdr:colOff>47625</xdr:colOff>
                    <xdr:row>10</xdr:row>
                    <xdr:rowOff>561975</xdr:rowOff>
                  </from>
                  <to>
                    <xdr:col>11</xdr:col>
                    <xdr:colOff>9525</xdr:colOff>
                    <xdr:row>10</xdr:row>
                    <xdr:rowOff>752475</xdr:rowOff>
                  </to>
                </anchor>
              </controlPr>
            </control>
          </mc:Choice>
        </mc:AlternateContent>
        <mc:AlternateContent xmlns:mc="http://schemas.openxmlformats.org/markup-compatibility/2006">
          <mc:Choice Requires="x14">
            <control shapeId="117760" r:id="rId20" name="Option Button 12288">
              <controlPr defaultSize="0" autoFill="0" autoLine="0" autoPict="0">
                <anchor moveWithCells="1">
                  <from>
                    <xdr:col>11</xdr:col>
                    <xdr:colOff>0</xdr:colOff>
                    <xdr:row>10</xdr:row>
                    <xdr:rowOff>561975</xdr:rowOff>
                  </from>
                  <to>
                    <xdr:col>11</xdr:col>
                    <xdr:colOff>247650</xdr:colOff>
                    <xdr:row>10</xdr:row>
                    <xdr:rowOff>752475</xdr:rowOff>
                  </to>
                </anchor>
              </controlPr>
            </control>
          </mc:Choice>
        </mc:AlternateContent>
        <mc:AlternateContent xmlns:mc="http://schemas.openxmlformats.org/markup-compatibility/2006">
          <mc:Choice Requires="x14">
            <control shapeId="145707" r:id="rId21" name="Group Box 15659">
              <controlPr defaultSize="0" autoFill="0" autoPict="0">
                <anchor moveWithCells="1">
                  <from>
                    <xdr:col>6</xdr:col>
                    <xdr:colOff>771525</xdr:colOff>
                    <xdr:row>11</xdr:row>
                    <xdr:rowOff>0</xdr:rowOff>
                  </from>
                  <to>
                    <xdr:col>11</xdr:col>
                    <xdr:colOff>285750</xdr:colOff>
                    <xdr:row>11</xdr:row>
                    <xdr:rowOff>1295400</xdr:rowOff>
                  </to>
                </anchor>
              </controlPr>
            </control>
          </mc:Choice>
        </mc:AlternateContent>
        <mc:AlternateContent xmlns:mc="http://schemas.openxmlformats.org/markup-compatibility/2006">
          <mc:Choice Requires="x14">
            <control shapeId="145708" r:id="rId22" name="Option Button 15660">
              <controlPr defaultSize="0" autoFill="0" autoLine="0" autoPict="0">
                <anchor moveWithCells="1">
                  <from>
                    <xdr:col>7</xdr:col>
                    <xdr:colOff>19050</xdr:colOff>
                    <xdr:row>11</xdr:row>
                    <xdr:rowOff>590550</xdr:rowOff>
                  </from>
                  <to>
                    <xdr:col>7</xdr:col>
                    <xdr:colOff>247650</xdr:colOff>
                    <xdr:row>11</xdr:row>
                    <xdr:rowOff>781050</xdr:rowOff>
                  </to>
                </anchor>
              </controlPr>
            </control>
          </mc:Choice>
        </mc:AlternateContent>
        <mc:AlternateContent xmlns:mc="http://schemas.openxmlformats.org/markup-compatibility/2006">
          <mc:Choice Requires="x14">
            <control shapeId="145709" r:id="rId23" name="Option Button 15661">
              <controlPr defaultSize="0" autoFill="0" autoLine="0" autoPict="0">
                <anchor moveWithCells="1">
                  <from>
                    <xdr:col>7</xdr:col>
                    <xdr:colOff>276225</xdr:colOff>
                    <xdr:row>11</xdr:row>
                    <xdr:rowOff>590550</xdr:rowOff>
                  </from>
                  <to>
                    <xdr:col>8</xdr:col>
                    <xdr:colOff>228600</xdr:colOff>
                    <xdr:row>11</xdr:row>
                    <xdr:rowOff>781050</xdr:rowOff>
                  </to>
                </anchor>
              </controlPr>
            </control>
          </mc:Choice>
        </mc:AlternateContent>
        <mc:AlternateContent xmlns:mc="http://schemas.openxmlformats.org/markup-compatibility/2006">
          <mc:Choice Requires="x14">
            <control shapeId="145710" r:id="rId24" name="Option Button 15662">
              <controlPr defaultSize="0" autoFill="0" autoLine="0" autoPict="0">
                <anchor moveWithCells="1">
                  <from>
                    <xdr:col>9</xdr:col>
                    <xdr:colOff>28575</xdr:colOff>
                    <xdr:row>11</xdr:row>
                    <xdr:rowOff>590550</xdr:rowOff>
                  </from>
                  <to>
                    <xdr:col>9</xdr:col>
                    <xdr:colOff>285750</xdr:colOff>
                    <xdr:row>11</xdr:row>
                    <xdr:rowOff>781050</xdr:rowOff>
                  </to>
                </anchor>
              </controlPr>
            </control>
          </mc:Choice>
        </mc:AlternateContent>
        <mc:AlternateContent xmlns:mc="http://schemas.openxmlformats.org/markup-compatibility/2006">
          <mc:Choice Requires="x14">
            <control shapeId="145711" r:id="rId25" name="Option Button 15663">
              <controlPr defaultSize="0" autoFill="0" autoLine="0" autoPict="0">
                <anchor moveWithCells="1">
                  <from>
                    <xdr:col>10</xdr:col>
                    <xdr:colOff>38100</xdr:colOff>
                    <xdr:row>11</xdr:row>
                    <xdr:rowOff>590550</xdr:rowOff>
                  </from>
                  <to>
                    <xdr:col>11</xdr:col>
                    <xdr:colOff>0</xdr:colOff>
                    <xdr:row>11</xdr:row>
                    <xdr:rowOff>781050</xdr:rowOff>
                  </to>
                </anchor>
              </controlPr>
            </control>
          </mc:Choice>
        </mc:AlternateContent>
        <mc:AlternateContent xmlns:mc="http://schemas.openxmlformats.org/markup-compatibility/2006">
          <mc:Choice Requires="x14">
            <control shapeId="145712" r:id="rId26" name="Option Button 15664">
              <controlPr defaultSize="0" autoFill="0" autoLine="0" autoPict="0">
                <anchor moveWithCells="1">
                  <from>
                    <xdr:col>10</xdr:col>
                    <xdr:colOff>276225</xdr:colOff>
                    <xdr:row>11</xdr:row>
                    <xdr:rowOff>590550</xdr:rowOff>
                  </from>
                  <to>
                    <xdr:col>11</xdr:col>
                    <xdr:colOff>228600</xdr:colOff>
                    <xdr:row>11</xdr:row>
                    <xdr:rowOff>781050</xdr:rowOff>
                  </to>
                </anchor>
              </controlPr>
            </control>
          </mc:Choice>
        </mc:AlternateContent>
        <mc:AlternateContent xmlns:mc="http://schemas.openxmlformats.org/markup-compatibility/2006">
          <mc:Choice Requires="x14">
            <control shapeId="163095" r:id="rId27" name="Group Box 17687">
              <controlPr defaultSize="0" autoFill="0" autoPict="0">
                <anchor moveWithCells="1">
                  <from>
                    <xdr:col>7</xdr:col>
                    <xdr:colOff>9525</xdr:colOff>
                    <xdr:row>12</xdr:row>
                    <xdr:rowOff>9525</xdr:rowOff>
                  </from>
                  <to>
                    <xdr:col>12</xdr:col>
                    <xdr:colOff>0</xdr:colOff>
                    <xdr:row>12</xdr:row>
                    <xdr:rowOff>1295400</xdr:rowOff>
                  </to>
                </anchor>
              </controlPr>
            </control>
          </mc:Choice>
        </mc:AlternateContent>
        <mc:AlternateContent xmlns:mc="http://schemas.openxmlformats.org/markup-compatibility/2006">
          <mc:Choice Requires="x14">
            <control shapeId="163096" r:id="rId28" name="Option Button 17688">
              <controlPr defaultSize="0" autoFill="0" autoLine="0" autoPict="0">
                <anchor moveWithCells="1">
                  <from>
                    <xdr:col>7</xdr:col>
                    <xdr:colOff>38100</xdr:colOff>
                    <xdr:row>12</xdr:row>
                    <xdr:rowOff>581025</xdr:rowOff>
                  </from>
                  <to>
                    <xdr:col>7</xdr:col>
                    <xdr:colOff>276225</xdr:colOff>
                    <xdr:row>12</xdr:row>
                    <xdr:rowOff>771525</xdr:rowOff>
                  </to>
                </anchor>
              </controlPr>
            </control>
          </mc:Choice>
        </mc:AlternateContent>
        <mc:AlternateContent xmlns:mc="http://schemas.openxmlformats.org/markup-compatibility/2006">
          <mc:Choice Requires="x14">
            <control shapeId="163097" r:id="rId29" name="Option Button 17689">
              <controlPr defaultSize="0" autoFill="0" autoLine="0" autoPict="0">
                <anchor moveWithCells="1">
                  <from>
                    <xdr:col>8</xdr:col>
                    <xdr:colOff>9525</xdr:colOff>
                    <xdr:row>12</xdr:row>
                    <xdr:rowOff>581025</xdr:rowOff>
                  </from>
                  <to>
                    <xdr:col>8</xdr:col>
                    <xdr:colOff>266700</xdr:colOff>
                    <xdr:row>12</xdr:row>
                    <xdr:rowOff>771525</xdr:rowOff>
                  </to>
                </anchor>
              </controlPr>
            </control>
          </mc:Choice>
        </mc:AlternateContent>
        <mc:AlternateContent xmlns:mc="http://schemas.openxmlformats.org/markup-compatibility/2006">
          <mc:Choice Requires="x14">
            <control shapeId="163098" r:id="rId30" name="Option Button 17690">
              <controlPr defaultSize="0" autoFill="0" autoLine="0" autoPict="0">
                <anchor moveWithCells="1">
                  <from>
                    <xdr:col>9</xdr:col>
                    <xdr:colOff>47625</xdr:colOff>
                    <xdr:row>12</xdr:row>
                    <xdr:rowOff>581025</xdr:rowOff>
                  </from>
                  <to>
                    <xdr:col>10</xdr:col>
                    <xdr:colOff>9525</xdr:colOff>
                    <xdr:row>12</xdr:row>
                    <xdr:rowOff>771525</xdr:rowOff>
                  </to>
                </anchor>
              </controlPr>
            </control>
          </mc:Choice>
        </mc:AlternateContent>
        <mc:AlternateContent xmlns:mc="http://schemas.openxmlformats.org/markup-compatibility/2006">
          <mc:Choice Requires="x14">
            <control shapeId="163099" r:id="rId31" name="Option Button 17691">
              <controlPr defaultSize="0" autoFill="0" autoLine="0" autoPict="0">
                <anchor moveWithCells="1">
                  <from>
                    <xdr:col>10</xdr:col>
                    <xdr:colOff>57150</xdr:colOff>
                    <xdr:row>12</xdr:row>
                    <xdr:rowOff>581025</xdr:rowOff>
                  </from>
                  <to>
                    <xdr:col>11</xdr:col>
                    <xdr:colOff>9525</xdr:colOff>
                    <xdr:row>12</xdr:row>
                    <xdr:rowOff>771525</xdr:rowOff>
                  </to>
                </anchor>
              </controlPr>
            </control>
          </mc:Choice>
        </mc:AlternateContent>
        <mc:AlternateContent xmlns:mc="http://schemas.openxmlformats.org/markup-compatibility/2006">
          <mc:Choice Requires="x14">
            <control shapeId="163100" r:id="rId32" name="Option Button 17692">
              <controlPr defaultSize="0" autoFill="0" autoLine="0" autoPict="0">
                <anchor moveWithCells="1">
                  <from>
                    <xdr:col>11</xdr:col>
                    <xdr:colOff>0</xdr:colOff>
                    <xdr:row>12</xdr:row>
                    <xdr:rowOff>581025</xdr:rowOff>
                  </from>
                  <to>
                    <xdr:col>11</xdr:col>
                    <xdr:colOff>247650</xdr:colOff>
                    <xdr:row>12</xdr:row>
                    <xdr:rowOff>771525</xdr:rowOff>
                  </to>
                </anchor>
              </controlPr>
            </control>
          </mc:Choice>
        </mc:AlternateContent>
        <mc:AlternateContent xmlns:mc="http://schemas.openxmlformats.org/markup-compatibility/2006">
          <mc:Choice Requires="x14">
            <control shapeId="163438" r:id="rId33" name="Group Box 18030">
              <controlPr defaultSize="0" autoFill="0" autoPict="0">
                <anchor moveWithCells="1">
                  <from>
                    <xdr:col>7</xdr:col>
                    <xdr:colOff>9525</xdr:colOff>
                    <xdr:row>13</xdr:row>
                    <xdr:rowOff>9525</xdr:rowOff>
                  </from>
                  <to>
                    <xdr:col>12</xdr:col>
                    <xdr:colOff>0</xdr:colOff>
                    <xdr:row>13</xdr:row>
                    <xdr:rowOff>1285875</xdr:rowOff>
                  </to>
                </anchor>
              </controlPr>
            </control>
          </mc:Choice>
        </mc:AlternateContent>
        <mc:AlternateContent xmlns:mc="http://schemas.openxmlformats.org/markup-compatibility/2006">
          <mc:Choice Requires="x14">
            <control shapeId="163439" r:id="rId34" name="Option Button 18031">
              <controlPr defaultSize="0" autoFill="0" autoLine="0" autoPict="0">
                <anchor moveWithCells="1">
                  <from>
                    <xdr:col>7</xdr:col>
                    <xdr:colOff>38100</xdr:colOff>
                    <xdr:row>13</xdr:row>
                    <xdr:rowOff>581025</xdr:rowOff>
                  </from>
                  <to>
                    <xdr:col>7</xdr:col>
                    <xdr:colOff>276225</xdr:colOff>
                    <xdr:row>13</xdr:row>
                    <xdr:rowOff>771525</xdr:rowOff>
                  </to>
                </anchor>
              </controlPr>
            </control>
          </mc:Choice>
        </mc:AlternateContent>
        <mc:AlternateContent xmlns:mc="http://schemas.openxmlformats.org/markup-compatibility/2006">
          <mc:Choice Requires="x14">
            <control shapeId="163440" r:id="rId35" name="Option Button 18032">
              <controlPr defaultSize="0" autoFill="0" autoLine="0" autoPict="0">
                <anchor moveWithCells="1">
                  <from>
                    <xdr:col>8</xdr:col>
                    <xdr:colOff>9525</xdr:colOff>
                    <xdr:row>13</xdr:row>
                    <xdr:rowOff>581025</xdr:rowOff>
                  </from>
                  <to>
                    <xdr:col>8</xdr:col>
                    <xdr:colOff>266700</xdr:colOff>
                    <xdr:row>13</xdr:row>
                    <xdr:rowOff>771525</xdr:rowOff>
                  </to>
                </anchor>
              </controlPr>
            </control>
          </mc:Choice>
        </mc:AlternateContent>
        <mc:AlternateContent xmlns:mc="http://schemas.openxmlformats.org/markup-compatibility/2006">
          <mc:Choice Requires="x14">
            <control shapeId="163441" r:id="rId36" name="Option Button 18033">
              <controlPr defaultSize="0" autoFill="0" autoLine="0" autoPict="0">
                <anchor moveWithCells="1">
                  <from>
                    <xdr:col>9</xdr:col>
                    <xdr:colOff>47625</xdr:colOff>
                    <xdr:row>13</xdr:row>
                    <xdr:rowOff>581025</xdr:rowOff>
                  </from>
                  <to>
                    <xdr:col>10</xdr:col>
                    <xdr:colOff>9525</xdr:colOff>
                    <xdr:row>13</xdr:row>
                    <xdr:rowOff>771525</xdr:rowOff>
                  </to>
                </anchor>
              </controlPr>
            </control>
          </mc:Choice>
        </mc:AlternateContent>
        <mc:AlternateContent xmlns:mc="http://schemas.openxmlformats.org/markup-compatibility/2006">
          <mc:Choice Requires="x14">
            <control shapeId="163442" r:id="rId37" name="Option Button 18034">
              <controlPr defaultSize="0" autoFill="0" autoLine="0" autoPict="0">
                <anchor moveWithCells="1">
                  <from>
                    <xdr:col>10</xdr:col>
                    <xdr:colOff>57150</xdr:colOff>
                    <xdr:row>13</xdr:row>
                    <xdr:rowOff>581025</xdr:rowOff>
                  </from>
                  <to>
                    <xdr:col>11</xdr:col>
                    <xdr:colOff>9525</xdr:colOff>
                    <xdr:row>13</xdr:row>
                    <xdr:rowOff>771525</xdr:rowOff>
                  </to>
                </anchor>
              </controlPr>
            </control>
          </mc:Choice>
        </mc:AlternateContent>
        <mc:AlternateContent xmlns:mc="http://schemas.openxmlformats.org/markup-compatibility/2006">
          <mc:Choice Requires="x14">
            <control shapeId="163443" r:id="rId38" name="Option Button 18035">
              <controlPr defaultSize="0" autoFill="0" autoLine="0" autoPict="0">
                <anchor moveWithCells="1">
                  <from>
                    <xdr:col>11</xdr:col>
                    <xdr:colOff>0</xdr:colOff>
                    <xdr:row>13</xdr:row>
                    <xdr:rowOff>581025</xdr:rowOff>
                  </from>
                  <to>
                    <xdr:col>11</xdr:col>
                    <xdr:colOff>247650</xdr:colOff>
                    <xdr:row>13</xdr:row>
                    <xdr:rowOff>771525</xdr:rowOff>
                  </to>
                </anchor>
              </controlPr>
            </control>
          </mc:Choice>
        </mc:AlternateContent>
        <mc:AlternateContent xmlns:mc="http://schemas.openxmlformats.org/markup-compatibility/2006">
          <mc:Choice Requires="x14">
            <control shapeId="224456" r:id="rId39" name="Group Box 24776">
              <controlPr defaultSize="0" autoFill="0" autoPict="0">
                <anchor moveWithCells="1">
                  <from>
                    <xdr:col>7</xdr:col>
                    <xdr:colOff>9525</xdr:colOff>
                    <xdr:row>13</xdr:row>
                    <xdr:rowOff>1295400</xdr:rowOff>
                  </from>
                  <to>
                    <xdr:col>12</xdr:col>
                    <xdr:colOff>0</xdr:colOff>
                    <xdr:row>15</xdr:row>
                    <xdr:rowOff>9525</xdr:rowOff>
                  </to>
                </anchor>
              </controlPr>
            </control>
          </mc:Choice>
        </mc:AlternateContent>
        <mc:AlternateContent xmlns:mc="http://schemas.openxmlformats.org/markup-compatibility/2006">
          <mc:Choice Requires="x14">
            <control shapeId="224457" r:id="rId40" name="Option Button 24777">
              <controlPr defaultSize="0" autoFill="0" autoLine="0" autoPict="0">
                <anchor moveWithCells="1">
                  <from>
                    <xdr:col>7</xdr:col>
                    <xdr:colOff>38100</xdr:colOff>
                    <xdr:row>14</xdr:row>
                    <xdr:rowOff>581025</xdr:rowOff>
                  </from>
                  <to>
                    <xdr:col>7</xdr:col>
                    <xdr:colOff>276225</xdr:colOff>
                    <xdr:row>14</xdr:row>
                    <xdr:rowOff>771525</xdr:rowOff>
                  </to>
                </anchor>
              </controlPr>
            </control>
          </mc:Choice>
        </mc:AlternateContent>
        <mc:AlternateContent xmlns:mc="http://schemas.openxmlformats.org/markup-compatibility/2006">
          <mc:Choice Requires="x14">
            <control shapeId="224458" r:id="rId41" name="Option Button 24778">
              <controlPr defaultSize="0" autoFill="0" autoLine="0" autoPict="0">
                <anchor moveWithCells="1">
                  <from>
                    <xdr:col>8</xdr:col>
                    <xdr:colOff>9525</xdr:colOff>
                    <xdr:row>14</xdr:row>
                    <xdr:rowOff>581025</xdr:rowOff>
                  </from>
                  <to>
                    <xdr:col>8</xdr:col>
                    <xdr:colOff>266700</xdr:colOff>
                    <xdr:row>14</xdr:row>
                    <xdr:rowOff>771525</xdr:rowOff>
                  </to>
                </anchor>
              </controlPr>
            </control>
          </mc:Choice>
        </mc:AlternateContent>
        <mc:AlternateContent xmlns:mc="http://schemas.openxmlformats.org/markup-compatibility/2006">
          <mc:Choice Requires="x14">
            <control shapeId="224459" r:id="rId42" name="Option Button 24779">
              <controlPr defaultSize="0" autoFill="0" autoLine="0" autoPict="0">
                <anchor moveWithCells="1">
                  <from>
                    <xdr:col>9</xdr:col>
                    <xdr:colOff>47625</xdr:colOff>
                    <xdr:row>14</xdr:row>
                    <xdr:rowOff>581025</xdr:rowOff>
                  </from>
                  <to>
                    <xdr:col>10</xdr:col>
                    <xdr:colOff>9525</xdr:colOff>
                    <xdr:row>14</xdr:row>
                    <xdr:rowOff>771525</xdr:rowOff>
                  </to>
                </anchor>
              </controlPr>
            </control>
          </mc:Choice>
        </mc:AlternateContent>
        <mc:AlternateContent xmlns:mc="http://schemas.openxmlformats.org/markup-compatibility/2006">
          <mc:Choice Requires="x14">
            <control shapeId="224460" r:id="rId43" name="Option Button 24780">
              <controlPr defaultSize="0" autoFill="0" autoLine="0" autoPict="0">
                <anchor moveWithCells="1">
                  <from>
                    <xdr:col>10</xdr:col>
                    <xdr:colOff>57150</xdr:colOff>
                    <xdr:row>14</xdr:row>
                    <xdr:rowOff>581025</xdr:rowOff>
                  </from>
                  <to>
                    <xdr:col>11</xdr:col>
                    <xdr:colOff>9525</xdr:colOff>
                    <xdr:row>14</xdr:row>
                    <xdr:rowOff>771525</xdr:rowOff>
                  </to>
                </anchor>
              </controlPr>
            </control>
          </mc:Choice>
        </mc:AlternateContent>
        <mc:AlternateContent xmlns:mc="http://schemas.openxmlformats.org/markup-compatibility/2006">
          <mc:Choice Requires="x14">
            <control shapeId="224461" r:id="rId44" name="Option Button 24781">
              <controlPr defaultSize="0" autoFill="0" autoLine="0" autoPict="0">
                <anchor moveWithCells="1">
                  <from>
                    <xdr:col>11</xdr:col>
                    <xdr:colOff>0</xdr:colOff>
                    <xdr:row>14</xdr:row>
                    <xdr:rowOff>581025</xdr:rowOff>
                  </from>
                  <to>
                    <xdr:col>11</xdr:col>
                    <xdr:colOff>247650</xdr:colOff>
                    <xdr:row>14</xdr:row>
                    <xdr:rowOff>771525</xdr:rowOff>
                  </to>
                </anchor>
              </controlPr>
            </control>
          </mc:Choice>
        </mc:AlternateContent>
        <mc:AlternateContent xmlns:mc="http://schemas.openxmlformats.org/markup-compatibility/2006">
          <mc:Choice Requires="x14">
            <control shapeId="224795" r:id="rId45" name="Group Box 25115">
              <controlPr defaultSize="0" autoFill="0" autoPict="0">
                <anchor moveWithCells="1">
                  <from>
                    <xdr:col>7</xdr:col>
                    <xdr:colOff>9525</xdr:colOff>
                    <xdr:row>15</xdr:row>
                    <xdr:rowOff>0</xdr:rowOff>
                  </from>
                  <to>
                    <xdr:col>12</xdr:col>
                    <xdr:colOff>0</xdr:colOff>
                    <xdr:row>15</xdr:row>
                    <xdr:rowOff>1428750</xdr:rowOff>
                  </to>
                </anchor>
              </controlPr>
            </control>
          </mc:Choice>
        </mc:AlternateContent>
        <mc:AlternateContent xmlns:mc="http://schemas.openxmlformats.org/markup-compatibility/2006">
          <mc:Choice Requires="x14">
            <control shapeId="224796" r:id="rId46" name="Option Button 25116">
              <controlPr defaultSize="0" autoFill="0" autoLine="0" autoPict="0">
                <anchor moveWithCells="1">
                  <from>
                    <xdr:col>7</xdr:col>
                    <xdr:colOff>38100</xdr:colOff>
                    <xdr:row>15</xdr:row>
                    <xdr:rowOff>581025</xdr:rowOff>
                  </from>
                  <to>
                    <xdr:col>7</xdr:col>
                    <xdr:colOff>276225</xdr:colOff>
                    <xdr:row>15</xdr:row>
                    <xdr:rowOff>771525</xdr:rowOff>
                  </to>
                </anchor>
              </controlPr>
            </control>
          </mc:Choice>
        </mc:AlternateContent>
        <mc:AlternateContent xmlns:mc="http://schemas.openxmlformats.org/markup-compatibility/2006">
          <mc:Choice Requires="x14">
            <control shapeId="224797" r:id="rId47" name="Option Button 25117">
              <controlPr defaultSize="0" autoFill="0" autoLine="0" autoPict="0">
                <anchor moveWithCells="1">
                  <from>
                    <xdr:col>8</xdr:col>
                    <xdr:colOff>9525</xdr:colOff>
                    <xdr:row>15</xdr:row>
                    <xdr:rowOff>581025</xdr:rowOff>
                  </from>
                  <to>
                    <xdr:col>8</xdr:col>
                    <xdr:colOff>266700</xdr:colOff>
                    <xdr:row>15</xdr:row>
                    <xdr:rowOff>771525</xdr:rowOff>
                  </to>
                </anchor>
              </controlPr>
            </control>
          </mc:Choice>
        </mc:AlternateContent>
        <mc:AlternateContent xmlns:mc="http://schemas.openxmlformats.org/markup-compatibility/2006">
          <mc:Choice Requires="x14">
            <control shapeId="224798" r:id="rId48" name="Option Button 25118">
              <controlPr defaultSize="0" autoFill="0" autoLine="0" autoPict="0">
                <anchor moveWithCells="1">
                  <from>
                    <xdr:col>9</xdr:col>
                    <xdr:colOff>47625</xdr:colOff>
                    <xdr:row>15</xdr:row>
                    <xdr:rowOff>581025</xdr:rowOff>
                  </from>
                  <to>
                    <xdr:col>10</xdr:col>
                    <xdr:colOff>9525</xdr:colOff>
                    <xdr:row>15</xdr:row>
                    <xdr:rowOff>771525</xdr:rowOff>
                  </to>
                </anchor>
              </controlPr>
            </control>
          </mc:Choice>
        </mc:AlternateContent>
        <mc:AlternateContent xmlns:mc="http://schemas.openxmlformats.org/markup-compatibility/2006">
          <mc:Choice Requires="x14">
            <control shapeId="224799" r:id="rId49" name="Option Button 25119">
              <controlPr defaultSize="0" autoFill="0" autoLine="0" autoPict="0">
                <anchor moveWithCells="1">
                  <from>
                    <xdr:col>10</xdr:col>
                    <xdr:colOff>57150</xdr:colOff>
                    <xdr:row>15</xdr:row>
                    <xdr:rowOff>581025</xdr:rowOff>
                  </from>
                  <to>
                    <xdr:col>11</xdr:col>
                    <xdr:colOff>9525</xdr:colOff>
                    <xdr:row>15</xdr:row>
                    <xdr:rowOff>771525</xdr:rowOff>
                  </to>
                </anchor>
              </controlPr>
            </control>
          </mc:Choice>
        </mc:AlternateContent>
        <mc:AlternateContent xmlns:mc="http://schemas.openxmlformats.org/markup-compatibility/2006">
          <mc:Choice Requires="x14">
            <control shapeId="224800" r:id="rId50" name="Option Button 25120">
              <controlPr defaultSize="0" autoFill="0" autoLine="0" autoPict="0">
                <anchor moveWithCells="1">
                  <from>
                    <xdr:col>11</xdr:col>
                    <xdr:colOff>0</xdr:colOff>
                    <xdr:row>15</xdr:row>
                    <xdr:rowOff>581025</xdr:rowOff>
                  </from>
                  <to>
                    <xdr:col>11</xdr:col>
                    <xdr:colOff>247650</xdr:colOff>
                    <xdr:row>15</xdr:row>
                    <xdr:rowOff>771525</xdr:rowOff>
                  </to>
                </anchor>
              </controlPr>
            </control>
          </mc:Choice>
        </mc:AlternateContent>
        <mc:AlternateContent xmlns:mc="http://schemas.openxmlformats.org/markup-compatibility/2006">
          <mc:Choice Requires="x14">
            <control shapeId="225134" r:id="rId51" name="Group Box 25454">
              <controlPr defaultSize="0" autoFill="0" autoPict="0">
                <anchor moveWithCells="1">
                  <from>
                    <xdr:col>7</xdr:col>
                    <xdr:colOff>9525</xdr:colOff>
                    <xdr:row>16</xdr:row>
                    <xdr:rowOff>0</xdr:rowOff>
                  </from>
                  <to>
                    <xdr:col>12</xdr:col>
                    <xdr:colOff>0</xdr:colOff>
                    <xdr:row>17</xdr:row>
                    <xdr:rowOff>0</xdr:rowOff>
                  </to>
                </anchor>
              </controlPr>
            </control>
          </mc:Choice>
        </mc:AlternateContent>
        <mc:AlternateContent xmlns:mc="http://schemas.openxmlformats.org/markup-compatibility/2006">
          <mc:Choice Requires="x14">
            <control shapeId="225135" r:id="rId52" name="Option Button 25455">
              <controlPr defaultSize="0" autoFill="0" autoLine="0" autoPict="0">
                <anchor moveWithCells="1">
                  <from>
                    <xdr:col>7</xdr:col>
                    <xdr:colOff>38100</xdr:colOff>
                    <xdr:row>16</xdr:row>
                    <xdr:rowOff>581025</xdr:rowOff>
                  </from>
                  <to>
                    <xdr:col>7</xdr:col>
                    <xdr:colOff>276225</xdr:colOff>
                    <xdr:row>16</xdr:row>
                    <xdr:rowOff>771525</xdr:rowOff>
                  </to>
                </anchor>
              </controlPr>
            </control>
          </mc:Choice>
        </mc:AlternateContent>
        <mc:AlternateContent xmlns:mc="http://schemas.openxmlformats.org/markup-compatibility/2006">
          <mc:Choice Requires="x14">
            <control shapeId="225136" r:id="rId53" name="Option Button 25456">
              <controlPr defaultSize="0" autoFill="0" autoLine="0" autoPict="0">
                <anchor moveWithCells="1">
                  <from>
                    <xdr:col>8</xdr:col>
                    <xdr:colOff>9525</xdr:colOff>
                    <xdr:row>16</xdr:row>
                    <xdr:rowOff>581025</xdr:rowOff>
                  </from>
                  <to>
                    <xdr:col>8</xdr:col>
                    <xdr:colOff>266700</xdr:colOff>
                    <xdr:row>16</xdr:row>
                    <xdr:rowOff>771525</xdr:rowOff>
                  </to>
                </anchor>
              </controlPr>
            </control>
          </mc:Choice>
        </mc:AlternateContent>
        <mc:AlternateContent xmlns:mc="http://schemas.openxmlformats.org/markup-compatibility/2006">
          <mc:Choice Requires="x14">
            <control shapeId="225137" r:id="rId54" name="Option Button 25457">
              <controlPr defaultSize="0" autoFill="0" autoLine="0" autoPict="0">
                <anchor moveWithCells="1">
                  <from>
                    <xdr:col>9</xdr:col>
                    <xdr:colOff>47625</xdr:colOff>
                    <xdr:row>16</xdr:row>
                    <xdr:rowOff>581025</xdr:rowOff>
                  </from>
                  <to>
                    <xdr:col>10</xdr:col>
                    <xdr:colOff>9525</xdr:colOff>
                    <xdr:row>16</xdr:row>
                    <xdr:rowOff>771525</xdr:rowOff>
                  </to>
                </anchor>
              </controlPr>
            </control>
          </mc:Choice>
        </mc:AlternateContent>
        <mc:AlternateContent xmlns:mc="http://schemas.openxmlformats.org/markup-compatibility/2006">
          <mc:Choice Requires="x14">
            <control shapeId="225138" r:id="rId55" name="Option Button 25458">
              <controlPr defaultSize="0" autoFill="0" autoLine="0" autoPict="0">
                <anchor moveWithCells="1">
                  <from>
                    <xdr:col>10</xdr:col>
                    <xdr:colOff>57150</xdr:colOff>
                    <xdr:row>16</xdr:row>
                    <xdr:rowOff>581025</xdr:rowOff>
                  </from>
                  <to>
                    <xdr:col>11</xdr:col>
                    <xdr:colOff>9525</xdr:colOff>
                    <xdr:row>16</xdr:row>
                    <xdr:rowOff>771525</xdr:rowOff>
                  </to>
                </anchor>
              </controlPr>
            </control>
          </mc:Choice>
        </mc:AlternateContent>
        <mc:AlternateContent xmlns:mc="http://schemas.openxmlformats.org/markup-compatibility/2006">
          <mc:Choice Requires="x14">
            <control shapeId="225139" r:id="rId56" name="Option Button 25459">
              <controlPr defaultSize="0" autoFill="0" autoLine="0" autoPict="0">
                <anchor moveWithCells="1">
                  <from>
                    <xdr:col>11</xdr:col>
                    <xdr:colOff>0</xdr:colOff>
                    <xdr:row>16</xdr:row>
                    <xdr:rowOff>581025</xdr:rowOff>
                  </from>
                  <to>
                    <xdr:col>11</xdr:col>
                    <xdr:colOff>247650</xdr:colOff>
                    <xdr:row>16</xdr:row>
                    <xdr:rowOff>771525</xdr:rowOff>
                  </to>
                </anchor>
              </controlPr>
            </control>
          </mc:Choice>
        </mc:AlternateContent>
        <mc:AlternateContent xmlns:mc="http://schemas.openxmlformats.org/markup-compatibility/2006">
          <mc:Choice Requires="x14">
            <control shapeId="314989" r:id="rId57" name="Option Button 35437">
              <controlPr defaultSize="0" autoFill="0" autoLine="0" autoPict="0">
                <anchor moveWithCells="1">
                  <from>
                    <xdr:col>7</xdr:col>
                    <xdr:colOff>19050</xdr:colOff>
                    <xdr:row>19</xdr:row>
                    <xdr:rowOff>514350</xdr:rowOff>
                  </from>
                  <to>
                    <xdr:col>7</xdr:col>
                    <xdr:colOff>257175</xdr:colOff>
                    <xdr:row>19</xdr:row>
                    <xdr:rowOff>704850</xdr:rowOff>
                  </to>
                </anchor>
              </controlPr>
            </control>
          </mc:Choice>
        </mc:AlternateContent>
        <mc:AlternateContent xmlns:mc="http://schemas.openxmlformats.org/markup-compatibility/2006">
          <mc:Choice Requires="x14">
            <control shapeId="314990" r:id="rId58" name="Option Button 35438">
              <controlPr defaultSize="0" autoFill="0" autoLine="0" autoPict="0">
                <anchor moveWithCells="1">
                  <from>
                    <xdr:col>8</xdr:col>
                    <xdr:colOff>19050</xdr:colOff>
                    <xdr:row>19</xdr:row>
                    <xdr:rowOff>514350</xdr:rowOff>
                  </from>
                  <to>
                    <xdr:col>8</xdr:col>
                    <xdr:colOff>257175</xdr:colOff>
                    <xdr:row>19</xdr:row>
                    <xdr:rowOff>704850</xdr:rowOff>
                  </to>
                </anchor>
              </controlPr>
            </control>
          </mc:Choice>
        </mc:AlternateContent>
        <mc:AlternateContent xmlns:mc="http://schemas.openxmlformats.org/markup-compatibility/2006">
          <mc:Choice Requires="x14">
            <control shapeId="314991" r:id="rId59" name="Option Button 35439">
              <controlPr defaultSize="0" autoFill="0" autoLine="0" autoPict="0">
                <anchor moveWithCells="1">
                  <from>
                    <xdr:col>9</xdr:col>
                    <xdr:colOff>19050</xdr:colOff>
                    <xdr:row>19</xdr:row>
                    <xdr:rowOff>514350</xdr:rowOff>
                  </from>
                  <to>
                    <xdr:col>9</xdr:col>
                    <xdr:colOff>257175</xdr:colOff>
                    <xdr:row>19</xdr:row>
                    <xdr:rowOff>704850</xdr:rowOff>
                  </to>
                </anchor>
              </controlPr>
            </control>
          </mc:Choice>
        </mc:AlternateContent>
        <mc:AlternateContent xmlns:mc="http://schemas.openxmlformats.org/markup-compatibility/2006">
          <mc:Choice Requires="x14">
            <control shapeId="314992" r:id="rId60" name="Option Button 35440">
              <controlPr defaultSize="0" autoFill="0" autoLine="0" autoPict="0">
                <anchor moveWithCells="1">
                  <from>
                    <xdr:col>10</xdr:col>
                    <xdr:colOff>19050</xdr:colOff>
                    <xdr:row>19</xdr:row>
                    <xdr:rowOff>514350</xdr:rowOff>
                  </from>
                  <to>
                    <xdr:col>10</xdr:col>
                    <xdr:colOff>257175</xdr:colOff>
                    <xdr:row>19</xdr:row>
                    <xdr:rowOff>704850</xdr:rowOff>
                  </to>
                </anchor>
              </controlPr>
            </control>
          </mc:Choice>
        </mc:AlternateContent>
        <mc:AlternateContent xmlns:mc="http://schemas.openxmlformats.org/markup-compatibility/2006">
          <mc:Choice Requires="x14">
            <control shapeId="314993" r:id="rId61" name="Group Box 35441">
              <controlPr defaultSize="0" autoFill="0" autoPict="0">
                <anchor moveWithCells="1">
                  <from>
                    <xdr:col>7</xdr:col>
                    <xdr:colOff>0</xdr:colOff>
                    <xdr:row>19</xdr:row>
                    <xdr:rowOff>9525</xdr:rowOff>
                  </from>
                  <to>
                    <xdr:col>12</xdr:col>
                    <xdr:colOff>0</xdr:colOff>
                    <xdr:row>20</xdr:row>
                    <xdr:rowOff>9525</xdr:rowOff>
                  </to>
                </anchor>
              </controlPr>
            </control>
          </mc:Choice>
        </mc:AlternateContent>
        <mc:AlternateContent xmlns:mc="http://schemas.openxmlformats.org/markup-compatibility/2006">
          <mc:Choice Requires="x14">
            <control shapeId="314994" r:id="rId62" name="Option Button 35442">
              <controlPr defaultSize="0" autoFill="0" autoLine="0" autoPict="0">
                <anchor moveWithCells="1">
                  <from>
                    <xdr:col>11</xdr:col>
                    <xdr:colOff>19050</xdr:colOff>
                    <xdr:row>19</xdr:row>
                    <xdr:rowOff>514350</xdr:rowOff>
                  </from>
                  <to>
                    <xdr:col>11</xdr:col>
                    <xdr:colOff>257175</xdr:colOff>
                    <xdr:row>19</xdr:row>
                    <xdr:rowOff>704850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C00000"/>
  </sheetPr>
  <dimension ref="A1:AT619"/>
  <sheetViews>
    <sheetView showGridLines="0" view="pageBreakPreview" topLeftCell="A581" zoomScale="70" zoomScaleNormal="70" zoomScaleSheetLayoutView="70" zoomScalePageLayoutView="80" workbookViewId="0">
      <selection activeCell="L608" sqref="L608"/>
    </sheetView>
  </sheetViews>
  <sheetFormatPr defaultRowHeight="16.5" x14ac:dyDescent="0.3"/>
  <cols>
    <col min="1" max="1" width="3.42578125" style="2" customWidth="1"/>
    <col min="2" max="2" width="4.42578125" style="2" customWidth="1"/>
    <col min="3" max="3" width="4.85546875" style="8" customWidth="1"/>
    <col min="4" max="4" width="14.85546875" style="3" customWidth="1"/>
    <col min="5" max="5" width="17.7109375" style="3" customWidth="1"/>
    <col min="6" max="8" width="23.140625" style="2" customWidth="1"/>
    <col min="9" max="9" width="13.28515625" style="2" customWidth="1"/>
    <col min="10" max="10" width="22.85546875" style="2" customWidth="1"/>
    <col min="11" max="11" width="16.140625" style="2" bestFit="1" customWidth="1"/>
    <col min="12" max="12" width="9.140625" style="2"/>
    <col min="13" max="17" width="9.7109375" style="2" customWidth="1"/>
    <col min="18" max="18" width="10.28515625" style="2" customWidth="1"/>
    <col min="19" max="19" width="9.140625" style="2" customWidth="1"/>
    <col min="20" max="25" width="4.42578125" style="2" customWidth="1"/>
    <col min="26" max="26" width="4.140625" style="35" customWidth="1"/>
    <col min="27" max="27" width="4.28515625" style="2" customWidth="1"/>
    <col min="28" max="28" width="9.140625" style="2293" customWidth="1"/>
    <col min="29" max="31" width="9.140625" style="2"/>
    <col min="32" max="32" width="0" style="2349" hidden="1" customWidth="1"/>
    <col min="33" max="16384" width="9.140625" style="2"/>
  </cols>
  <sheetData>
    <row r="1" spans="1:34" s="7" customFormat="1" ht="28.5" customHeight="1" x14ac:dyDescent="0.25">
      <c r="A1" s="3798" t="s">
        <v>221</v>
      </c>
      <c r="B1" s="3799"/>
      <c r="C1" s="3799"/>
      <c r="D1" s="3799"/>
      <c r="E1" s="3799"/>
      <c r="F1" s="3799"/>
      <c r="G1" s="3799"/>
      <c r="H1" s="3799"/>
      <c r="I1" s="3799"/>
      <c r="J1" s="3799"/>
      <c r="K1" s="3799"/>
      <c r="L1" s="3799"/>
      <c r="M1" s="3799"/>
      <c r="N1" s="3799"/>
      <c r="O1" s="3799"/>
      <c r="P1" s="3799"/>
      <c r="Q1" s="3799"/>
      <c r="R1" s="3799"/>
      <c r="S1" s="3799"/>
      <c r="T1" s="3799"/>
      <c r="U1" s="3799"/>
      <c r="V1" s="3799"/>
      <c r="W1" s="3799"/>
      <c r="X1" s="3800"/>
      <c r="Z1" s="34"/>
      <c r="AB1" s="65"/>
      <c r="AF1" s="66"/>
    </row>
    <row r="2" spans="1:34" s="7" customFormat="1" ht="16.5" customHeight="1" thickBot="1" x14ac:dyDescent="0.3">
      <c r="A2" s="3801" t="s">
        <v>222</v>
      </c>
      <c r="B2" s="3802"/>
      <c r="C2" s="3802"/>
      <c r="D2" s="3802"/>
      <c r="E2" s="3802"/>
      <c r="F2" s="3802"/>
      <c r="G2" s="3802"/>
      <c r="H2" s="3802"/>
      <c r="I2" s="3802"/>
      <c r="J2" s="3802"/>
      <c r="K2" s="3802"/>
      <c r="L2" s="3802"/>
      <c r="M2" s="3802"/>
      <c r="N2" s="3802"/>
      <c r="O2" s="3802"/>
      <c r="P2" s="3802"/>
      <c r="Q2" s="3802"/>
      <c r="R2" s="3802"/>
      <c r="S2" s="3802"/>
      <c r="T2" s="3802"/>
      <c r="U2" s="3802"/>
      <c r="V2" s="3802"/>
      <c r="W2" s="3802"/>
      <c r="X2" s="3803"/>
      <c r="Z2" s="34"/>
      <c r="AB2" s="65"/>
      <c r="AF2" s="66"/>
    </row>
    <row r="3" spans="1:34" s="7" customFormat="1" ht="15" x14ac:dyDescent="0.35">
      <c r="A3" s="2289"/>
      <c r="B3" s="2289"/>
      <c r="C3" s="2289"/>
      <c r="D3" s="2289"/>
      <c r="E3" s="2289"/>
      <c r="F3" s="2289"/>
      <c r="G3" s="2289"/>
      <c r="H3" s="2289"/>
      <c r="I3" s="2289"/>
      <c r="J3" s="2289"/>
      <c r="K3" s="2289"/>
      <c r="L3" s="2289"/>
      <c r="M3" s="2289"/>
      <c r="N3" s="138"/>
      <c r="O3" s="138"/>
      <c r="P3" s="138"/>
      <c r="Q3" s="138"/>
      <c r="R3" s="138"/>
      <c r="S3" s="138"/>
      <c r="T3" s="138"/>
      <c r="U3" s="138"/>
      <c r="V3" s="138"/>
      <c r="W3" s="138"/>
      <c r="X3" s="138"/>
      <c r="Z3" s="34"/>
      <c r="AB3" s="65"/>
      <c r="AF3" s="66"/>
    </row>
    <row r="4" spans="1:34" s="7" customFormat="1" ht="29.25" customHeight="1" x14ac:dyDescent="0.35">
      <c r="A4" s="3028" t="s">
        <v>223</v>
      </c>
      <c r="B4" s="3028"/>
      <c r="C4" s="3028"/>
      <c r="D4" s="3028"/>
      <c r="E4" s="3028"/>
      <c r="F4" s="3028"/>
      <c r="G4" s="3809" t="s">
        <v>1714</v>
      </c>
      <c r="H4" s="3809"/>
      <c r="I4" s="3809"/>
      <c r="J4" s="3809" t="s">
        <v>224</v>
      </c>
      <c r="K4" s="3809"/>
      <c r="L4" s="3809"/>
      <c r="M4" s="3809" t="s">
        <v>225</v>
      </c>
      <c r="N4" s="3809"/>
      <c r="O4" s="3809"/>
      <c r="P4" s="138"/>
      <c r="Q4" s="1528"/>
      <c r="R4" s="1528"/>
      <c r="S4" s="1528"/>
      <c r="T4" s="1528"/>
      <c r="U4" s="1528"/>
      <c r="V4" s="1528"/>
      <c r="W4" s="1528"/>
      <c r="X4" s="1528"/>
      <c r="Y4" s="1289"/>
      <c r="Z4" s="2290"/>
      <c r="AA4" s="1289"/>
      <c r="AB4" s="68"/>
      <c r="AC4" s="61"/>
      <c r="AD4" s="61"/>
      <c r="AE4" s="60"/>
      <c r="AF4" s="2332"/>
      <c r="AG4" s="60"/>
      <c r="AH4" s="60"/>
    </row>
    <row r="5" spans="1:34" s="7" customFormat="1" ht="16.5" customHeight="1" x14ac:dyDescent="0.25">
      <c r="A5" s="3804" t="s">
        <v>226</v>
      </c>
      <c r="B5" s="3805"/>
      <c r="C5" s="3805"/>
      <c r="D5" s="3805"/>
      <c r="E5" s="3805"/>
      <c r="F5" s="3805"/>
      <c r="G5" s="3811" t="str">
        <f>'CEKLIST 002 (BIO DATA)'!D3</f>
        <v>Adi irawan saputra</v>
      </c>
      <c r="H5" s="3812"/>
      <c r="I5" s="3813"/>
      <c r="J5" s="3811" t="str">
        <f>'FIP(PAP-01)'!K32</f>
        <v>Jufrin H. Abdullah, S.Sos</v>
      </c>
      <c r="K5" s="3812"/>
      <c r="L5" s="3813"/>
      <c r="M5" s="3805" t="s">
        <v>279</v>
      </c>
      <c r="N5" s="3805"/>
      <c r="O5" s="3810"/>
      <c r="P5" s="1541"/>
      <c r="Q5" s="1541"/>
      <c r="R5" s="1541"/>
      <c r="S5" s="1541"/>
      <c r="T5" s="1541"/>
      <c r="U5" s="1541"/>
      <c r="V5" s="1541"/>
      <c r="W5" s="1541"/>
      <c r="X5" s="1541"/>
      <c r="Y5" s="2291"/>
      <c r="Z5" s="2290"/>
      <c r="AA5" s="2291"/>
      <c r="AB5" s="68"/>
      <c r="AC5" s="61"/>
      <c r="AD5" s="61"/>
      <c r="AE5" s="60"/>
      <c r="AF5" s="2332"/>
      <c r="AG5" s="60"/>
      <c r="AH5" s="60"/>
    </row>
    <row r="6" spans="1:34" s="7" customFormat="1" ht="16.5" customHeight="1" x14ac:dyDescent="0.25">
      <c r="A6" s="3807"/>
      <c r="B6" s="3808"/>
      <c r="C6" s="3808"/>
      <c r="D6" s="3808"/>
      <c r="E6" s="3808"/>
      <c r="F6" s="3808"/>
      <c r="G6" s="3814"/>
      <c r="H6" s="3815"/>
      <c r="I6" s="3816"/>
      <c r="J6" s="3814"/>
      <c r="K6" s="3815"/>
      <c r="L6" s="3816"/>
      <c r="M6" s="191"/>
      <c r="N6" s="191"/>
      <c r="O6" s="192"/>
      <c r="P6" s="1541"/>
      <c r="Q6" s="1541"/>
      <c r="R6" s="1541"/>
      <c r="S6" s="1541"/>
      <c r="T6" s="1541"/>
      <c r="U6" s="1541"/>
      <c r="V6" s="1541"/>
      <c r="W6" s="1541"/>
      <c r="X6" s="1541"/>
      <c r="Y6" s="2291"/>
      <c r="Z6" s="2290"/>
      <c r="AA6" s="2291"/>
      <c r="AB6" s="68"/>
      <c r="AC6" s="61"/>
      <c r="AD6" s="61"/>
      <c r="AE6" s="60"/>
      <c r="AF6" s="2332"/>
      <c r="AG6" s="60"/>
      <c r="AH6" s="60"/>
    </row>
    <row r="7" spans="1:34" s="7" customFormat="1" ht="16.5" customHeight="1" x14ac:dyDescent="0.25">
      <c r="A7" s="3806" t="s">
        <v>7</v>
      </c>
      <c r="B7" s="3550"/>
      <c r="C7" s="3550"/>
      <c r="D7" s="3550"/>
      <c r="E7" s="3550"/>
      <c r="F7" s="3550"/>
      <c r="G7" s="3811" t="str">
        <f>'CEKLIST 002 (BIO DATA)'!D4</f>
        <v>Deni Ardian</v>
      </c>
      <c r="H7" s="3812"/>
      <c r="I7" s="3813"/>
      <c r="J7" s="3811" t="str">
        <f>J5</f>
        <v>Jufrin H. Abdullah, S.Sos</v>
      </c>
      <c r="K7" s="3812"/>
      <c r="L7" s="3813"/>
      <c r="M7" s="3805" t="s">
        <v>279</v>
      </c>
      <c r="N7" s="3805"/>
      <c r="O7" s="3810"/>
      <c r="P7" s="1541"/>
      <c r="Q7" s="1541"/>
      <c r="R7" s="1541"/>
      <c r="S7" s="1541"/>
      <c r="T7" s="1541"/>
      <c r="U7" s="1541"/>
      <c r="V7" s="1541"/>
      <c r="W7" s="1541"/>
      <c r="X7" s="1541"/>
      <c r="Y7" s="2291"/>
      <c r="Z7" s="2290"/>
      <c r="AA7" s="2291"/>
      <c r="AB7" s="68"/>
      <c r="AC7" s="61"/>
      <c r="AD7" s="61"/>
      <c r="AE7" s="60"/>
      <c r="AF7" s="2332"/>
      <c r="AG7" s="60"/>
      <c r="AH7" s="60"/>
    </row>
    <row r="8" spans="1:34" s="7" customFormat="1" ht="16.5" customHeight="1" x14ac:dyDescent="0.25">
      <c r="A8" s="3807"/>
      <c r="B8" s="3808"/>
      <c r="C8" s="3808"/>
      <c r="D8" s="3808"/>
      <c r="E8" s="3808"/>
      <c r="F8" s="3808"/>
      <c r="G8" s="3814"/>
      <c r="H8" s="3815"/>
      <c r="I8" s="3816"/>
      <c r="J8" s="3814"/>
      <c r="K8" s="3815"/>
      <c r="L8" s="3816"/>
      <c r="M8" s="467"/>
      <c r="N8" s="467"/>
      <c r="O8" s="192"/>
      <c r="P8" s="1541"/>
      <c r="Q8" s="1541"/>
      <c r="R8" s="1541"/>
      <c r="S8" s="1541"/>
      <c r="T8" s="1541"/>
      <c r="U8" s="1541"/>
      <c r="V8" s="1541"/>
      <c r="W8" s="1541"/>
      <c r="X8" s="1541"/>
      <c r="Y8" s="2291"/>
      <c r="Z8" s="2290"/>
      <c r="AA8" s="2291"/>
      <c r="AB8" s="68"/>
      <c r="AC8" s="61"/>
      <c r="AD8" s="61"/>
      <c r="AE8" s="60"/>
      <c r="AF8" s="2332"/>
      <c r="AG8" s="60"/>
      <c r="AH8" s="60"/>
    </row>
    <row r="9" spans="1:34" s="7" customFormat="1" ht="15" x14ac:dyDescent="0.25">
      <c r="A9" s="560"/>
      <c r="B9" s="560"/>
      <c r="C9" s="560"/>
      <c r="D9" s="560"/>
      <c r="E9" s="560"/>
      <c r="F9" s="1509"/>
      <c r="G9" s="1509"/>
      <c r="H9" s="1509"/>
      <c r="I9" s="1509"/>
      <c r="J9" s="1509"/>
      <c r="K9" s="1509"/>
      <c r="L9" s="1519"/>
      <c r="M9" s="1519"/>
      <c r="N9" s="1541"/>
      <c r="O9" s="1541"/>
      <c r="P9" s="1541"/>
      <c r="Q9" s="1541"/>
      <c r="R9" s="1541"/>
      <c r="S9" s="1541"/>
      <c r="T9" s="1541"/>
      <c r="U9" s="1541"/>
      <c r="V9" s="1541"/>
      <c r="W9" s="1541"/>
      <c r="X9" s="1541"/>
      <c r="Y9" s="2291"/>
      <c r="Z9" s="2290"/>
      <c r="AA9" s="2291"/>
      <c r="AB9" s="68"/>
      <c r="AC9" s="61"/>
      <c r="AD9" s="61"/>
      <c r="AE9" s="60"/>
      <c r="AF9" s="2332"/>
      <c r="AG9" s="60"/>
      <c r="AH9" s="60"/>
    </row>
    <row r="10" spans="1:34" s="7" customFormat="1" ht="17.45" customHeight="1" x14ac:dyDescent="0.35">
      <c r="A10" s="2350" t="s">
        <v>47</v>
      </c>
      <c r="B10" s="3649" t="s">
        <v>227</v>
      </c>
      <c r="C10" s="3649"/>
      <c r="D10" s="3649"/>
      <c r="E10" s="2351"/>
      <c r="F10" s="2289"/>
      <c r="G10" s="138"/>
      <c r="H10" s="138"/>
      <c r="I10" s="138"/>
      <c r="J10" s="138"/>
      <c r="K10" s="138"/>
      <c r="L10" s="132"/>
      <c r="M10" s="132"/>
      <c r="N10" s="132"/>
      <c r="O10" s="132"/>
      <c r="P10" s="132"/>
      <c r="Q10" s="132"/>
      <c r="R10" s="132"/>
      <c r="S10" s="132"/>
      <c r="T10" s="132"/>
      <c r="U10" s="132"/>
      <c r="V10" s="132"/>
      <c r="W10" s="132"/>
      <c r="X10" s="132"/>
      <c r="Y10" s="60"/>
      <c r="Z10" s="65"/>
      <c r="AA10" s="60"/>
      <c r="AB10" s="65"/>
      <c r="AC10" s="60"/>
      <c r="AD10" s="60"/>
      <c r="AE10" s="60"/>
      <c r="AF10" s="2332"/>
      <c r="AG10" s="60"/>
      <c r="AH10" s="60"/>
    </row>
    <row r="11" spans="1:34" s="7" customFormat="1" ht="15" customHeight="1" x14ac:dyDescent="0.35">
      <c r="A11" s="2352">
        <v>1</v>
      </c>
      <c r="B11" s="3649" t="s">
        <v>228</v>
      </c>
      <c r="C11" s="3649"/>
      <c r="D11" s="3649"/>
      <c r="E11" s="3649"/>
      <c r="F11" s="3649"/>
      <c r="G11" s="3649"/>
      <c r="H11" s="3649"/>
      <c r="I11" s="3649"/>
      <c r="J11" s="138"/>
      <c r="K11" s="138"/>
      <c r="L11" s="132"/>
      <c r="M11" s="132"/>
      <c r="N11" s="132"/>
      <c r="O11" s="132"/>
      <c r="P11" s="132"/>
      <c r="Q11" s="132"/>
      <c r="R11" s="132"/>
      <c r="S11" s="132"/>
      <c r="T11" s="132"/>
      <c r="U11" s="132"/>
      <c r="V11" s="132"/>
      <c r="W11" s="132"/>
      <c r="X11" s="132"/>
      <c r="Y11" s="60"/>
      <c r="Z11" s="65"/>
      <c r="AA11" s="60"/>
      <c r="AB11" s="65"/>
      <c r="AC11" s="60"/>
      <c r="AD11" s="60"/>
      <c r="AE11" s="60"/>
      <c r="AF11" s="2332"/>
      <c r="AG11" s="60"/>
      <c r="AH11" s="60"/>
    </row>
    <row r="12" spans="1:34" s="7" customFormat="1" ht="15" customHeight="1" x14ac:dyDescent="0.35">
      <c r="A12" s="138"/>
      <c r="B12" s="3690" t="s">
        <v>229</v>
      </c>
      <c r="C12" s="3690"/>
      <c r="D12" s="3690"/>
      <c r="E12" s="3690"/>
      <c r="F12" s="3744" t="str">
        <f>'FIP(PAP-01)'!K8</f>
        <v>PD. BPR DOMPU</v>
      </c>
      <c r="G12" s="3744"/>
      <c r="H12" s="3744"/>
      <c r="I12" s="3744"/>
      <c r="J12" s="3744"/>
      <c r="K12" s="3744"/>
      <c r="L12" s="132"/>
      <c r="M12" s="132"/>
      <c r="N12" s="132"/>
      <c r="O12" s="132"/>
      <c r="P12" s="132"/>
      <c r="Q12" s="132"/>
      <c r="R12" s="132"/>
      <c r="S12" s="132"/>
      <c r="T12" s="132"/>
      <c r="U12" s="132"/>
      <c r="V12" s="132"/>
      <c r="W12" s="132"/>
      <c r="X12" s="132"/>
      <c r="Y12" s="60"/>
      <c r="Z12" s="65"/>
      <c r="AA12" s="60"/>
      <c r="AB12" s="65"/>
      <c r="AC12" s="60"/>
      <c r="AD12" s="60"/>
      <c r="AE12" s="60"/>
      <c r="AF12" s="2332"/>
      <c r="AG12" s="60"/>
      <c r="AH12" s="60"/>
    </row>
    <row r="13" spans="1:34" s="7" customFormat="1" ht="13.5" customHeight="1" x14ac:dyDescent="0.35">
      <c r="A13" s="138"/>
      <c r="B13" s="3690" t="s">
        <v>829</v>
      </c>
      <c r="C13" s="3690"/>
      <c r="D13" s="3690"/>
      <c r="E13" s="3690"/>
      <c r="F13" s="3690" t="s">
        <v>22</v>
      </c>
      <c r="G13" s="3690"/>
      <c r="H13" s="3690"/>
      <c r="I13" s="3690"/>
      <c r="J13" s="3690"/>
      <c r="K13" s="3690"/>
      <c r="L13" s="132"/>
      <c r="M13" s="132"/>
      <c r="N13" s="132"/>
      <c r="O13" s="132"/>
      <c r="P13" s="132"/>
      <c r="Q13" s="132"/>
      <c r="R13" s="132"/>
      <c r="S13" s="132"/>
      <c r="T13" s="132"/>
      <c r="U13" s="132"/>
      <c r="V13" s="132"/>
      <c r="W13" s="132"/>
      <c r="X13" s="132"/>
      <c r="Y13" s="60"/>
      <c r="Z13" s="65"/>
      <c r="AA13" s="60"/>
      <c r="AB13" s="65"/>
      <c r="AC13" s="60"/>
      <c r="AD13" s="60"/>
      <c r="AE13" s="60"/>
      <c r="AF13" s="2332"/>
      <c r="AG13" s="60"/>
      <c r="AH13" s="60"/>
    </row>
    <row r="14" spans="1:34" s="7" customFormat="1" ht="24" customHeight="1" x14ac:dyDescent="0.35">
      <c r="A14" s="138"/>
      <c r="B14" s="3690" t="s">
        <v>230</v>
      </c>
      <c r="C14" s="3690"/>
      <c r="D14" s="3690"/>
      <c r="E14" s="3690"/>
      <c r="F14" s="3744" t="str">
        <f>'FIP(PAP-01)'!K9</f>
        <v xml:space="preserve">Jl. Nusantara No. 04 </v>
      </c>
      <c r="G14" s="3744"/>
      <c r="H14" s="3744"/>
      <c r="I14" s="3744"/>
      <c r="J14" s="3744"/>
      <c r="K14" s="3744"/>
      <c r="L14" s="132"/>
      <c r="M14" s="132"/>
      <c r="N14" s="132"/>
      <c r="O14" s="132"/>
      <c r="P14" s="132"/>
      <c r="Q14" s="132"/>
      <c r="R14" s="132"/>
      <c r="S14" s="132"/>
      <c r="T14" s="132"/>
      <c r="U14" s="132"/>
      <c r="V14" s="132"/>
      <c r="W14" s="132"/>
      <c r="X14" s="132"/>
      <c r="Y14" s="60"/>
      <c r="Z14" s="65"/>
      <c r="AA14" s="60"/>
      <c r="AB14" s="65"/>
      <c r="AC14" s="60"/>
      <c r="AD14" s="60"/>
      <c r="AE14" s="60"/>
      <c r="AF14" s="2332"/>
      <c r="AG14" s="60"/>
      <c r="AH14" s="60"/>
    </row>
    <row r="15" spans="1:34" s="7" customFormat="1" ht="13.5" customHeight="1" x14ac:dyDescent="0.35">
      <c r="A15" s="132"/>
      <c r="B15" s="3745" t="s">
        <v>772</v>
      </c>
      <c r="C15" s="3745"/>
      <c r="D15" s="3745"/>
      <c r="E15" s="3745"/>
      <c r="F15" s="3876" t="s">
        <v>1577</v>
      </c>
      <c r="G15" s="3876"/>
      <c r="H15" s="3876"/>
      <c r="I15" s="3876"/>
      <c r="J15" s="3876"/>
      <c r="K15" s="3876"/>
      <c r="L15" s="132"/>
      <c r="M15" s="132"/>
      <c r="N15" s="132"/>
      <c r="O15" s="132"/>
      <c r="P15" s="132"/>
      <c r="Q15" s="132"/>
      <c r="R15" s="132"/>
      <c r="S15" s="132"/>
      <c r="T15" s="132"/>
      <c r="U15" s="132"/>
      <c r="V15" s="132"/>
      <c r="W15" s="132"/>
      <c r="X15" s="132"/>
      <c r="Y15" s="60"/>
      <c r="Z15" s="65"/>
      <c r="AA15" s="60"/>
      <c r="AB15" s="65"/>
      <c r="AC15" s="60"/>
      <c r="AD15" s="60"/>
      <c r="AE15" s="60"/>
      <c r="AF15" s="2332"/>
      <c r="AG15" s="60"/>
      <c r="AH15" s="60"/>
    </row>
    <row r="16" spans="1:34" s="7" customFormat="1" ht="13.5" customHeight="1" x14ac:dyDescent="0.35">
      <c r="A16" s="132"/>
      <c r="B16" s="3745" t="s">
        <v>231</v>
      </c>
      <c r="C16" s="3745"/>
      <c r="D16" s="3745"/>
      <c r="E16" s="3745"/>
      <c r="F16" s="3745" t="s">
        <v>1779</v>
      </c>
      <c r="G16" s="3745"/>
      <c r="H16" s="3745"/>
      <c r="I16" s="3745"/>
      <c r="J16" s="3745"/>
      <c r="K16" s="3745"/>
      <c r="L16" s="132"/>
      <c r="M16" s="132"/>
      <c r="N16" s="132"/>
      <c r="O16" s="132"/>
      <c r="P16" s="132"/>
      <c r="Q16" s="132"/>
      <c r="R16" s="132"/>
      <c r="S16" s="132"/>
      <c r="T16" s="132"/>
      <c r="U16" s="132"/>
      <c r="V16" s="132"/>
      <c r="W16" s="132"/>
      <c r="X16" s="132"/>
      <c r="Y16" s="60"/>
      <c r="Z16" s="65"/>
      <c r="AA16" s="60"/>
      <c r="AB16" s="65"/>
      <c r="AC16" s="60"/>
      <c r="AD16" s="60"/>
      <c r="AE16" s="60"/>
      <c r="AF16" s="2332"/>
      <c r="AG16" s="60"/>
      <c r="AH16" s="60"/>
    </row>
    <row r="17" spans="1:34" s="7" customFormat="1" ht="13.5" customHeight="1" x14ac:dyDescent="0.35">
      <c r="A17" s="132"/>
      <c r="B17" s="3745" t="s">
        <v>232</v>
      </c>
      <c r="C17" s="3745"/>
      <c r="D17" s="3745"/>
      <c r="E17" s="3745"/>
      <c r="F17" s="3745" t="s">
        <v>1780</v>
      </c>
      <c r="G17" s="3745"/>
      <c r="H17" s="3745"/>
      <c r="I17" s="3745"/>
      <c r="J17" s="3745"/>
      <c r="K17" s="3745"/>
      <c r="L17" s="132"/>
      <c r="M17" s="132"/>
      <c r="N17" s="132"/>
      <c r="O17" s="132"/>
      <c r="P17" s="132"/>
      <c r="Q17" s="132"/>
      <c r="R17" s="132"/>
      <c r="S17" s="132"/>
      <c r="T17" s="132"/>
      <c r="U17" s="132"/>
      <c r="V17" s="132"/>
      <c r="W17" s="132"/>
      <c r="X17" s="132"/>
      <c r="Y17" s="60"/>
      <c r="Z17" s="65"/>
      <c r="AA17" s="60"/>
      <c r="AB17" s="65"/>
      <c r="AC17" s="60"/>
      <c r="AD17" s="60"/>
      <c r="AE17" s="60"/>
      <c r="AF17" s="2332"/>
      <c r="AG17" s="60"/>
      <c r="AH17" s="60"/>
    </row>
    <row r="18" spans="1:34" s="7" customFormat="1" ht="13.5" customHeight="1" x14ac:dyDescent="0.35">
      <c r="A18" s="138"/>
      <c r="B18" s="3690" t="s">
        <v>20</v>
      </c>
      <c r="C18" s="3690"/>
      <c r="D18" s="3690"/>
      <c r="E18" s="3690"/>
      <c r="F18" s="3744" t="str">
        <f>'FIP(PAP-01)'!K11</f>
        <v>Jasa Keuangan LKB</v>
      </c>
      <c r="G18" s="3744"/>
      <c r="H18" s="3744"/>
      <c r="I18" s="3744"/>
      <c r="J18" s="3744"/>
      <c r="K18" s="3744"/>
      <c r="L18" s="132"/>
      <c r="M18" s="132"/>
      <c r="N18" s="132"/>
      <c r="O18" s="132"/>
      <c r="P18" s="132"/>
      <c r="Q18" s="132"/>
      <c r="R18" s="132"/>
      <c r="S18" s="132"/>
      <c r="T18" s="132"/>
      <c r="U18" s="132"/>
      <c r="V18" s="132"/>
      <c r="W18" s="132"/>
      <c r="X18" s="132"/>
      <c r="Y18" s="60"/>
      <c r="Z18" s="65"/>
      <c r="AA18" s="60"/>
      <c r="AB18" s="65"/>
      <c r="AC18" s="60"/>
      <c r="AD18" s="60"/>
      <c r="AE18" s="60"/>
      <c r="AF18" s="2332"/>
      <c r="AG18" s="60"/>
      <c r="AH18" s="60"/>
    </row>
    <row r="19" spans="1:34" s="7" customFormat="1" ht="16.5" customHeight="1" x14ac:dyDescent="0.35">
      <c r="A19" s="138"/>
      <c r="B19" s="3690" t="s">
        <v>233</v>
      </c>
      <c r="C19" s="3690"/>
      <c r="D19" s="3690"/>
      <c r="E19" s="3690"/>
      <c r="F19" s="3875">
        <f>'CEKLIST 002 (BIO DATA)'!D18</f>
        <v>40224</v>
      </c>
      <c r="G19" s="3875"/>
      <c r="H19" s="3875"/>
      <c r="I19" s="3875"/>
      <c r="J19" s="3875"/>
      <c r="K19" s="3875"/>
      <c r="L19" s="132"/>
      <c r="M19" s="132"/>
      <c r="N19" s="132"/>
      <c r="O19" s="132"/>
      <c r="P19" s="132"/>
      <c r="Q19" s="132"/>
      <c r="R19" s="132"/>
      <c r="S19" s="132"/>
      <c r="T19" s="132"/>
      <c r="U19" s="132"/>
      <c r="V19" s="132"/>
      <c r="W19" s="132"/>
      <c r="X19" s="132"/>
      <c r="Y19" s="60"/>
      <c r="Z19" s="65"/>
      <c r="AA19" s="60"/>
      <c r="AB19" s="65"/>
      <c r="AC19" s="60"/>
      <c r="AD19" s="60"/>
      <c r="AE19" s="60"/>
      <c r="AF19" s="2332"/>
      <c r="AG19" s="60"/>
      <c r="AH19" s="60"/>
    </row>
    <row r="20" spans="1:34" s="7" customFormat="1" ht="15" x14ac:dyDescent="0.35">
      <c r="A20" s="138"/>
      <c r="B20" s="138"/>
      <c r="C20" s="138"/>
      <c r="D20" s="138"/>
      <c r="E20" s="138"/>
      <c r="F20" s="138"/>
      <c r="G20" s="138"/>
      <c r="H20" s="138"/>
      <c r="I20" s="138"/>
      <c r="J20" s="138"/>
      <c r="K20" s="138"/>
      <c r="L20" s="138"/>
      <c r="M20" s="138"/>
      <c r="N20" s="138"/>
      <c r="O20" s="138"/>
      <c r="P20" s="138"/>
      <c r="Q20" s="138"/>
      <c r="R20" s="138"/>
      <c r="S20" s="138"/>
      <c r="T20" s="138"/>
      <c r="U20" s="138"/>
      <c r="V20" s="138"/>
      <c r="W20" s="138"/>
      <c r="X20" s="138"/>
      <c r="Y20" s="60"/>
      <c r="Z20" s="65"/>
      <c r="AA20" s="60"/>
      <c r="AB20" s="65"/>
      <c r="AC20" s="60"/>
      <c r="AD20" s="60"/>
      <c r="AE20" s="60"/>
      <c r="AF20" s="2332"/>
      <c r="AG20" s="60"/>
      <c r="AH20" s="60"/>
    </row>
    <row r="21" spans="1:34" s="7" customFormat="1" ht="15" x14ac:dyDescent="0.35">
      <c r="A21" s="2352">
        <v>2</v>
      </c>
      <c r="B21" s="3481" t="s">
        <v>234</v>
      </c>
      <c r="C21" s="3481"/>
      <c r="D21" s="3481"/>
      <c r="E21" s="3481"/>
      <c r="F21" s="3481"/>
      <c r="G21" s="3481"/>
      <c r="H21" s="3481"/>
      <c r="I21" s="3481"/>
      <c r="J21" s="3481"/>
      <c r="K21" s="138"/>
      <c r="L21" s="138"/>
      <c r="M21" s="138"/>
      <c r="N21" s="138"/>
      <c r="O21" s="138"/>
      <c r="P21" s="138"/>
      <c r="Q21" s="138"/>
      <c r="R21" s="138"/>
      <c r="S21" s="138"/>
      <c r="T21" s="138"/>
      <c r="U21" s="138"/>
      <c r="V21" s="138"/>
      <c r="W21" s="138"/>
      <c r="X21" s="138"/>
      <c r="Y21" s="60"/>
      <c r="Z21" s="65"/>
      <c r="AA21" s="60"/>
      <c r="AB21" s="65"/>
      <c r="AC21" s="60"/>
      <c r="AD21" s="60"/>
      <c r="AE21" s="60"/>
      <c r="AF21" s="2332"/>
      <c r="AG21" s="60"/>
      <c r="AH21" s="60"/>
    </row>
    <row r="22" spans="1:34" s="7" customFormat="1" ht="15" customHeight="1" x14ac:dyDescent="0.35">
      <c r="A22" s="601"/>
      <c r="B22" s="3868" t="s">
        <v>103</v>
      </c>
      <c r="C22" s="3042" t="s">
        <v>40</v>
      </c>
      <c r="D22" s="3043"/>
      <c r="E22" s="3043"/>
      <c r="F22" s="3044"/>
      <c r="G22" s="2992" t="s">
        <v>195</v>
      </c>
      <c r="H22" s="2992"/>
      <c r="I22" s="2992"/>
      <c r="J22" s="2992"/>
      <c r="K22" s="2992" t="s">
        <v>1</v>
      </c>
      <c r="L22" s="2992"/>
      <c r="M22" s="2992"/>
      <c r="N22" s="3538" t="s">
        <v>196</v>
      </c>
      <c r="O22" s="3539"/>
      <c r="P22" s="3538" t="s">
        <v>348</v>
      </c>
      <c r="Q22" s="3539"/>
      <c r="R22" s="3539"/>
      <c r="S22" s="3540"/>
      <c r="T22" s="3049" t="s">
        <v>181</v>
      </c>
      <c r="U22" s="3049"/>
      <c r="V22" s="3049"/>
      <c r="W22" s="3049"/>
      <c r="X22" s="3049"/>
      <c r="Y22" s="60"/>
      <c r="Z22" s="65"/>
      <c r="AA22" s="60"/>
      <c r="AB22" s="65"/>
      <c r="AC22" s="60"/>
      <c r="AD22" s="60"/>
      <c r="AE22" s="60"/>
      <c r="AF22" s="2332"/>
      <c r="AG22" s="60"/>
      <c r="AH22" s="60"/>
    </row>
    <row r="23" spans="1:34" s="7" customFormat="1" ht="15" customHeight="1" x14ac:dyDescent="0.35">
      <c r="A23" s="601"/>
      <c r="B23" s="3869"/>
      <c r="C23" s="3045"/>
      <c r="D23" s="3046"/>
      <c r="E23" s="3046"/>
      <c r="F23" s="3047"/>
      <c r="G23" s="2992"/>
      <c r="H23" s="2992"/>
      <c r="I23" s="2992"/>
      <c r="J23" s="2992"/>
      <c r="K23" s="2992"/>
      <c r="L23" s="2992"/>
      <c r="M23" s="2992"/>
      <c r="N23" s="3541"/>
      <c r="O23" s="3542"/>
      <c r="P23" s="3541"/>
      <c r="Q23" s="3542"/>
      <c r="R23" s="3542"/>
      <c r="S23" s="3543"/>
      <c r="T23" s="1456">
        <v>1</v>
      </c>
      <c r="U23" s="1456">
        <v>2</v>
      </c>
      <c r="V23" s="1456">
        <v>3</v>
      </c>
      <c r="W23" s="1456">
        <v>4</v>
      </c>
      <c r="X23" s="1456">
        <v>5</v>
      </c>
      <c r="Y23" s="60"/>
      <c r="Z23" s="65"/>
      <c r="AA23" s="60"/>
      <c r="AB23" s="65"/>
      <c r="AC23" s="60"/>
      <c r="AD23" s="60"/>
      <c r="AE23" s="60"/>
      <c r="AF23" s="2332"/>
      <c r="AG23" s="60"/>
      <c r="AH23" s="60"/>
    </row>
    <row r="24" spans="1:34" s="7" customFormat="1" ht="28.5" customHeight="1" x14ac:dyDescent="0.35">
      <c r="A24" s="601"/>
      <c r="B24" s="1484">
        <v>1</v>
      </c>
      <c r="C24" s="3695" t="str">
        <f>'FIP(PAP-01)'!E14</f>
        <v>Akte Pendirian</v>
      </c>
      <c r="D24" s="3696"/>
      <c r="E24" s="3696"/>
      <c r="F24" s="3697"/>
      <c r="G24" s="3688" t="str">
        <f>'FIP(PAP-01)'!K14</f>
        <v>PD NO.90</v>
      </c>
      <c r="H24" s="3689"/>
      <c r="I24" s="3689"/>
      <c r="J24" s="3689"/>
      <c r="K24" s="3556">
        <f>'FIP(PAP-01)'!N14</f>
        <v>40224</v>
      </c>
      <c r="L24" s="3556"/>
      <c r="M24" s="3556"/>
      <c r="N24" s="3584" t="str">
        <f>'FIP(PAP-01)'!Q14</f>
        <v>-</v>
      </c>
      <c r="O24" s="3585"/>
      <c r="P24" s="2996" t="s">
        <v>362</v>
      </c>
      <c r="Q24" s="2997"/>
      <c r="R24" s="2997"/>
      <c r="S24" s="2998"/>
      <c r="T24" s="1474"/>
      <c r="U24" s="1474"/>
      <c r="V24" s="1474"/>
      <c r="W24" s="1474" t="s">
        <v>194</v>
      </c>
      <c r="X24" s="1474"/>
      <c r="Y24" s="60"/>
      <c r="Z24" s="65"/>
      <c r="AA24" s="60"/>
      <c r="AB24" s="65">
        <v>5</v>
      </c>
      <c r="AC24" s="60"/>
      <c r="AD24" s="60"/>
      <c r="AE24" s="60"/>
      <c r="AF24" s="2332"/>
      <c r="AG24" s="60"/>
      <c r="AH24" s="60"/>
    </row>
    <row r="25" spans="1:34" s="7" customFormat="1" ht="28.5" customHeight="1" x14ac:dyDescent="0.35">
      <c r="A25" s="601"/>
      <c r="B25" s="1484">
        <v>2</v>
      </c>
      <c r="C25" s="3695" t="str">
        <f>'FIP(PAP-01)'!E15</f>
        <v>SITU</v>
      </c>
      <c r="D25" s="3696"/>
      <c r="E25" s="3696"/>
      <c r="F25" s="3697"/>
      <c r="G25" s="3688" t="str">
        <f>'FIP(PAP-01)'!K15</f>
        <v>500/410/SITU/-HO/KPPT/2016</v>
      </c>
      <c r="H25" s="3689"/>
      <c r="I25" s="3689"/>
      <c r="J25" s="3689"/>
      <c r="K25" s="3556">
        <f>'FIP(PAP-01)'!N15</f>
        <v>42572</v>
      </c>
      <c r="L25" s="3556"/>
      <c r="M25" s="3556"/>
      <c r="N25" s="3584">
        <f>'FIP(PAP-01)'!Q15</f>
        <v>42937</v>
      </c>
      <c r="O25" s="3585"/>
      <c r="P25" s="2996" t="s">
        <v>362</v>
      </c>
      <c r="Q25" s="2997"/>
      <c r="R25" s="2997"/>
      <c r="S25" s="2998"/>
      <c r="T25" s="1474"/>
      <c r="U25" s="1474"/>
      <c r="V25" s="1474"/>
      <c r="W25" s="1474" t="s">
        <v>194</v>
      </c>
      <c r="X25" s="1474"/>
      <c r="Y25" s="60"/>
      <c r="Z25" s="65"/>
      <c r="AA25" s="60"/>
      <c r="AB25" s="65">
        <f>'FIP(PAP-01)'!AD15</f>
        <v>3</v>
      </c>
      <c r="AC25" s="60"/>
      <c r="AD25" s="60"/>
      <c r="AE25" s="60"/>
      <c r="AF25" s="2332"/>
      <c r="AG25" s="60"/>
      <c r="AH25" s="60"/>
    </row>
    <row r="26" spans="1:34" s="7" customFormat="1" ht="28.5" customHeight="1" x14ac:dyDescent="0.35">
      <c r="A26" s="601"/>
      <c r="B26" s="1484">
        <v>3</v>
      </c>
      <c r="C26" s="3695" t="str">
        <f>'FIP(PAP-01)'!E16</f>
        <v>SIUP</v>
      </c>
      <c r="D26" s="3696"/>
      <c r="E26" s="3696"/>
      <c r="F26" s="3697"/>
      <c r="G26" s="3688" t="str">
        <f>'FIP(PAP-01)'!K16</f>
        <v>003/23-03/PB/VII/2016/P/I.</v>
      </c>
      <c r="H26" s="3689"/>
      <c r="I26" s="3689"/>
      <c r="J26" s="3689"/>
      <c r="K26" s="3556">
        <f>'FIP(PAP-01)'!N16</f>
        <v>42572</v>
      </c>
      <c r="L26" s="3556"/>
      <c r="M26" s="3556"/>
      <c r="N26" s="3584">
        <f>'FIP(PAP-01)'!Q16</f>
        <v>44414</v>
      </c>
      <c r="O26" s="3585"/>
      <c r="P26" s="2996" t="s">
        <v>362</v>
      </c>
      <c r="Q26" s="2997"/>
      <c r="R26" s="2997"/>
      <c r="S26" s="2998"/>
      <c r="T26" s="1474"/>
      <c r="U26" s="1474"/>
      <c r="V26" s="1474"/>
      <c r="W26" s="1474" t="s">
        <v>194</v>
      </c>
      <c r="X26" s="1474"/>
      <c r="Y26" s="60"/>
      <c r="Z26" s="65"/>
      <c r="AA26" s="60"/>
      <c r="AB26" s="65">
        <f>'FIP(PAP-01)'!AD16</f>
        <v>4</v>
      </c>
      <c r="AC26" s="60"/>
      <c r="AD26" s="60"/>
      <c r="AE26" s="60"/>
      <c r="AF26" s="2332"/>
      <c r="AG26" s="60"/>
      <c r="AH26" s="60"/>
    </row>
    <row r="27" spans="1:34" s="7" customFormat="1" ht="28.5" customHeight="1" x14ac:dyDescent="0.35">
      <c r="A27" s="601"/>
      <c r="B27" s="1484">
        <v>4</v>
      </c>
      <c r="C27" s="3695" t="str">
        <f>'FIP(PAP-01)'!E17</f>
        <v>TDP</v>
      </c>
      <c r="D27" s="3696"/>
      <c r="E27" s="3696"/>
      <c r="F27" s="3697"/>
      <c r="G27" s="3688" t="str">
        <f>'FIP(PAP-01)'!K17</f>
        <v>230302066500018</v>
      </c>
      <c r="H27" s="3689"/>
      <c r="I27" s="3689"/>
      <c r="J27" s="3689"/>
      <c r="K27" s="3556">
        <f>'FIP(PAP-01)'!N17</f>
        <v>42572</v>
      </c>
      <c r="L27" s="3556"/>
      <c r="M27" s="3556"/>
      <c r="N27" s="3584">
        <f>'FIP(PAP-01)'!Q17</f>
        <v>44414</v>
      </c>
      <c r="O27" s="3585"/>
      <c r="P27" s="2996" t="s">
        <v>362</v>
      </c>
      <c r="Q27" s="2997"/>
      <c r="R27" s="2997"/>
      <c r="S27" s="2998"/>
      <c r="T27" s="1474"/>
      <c r="U27" s="1474"/>
      <c r="V27" s="1474" t="s">
        <v>194</v>
      </c>
      <c r="W27" s="1474"/>
      <c r="X27" s="1474"/>
      <c r="Y27" s="60"/>
      <c r="Z27" s="65"/>
      <c r="AA27" s="60"/>
      <c r="AB27" s="65">
        <f>'FIP(PAP-01)'!AD17</f>
        <v>3</v>
      </c>
      <c r="AC27" s="60"/>
      <c r="AD27" s="60"/>
      <c r="AE27" s="60"/>
      <c r="AF27" s="2332"/>
      <c r="AG27" s="60"/>
      <c r="AH27" s="60"/>
    </row>
    <row r="28" spans="1:34" s="7" customFormat="1" ht="28.5" customHeight="1" x14ac:dyDescent="0.35">
      <c r="A28" s="601"/>
      <c r="B28" s="1484">
        <v>5</v>
      </c>
      <c r="C28" s="3695" t="str">
        <f>'FIP(PAP-01)'!E18</f>
        <v>NPWP</v>
      </c>
      <c r="D28" s="3696"/>
      <c r="E28" s="3696"/>
      <c r="F28" s="3697"/>
      <c r="G28" s="3688" t="str">
        <f>'FIP(PAP-01)'!K18</f>
        <v>02.972.760.9-912.000</v>
      </c>
      <c r="H28" s="3689"/>
      <c r="I28" s="3689"/>
      <c r="J28" s="3689"/>
      <c r="K28" s="3556">
        <f>'FIP(PAP-01)'!N18</f>
        <v>40599</v>
      </c>
      <c r="L28" s="3556"/>
      <c r="M28" s="3556"/>
      <c r="N28" s="3584" t="str">
        <f>'FIP(PAP-01)'!Q18</f>
        <v>Seumur Hidup</v>
      </c>
      <c r="O28" s="3585"/>
      <c r="P28" s="2996" t="s">
        <v>362</v>
      </c>
      <c r="Q28" s="2997"/>
      <c r="R28" s="2997"/>
      <c r="S28" s="2998"/>
      <c r="T28" s="1474"/>
      <c r="U28" s="1474"/>
      <c r="V28" s="1474"/>
      <c r="W28" s="1474" t="s">
        <v>194</v>
      </c>
      <c r="X28" s="1474"/>
      <c r="Y28" s="60"/>
      <c r="Z28" s="65"/>
      <c r="AA28" s="60"/>
      <c r="AB28" s="65">
        <f>'FIP(PAP-01)'!AD18</f>
        <v>5</v>
      </c>
      <c r="AC28" s="60"/>
      <c r="AD28" s="60"/>
      <c r="AE28" s="60"/>
      <c r="AF28" s="2332"/>
      <c r="AG28" s="60"/>
      <c r="AH28" s="60"/>
    </row>
    <row r="29" spans="1:34" s="7" customFormat="1" ht="28.5" customHeight="1" x14ac:dyDescent="0.35">
      <c r="A29" s="601"/>
      <c r="B29" s="1484">
        <v>6</v>
      </c>
      <c r="C29" s="3695" t="str">
        <f>'FIP(PAP-01)'!E19</f>
        <v>KTP (Direktur Utama)</v>
      </c>
      <c r="D29" s="3696"/>
      <c r="E29" s="3696"/>
      <c r="F29" s="3697"/>
      <c r="G29" s="3688" t="str">
        <f>'FIP(PAP-01)'!K19</f>
        <v>5205053112600063</v>
      </c>
      <c r="H29" s="3689"/>
      <c r="I29" s="3689"/>
      <c r="J29" s="3689"/>
      <c r="K29" s="3556">
        <f>'FIP(PAP-01)'!N19</f>
        <v>41319</v>
      </c>
      <c r="L29" s="3556"/>
      <c r="M29" s="3556"/>
      <c r="N29" s="3584">
        <f>'FIP(PAP-01)'!Q19</f>
        <v>43465</v>
      </c>
      <c r="O29" s="3585"/>
      <c r="P29" s="2996" t="s">
        <v>362</v>
      </c>
      <c r="Q29" s="2997"/>
      <c r="R29" s="2997"/>
      <c r="S29" s="2998"/>
      <c r="T29" s="1474"/>
      <c r="U29" s="1474"/>
      <c r="V29" s="1474"/>
      <c r="W29" s="1474"/>
      <c r="X29" s="1474"/>
      <c r="Y29" s="60"/>
      <c r="Z29" s="65"/>
      <c r="AA29" s="60"/>
      <c r="AB29" s="65">
        <f>'FIP(PAP-01)'!AD19</f>
        <v>3</v>
      </c>
      <c r="AC29" s="60"/>
      <c r="AD29" s="60"/>
      <c r="AE29" s="60"/>
      <c r="AF29" s="2332"/>
      <c r="AG29" s="60"/>
      <c r="AH29" s="60"/>
    </row>
    <row r="30" spans="1:34" s="7" customFormat="1" ht="28.5" customHeight="1" x14ac:dyDescent="0.35">
      <c r="A30" s="601"/>
      <c r="B30" s="1484">
        <v>7</v>
      </c>
      <c r="C30" s="3695" t="str">
        <f>'FIP(PAP-01)'!E20</f>
        <v xml:space="preserve">Akte Perubahan </v>
      </c>
      <c r="D30" s="3696"/>
      <c r="E30" s="3696"/>
      <c r="F30" s="3697"/>
      <c r="G30" s="3688" t="str">
        <f>'FIP(PAP-01)'!K20</f>
        <v>12/3/KEP.DpG/2010</v>
      </c>
      <c r="H30" s="3689"/>
      <c r="I30" s="3689"/>
      <c r="J30" s="3689"/>
      <c r="K30" s="3556">
        <f>'FIP(PAP-01)'!N20</f>
        <v>40306</v>
      </c>
      <c r="L30" s="3556"/>
      <c r="M30" s="3556"/>
      <c r="N30" s="3584" t="str">
        <f>'FIP(PAP-01)'!Q20</f>
        <v>-</v>
      </c>
      <c r="O30" s="3585"/>
      <c r="P30" s="2996" t="s">
        <v>362</v>
      </c>
      <c r="Q30" s="2997"/>
      <c r="R30" s="2997"/>
      <c r="S30" s="2998"/>
      <c r="T30" s="1474"/>
      <c r="U30" s="1474"/>
      <c r="V30" s="1474"/>
      <c r="W30" s="1474" t="s">
        <v>194</v>
      </c>
      <c r="X30" s="1474"/>
      <c r="Y30" s="60"/>
      <c r="Z30" s="65"/>
      <c r="AA30" s="60"/>
      <c r="AB30" s="65">
        <f>'FIP(PAP-01)'!AD20</f>
        <v>5</v>
      </c>
      <c r="AC30" s="60"/>
      <c r="AD30" s="60"/>
      <c r="AE30" s="60"/>
      <c r="AF30" s="2332"/>
      <c r="AG30" s="60"/>
      <c r="AH30" s="60"/>
    </row>
    <row r="31" spans="1:34" s="7" customFormat="1" ht="28.5" customHeight="1" x14ac:dyDescent="0.35">
      <c r="A31" s="601"/>
      <c r="B31" s="1484">
        <v>8</v>
      </c>
      <c r="C31" s="3695" t="str">
        <f>'FIP(PAP-01)'!E21</f>
        <v>Pengesahan Badan Hukum</v>
      </c>
      <c r="D31" s="3696"/>
      <c r="E31" s="3696"/>
      <c r="F31" s="3697"/>
      <c r="G31" s="3688" t="str">
        <f>'FIP(PAP-01)'!K21</f>
        <v>-</v>
      </c>
      <c r="H31" s="3689"/>
      <c r="I31" s="3689"/>
      <c r="J31" s="3689"/>
      <c r="K31" s="3556" t="str">
        <f>'FIP(PAP-01)'!N21</f>
        <v>-</v>
      </c>
      <c r="L31" s="3556"/>
      <c r="M31" s="3556"/>
      <c r="N31" s="3584" t="str">
        <f>'FIP(PAP-01)'!Q21</f>
        <v>-</v>
      </c>
      <c r="O31" s="3585"/>
      <c r="P31" s="2996" t="s">
        <v>362</v>
      </c>
      <c r="Q31" s="2997"/>
      <c r="R31" s="2997"/>
      <c r="S31" s="2998"/>
      <c r="T31" s="1474"/>
      <c r="U31" s="1474"/>
      <c r="V31" s="1474"/>
      <c r="W31" s="1474" t="s">
        <v>194</v>
      </c>
      <c r="X31" s="1474"/>
      <c r="Y31" s="60"/>
      <c r="Z31" s="65"/>
      <c r="AA31" s="60"/>
      <c r="AB31" s="65">
        <f>'FIP(PAP-01)'!AD21</f>
        <v>0</v>
      </c>
      <c r="AC31" s="60"/>
      <c r="AD31" s="60"/>
      <c r="AE31" s="60"/>
      <c r="AF31" s="2332"/>
      <c r="AG31" s="60"/>
      <c r="AH31" s="60"/>
    </row>
    <row r="32" spans="1:34" s="7" customFormat="1" ht="28.5" customHeight="1" x14ac:dyDescent="0.35">
      <c r="A32" s="601"/>
      <c r="B32" s="1484">
        <v>9</v>
      </c>
      <c r="C32" s="3695" t="str">
        <f>'FIP(PAP-01)'!E22</f>
        <v>KTP (Komisaris Utama)</v>
      </c>
      <c r="D32" s="3696"/>
      <c r="E32" s="3696"/>
      <c r="F32" s="3697"/>
      <c r="G32" s="3688" t="str">
        <f>'FIP(PAP-01)'!K22</f>
        <v>5206034310670001</v>
      </c>
      <c r="H32" s="3689"/>
      <c r="I32" s="3689"/>
      <c r="J32" s="3689"/>
      <c r="K32" s="3556">
        <f>'FIP(PAP-01)'!N22</f>
        <v>42956</v>
      </c>
      <c r="L32" s="3556"/>
      <c r="M32" s="3556"/>
      <c r="N32" s="3584" t="str">
        <f>'FIP(PAP-01)'!Q22</f>
        <v>Seumur Hidup</v>
      </c>
      <c r="O32" s="3585"/>
      <c r="P32" s="2996" t="s">
        <v>362</v>
      </c>
      <c r="Q32" s="2997"/>
      <c r="R32" s="2997"/>
      <c r="S32" s="2998"/>
      <c r="T32" s="1474"/>
      <c r="U32" s="1474"/>
      <c r="V32" s="1474"/>
      <c r="W32" s="1474" t="s">
        <v>194</v>
      </c>
      <c r="X32" s="1474"/>
      <c r="Y32" s="60"/>
      <c r="Z32" s="65"/>
      <c r="AA32" s="60"/>
      <c r="AB32" s="65">
        <f>'FIP(PAP-01)'!AD22</f>
        <v>5</v>
      </c>
      <c r="AC32" s="60"/>
      <c r="AD32" s="60"/>
      <c r="AE32" s="60"/>
      <c r="AF32" s="2332"/>
      <c r="AG32" s="60"/>
      <c r="AH32" s="60"/>
    </row>
    <row r="33" spans="1:34" s="7" customFormat="1" ht="28.5" customHeight="1" x14ac:dyDescent="0.35">
      <c r="A33" s="601"/>
      <c r="B33" s="1484">
        <v>10</v>
      </c>
      <c r="C33" s="3695" t="str">
        <f>'FIP(PAP-01)'!E23</f>
        <v>KTP (Direktur)</v>
      </c>
      <c r="D33" s="3696"/>
      <c r="E33" s="3696"/>
      <c r="F33" s="3697"/>
      <c r="G33" s="3688" t="str">
        <f>'FIP(PAP-01)'!K23</f>
        <v>5205076509650002</v>
      </c>
      <c r="H33" s="3689"/>
      <c r="I33" s="3689"/>
      <c r="J33" s="3689"/>
      <c r="K33" s="3556">
        <f>'FIP(PAP-01)'!N23</f>
        <v>41500</v>
      </c>
      <c r="L33" s="3556"/>
      <c r="M33" s="3556"/>
      <c r="N33" s="3584">
        <f>'FIP(PAP-01)'!Q23</f>
        <v>43337</v>
      </c>
      <c r="O33" s="3585"/>
      <c r="P33" s="2996" t="s">
        <v>362</v>
      </c>
      <c r="Q33" s="2997"/>
      <c r="R33" s="2997"/>
      <c r="S33" s="2998"/>
      <c r="T33" s="1474"/>
      <c r="U33" s="1474"/>
      <c r="V33" s="1474"/>
      <c r="W33" s="1474" t="s">
        <v>194</v>
      </c>
      <c r="X33" s="1474"/>
      <c r="Y33" s="60"/>
      <c r="Z33" s="65"/>
      <c r="AA33" s="60"/>
      <c r="AB33" s="65">
        <f>'FIP(PAP-01)'!AD23</f>
        <v>4</v>
      </c>
      <c r="AC33" s="60"/>
      <c r="AD33" s="60"/>
      <c r="AE33" s="60"/>
      <c r="AF33" s="2332"/>
      <c r="AG33" s="60"/>
      <c r="AH33" s="60"/>
    </row>
    <row r="34" spans="1:34" s="7" customFormat="1" ht="28.5" customHeight="1" x14ac:dyDescent="0.35">
      <c r="A34" s="601"/>
      <c r="B34" s="1484">
        <v>11</v>
      </c>
      <c r="C34" s="3692" t="str">
        <f>'FIP(PAP-01)'!E24</f>
        <v xml:space="preserve">Legalitas Lainnya </v>
      </c>
      <c r="D34" s="3693"/>
      <c r="E34" s="3693"/>
      <c r="F34" s="3694"/>
      <c r="G34" s="3688">
        <f>'FIP(PAP-01)'!K24</f>
        <v>0</v>
      </c>
      <c r="H34" s="3689"/>
      <c r="I34" s="3689"/>
      <c r="J34" s="3689"/>
      <c r="K34" s="3556"/>
      <c r="L34" s="3556"/>
      <c r="M34" s="3556"/>
      <c r="N34" s="3584"/>
      <c r="O34" s="3585"/>
      <c r="P34" s="2996" t="s">
        <v>362</v>
      </c>
      <c r="Q34" s="2997"/>
      <c r="R34" s="2997"/>
      <c r="S34" s="2998"/>
      <c r="T34" s="1474"/>
      <c r="U34" s="1474"/>
      <c r="V34" s="1474"/>
      <c r="W34" s="1474"/>
      <c r="X34" s="1474"/>
      <c r="Y34" s="60"/>
      <c r="Z34" s="65"/>
      <c r="AA34" s="60"/>
      <c r="AB34" s="65">
        <f>'FIP(PAP-01)'!AD24</f>
        <v>0</v>
      </c>
      <c r="AC34" s="60"/>
      <c r="AD34" s="60"/>
      <c r="AE34" s="60"/>
      <c r="AF34" s="2332"/>
      <c r="AG34" s="60"/>
      <c r="AH34" s="60"/>
    </row>
    <row r="35" spans="1:34" s="7" customFormat="1" ht="28.5" customHeight="1" x14ac:dyDescent="0.35">
      <c r="A35" s="601"/>
      <c r="B35" s="1484">
        <v>12</v>
      </c>
      <c r="C35" s="3692" t="str">
        <f>'FIP(PAP-01)'!E25</f>
        <v xml:space="preserve">Legalitas Lainnya </v>
      </c>
      <c r="D35" s="3693"/>
      <c r="E35" s="3693"/>
      <c r="F35" s="3694"/>
      <c r="G35" s="3688">
        <f>'FIP(PAP-01)'!K25</f>
        <v>0</v>
      </c>
      <c r="H35" s="3689"/>
      <c r="I35" s="3689"/>
      <c r="J35" s="3689"/>
      <c r="K35" s="3556"/>
      <c r="L35" s="3556"/>
      <c r="M35" s="3556"/>
      <c r="N35" s="3584"/>
      <c r="O35" s="3585"/>
      <c r="P35" s="2996" t="s">
        <v>362</v>
      </c>
      <c r="Q35" s="2997"/>
      <c r="R35" s="2997"/>
      <c r="S35" s="2998"/>
      <c r="T35" s="1474"/>
      <c r="U35" s="1474"/>
      <c r="V35" s="1474"/>
      <c r="W35" s="1474"/>
      <c r="X35" s="1474"/>
      <c r="Y35" s="60"/>
      <c r="Z35" s="65"/>
      <c r="AA35" s="60"/>
      <c r="AB35" s="65">
        <f>'FIP(PAP-01)'!AD25</f>
        <v>0</v>
      </c>
      <c r="AC35" s="60"/>
      <c r="AD35" s="60"/>
      <c r="AE35" s="60"/>
      <c r="AF35" s="2332"/>
      <c r="AG35" s="60"/>
      <c r="AH35" s="60"/>
    </row>
    <row r="36" spans="1:34" s="7" customFormat="1" ht="28.5" customHeight="1" x14ac:dyDescent="0.35">
      <c r="A36" s="601"/>
      <c r="B36" s="1484">
        <v>13</v>
      </c>
      <c r="C36" s="3695" t="str">
        <f>'FIP(PAP-01)'!E26</f>
        <v xml:space="preserve">Legalitas Lainnya </v>
      </c>
      <c r="D36" s="3696"/>
      <c r="E36" s="3696"/>
      <c r="F36" s="3697"/>
      <c r="G36" s="3699">
        <f>'FIP(PAP-01)'!K26</f>
        <v>0</v>
      </c>
      <c r="H36" s="3700"/>
      <c r="I36" s="3700"/>
      <c r="J36" s="3700"/>
      <c r="K36" s="3556"/>
      <c r="L36" s="3556"/>
      <c r="M36" s="3556"/>
      <c r="N36" s="3584"/>
      <c r="O36" s="3585"/>
      <c r="P36" s="2996" t="s">
        <v>362</v>
      </c>
      <c r="Q36" s="2997"/>
      <c r="R36" s="2997"/>
      <c r="S36" s="2998"/>
      <c r="T36" s="1474"/>
      <c r="U36" s="1474"/>
      <c r="V36" s="1474"/>
      <c r="W36" s="1474"/>
      <c r="X36" s="1474"/>
      <c r="Y36" s="60"/>
      <c r="Z36" s="65"/>
      <c r="AA36" s="60"/>
      <c r="AB36" s="65">
        <f>'FIP(PAP-01)'!AD26</f>
        <v>0</v>
      </c>
      <c r="AC36" s="60"/>
      <c r="AD36" s="60"/>
      <c r="AE36" s="60"/>
      <c r="AF36" s="2332"/>
      <c r="AG36" s="60"/>
      <c r="AH36" s="60"/>
    </row>
    <row r="37" spans="1:34" s="7" customFormat="1" ht="28.5" customHeight="1" x14ac:dyDescent="0.35">
      <c r="A37" s="601"/>
      <c r="B37" s="1461">
        <v>14</v>
      </c>
      <c r="C37" s="3695" t="str">
        <f>'FIP(PAP-01)'!E27</f>
        <v xml:space="preserve">Beroperasi Sejak </v>
      </c>
      <c r="D37" s="3696"/>
      <c r="E37" s="3696"/>
      <c r="F37" s="3697"/>
      <c r="G37" s="3586">
        <f>'FIP(PAP-01)'!K27</f>
        <v>2010</v>
      </c>
      <c r="H37" s="3587"/>
      <c r="I37" s="3587"/>
      <c r="J37" s="3587"/>
      <c r="K37" s="3587"/>
      <c r="L37" s="3587"/>
      <c r="M37" s="3587"/>
      <c r="N37" s="3587"/>
      <c r="O37" s="3587"/>
      <c r="P37" s="2996" t="s">
        <v>362</v>
      </c>
      <c r="Q37" s="2997"/>
      <c r="R37" s="2997"/>
      <c r="S37" s="2998"/>
      <c r="T37" s="1474"/>
      <c r="U37" s="1474"/>
      <c r="V37" s="1474"/>
      <c r="W37" s="1474"/>
      <c r="X37" s="1474" t="s">
        <v>194</v>
      </c>
      <c r="Y37" s="60"/>
      <c r="Z37" s="65"/>
      <c r="AA37" s="60"/>
      <c r="AB37" s="65">
        <f>'FIP(PAP-01)'!AD27</f>
        <v>4</v>
      </c>
      <c r="AC37" s="60"/>
      <c r="AD37" s="60"/>
      <c r="AE37" s="60"/>
      <c r="AF37" s="2332"/>
      <c r="AG37" s="60"/>
      <c r="AH37" s="60"/>
    </row>
    <row r="38" spans="1:34" s="7" customFormat="1" ht="30.75" customHeight="1" x14ac:dyDescent="0.35">
      <c r="A38" s="144"/>
      <c r="B38" s="3701" t="s">
        <v>1791</v>
      </c>
      <c r="C38" s="3701"/>
      <c r="D38" s="3701"/>
      <c r="E38" s="3701"/>
      <c r="F38" s="3701"/>
      <c r="G38" s="3701"/>
      <c r="H38" s="3701"/>
      <c r="I38" s="3701"/>
      <c r="J38" s="3701"/>
      <c r="K38" s="3701"/>
      <c r="L38" s="3701"/>
      <c r="M38" s="3701"/>
      <c r="N38" s="3701"/>
      <c r="O38" s="3701"/>
      <c r="P38" s="3701"/>
      <c r="Q38" s="3701"/>
      <c r="R38" s="3547" t="s">
        <v>235</v>
      </c>
      <c r="S38" s="3547"/>
      <c r="T38" s="1469">
        <f>COUNTIF(AB24:AB37,"1")*U23</f>
        <v>0</v>
      </c>
      <c r="U38" s="1469">
        <f>COUNTIF(AB24:AB37,"2")*U23</f>
        <v>0</v>
      </c>
      <c r="V38" s="1469">
        <f>COUNTIF(AB24:AB37,"3")*V23</f>
        <v>9</v>
      </c>
      <c r="W38" s="1469">
        <f>COUNTIF(AB24:AB37,"4")*W23</f>
        <v>12</v>
      </c>
      <c r="X38" s="1469">
        <f>COUNTIF(AB24:AB37,"5")*X23</f>
        <v>20</v>
      </c>
      <c r="Y38" s="60"/>
      <c r="Z38" s="65"/>
      <c r="AA38" s="60"/>
      <c r="AB38" s="65"/>
      <c r="AC38" s="60"/>
      <c r="AD38" s="60"/>
      <c r="AE38" s="60"/>
      <c r="AF38" s="2332"/>
      <c r="AG38" s="60"/>
      <c r="AH38" s="60"/>
    </row>
    <row r="39" spans="1:34" s="7" customFormat="1" ht="33.75" customHeight="1" x14ac:dyDescent="0.35">
      <c r="A39" s="144"/>
      <c r="B39" s="3701"/>
      <c r="C39" s="3701"/>
      <c r="D39" s="3701"/>
      <c r="E39" s="3701"/>
      <c r="F39" s="3701"/>
      <c r="G39" s="3701"/>
      <c r="H39" s="3701"/>
      <c r="I39" s="3701"/>
      <c r="J39" s="3701"/>
      <c r="K39" s="3701"/>
      <c r="L39" s="3701"/>
      <c r="M39" s="3701"/>
      <c r="N39" s="3701"/>
      <c r="O39" s="3701"/>
      <c r="P39" s="3701"/>
      <c r="Q39" s="3701"/>
      <c r="R39" s="3547"/>
      <c r="S39" s="3547"/>
      <c r="T39" s="3240">
        <f>SUM(T38:X38)</f>
        <v>41</v>
      </c>
      <c r="U39" s="3241"/>
      <c r="V39" s="3241"/>
      <c r="W39" s="3241"/>
      <c r="X39" s="3242"/>
      <c r="Y39" s="60"/>
      <c r="Z39" s="65"/>
      <c r="AA39" s="60"/>
      <c r="AB39" s="60"/>
      <c r="AC39" s="60"/>
      <c r="AD39" s="60"/>
      <c r="AE39" s="60"/>
      <c r="AF39" s="2332"/>
      <c r="AG39" s="60"/>
      <c r="AH39" s="60"/>
    </row>
    <row r="40" spans="1:34" s="7" customFormat="1" ht="151.5" customHeight="1" x14ac:dyDescent="0.35">
      <c r="A40" s="144"/>
      <c r="B40" s="3701"/>
      <c r="C40" s="3701"/>
      <c r="D40" s="3701"/>
      <c r="E40" s="3701"/>
      <c r="F40" s="3701"/>
      <c r="G40" s="3701"/>
      <c r="H40" s="3701"/>
      <c r="I40" s="3701"/>
      <c r="J40" s="3701"/>
      <c r="K40" s="3701"/>
      <c r="L40" s="3701"/>
      <c r="M40" s="3701"/>
      <c r="N40" s="3701"/>
      <c r="O40" s="3701"/>
      <c r="P40" s="3701"/>
      <c r="Q40" s="3701"/>
      <c r="R40" s="3548" t="s">
        <v>236</v>
      </c>
      <c r="S40" s="3549"/>
      <c r="T40" s="3488">
        <f>T39/AF40</f>
        <v>4.0999999999999996</v>
      </c>
      <c r="U40" s="3489"/>
      <c r="V40" s="3030" t="str">
        <f>IF(ROUND(T40,0)=1,"Sangat Tidak Memenuhi Syarat",IF(ROUND(T40,0)=2,"Tidak Memenuhi Syarat",IF(ROUND(T40,0)=3,"Cukup Memenuhi Syarat",IF(ROUND(T40,0)=4,"Memenuhi Syarat",IF(ROUND(T40,0)&gt;=5,"Sangat Memenuhi Syarat")))))</f>
        <v>Memenuhi Syarat</v>
      </c>
      <c r="W40" s="3031"/>
      <c r="X40" s="3032"/>
      <c r="Y40" s="60"/>
      <c r="Z40" s="65"/>
      <c r="AA40" s="60"/>
      <c r="AB40" s="60"/>
      <c r="AC40" s="60"/>
      <c r="AD40" s="60"/>
      <c r="AE40" s="60"/>
      <c r="AF40" s="2333">
        <f>COUNTIF(AB24:AB37,"&gt;0")</f>
        <v>10</v>
      </c>
      <c r="AG40" s="60"/>
      <c r="AH40" s="60"/>
    </row>
    <row r="41" spans="1:34" s="7" customFormat="1" ht="15" customHeight="1" x14ac:dyDescent="0.35">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60"/>
      <c r="Z41" s="65"/>
      <c r="AA41" s="60"/>
      <c r="AB41" s="65"/>
      <c r="AC41" s="60"/>
      <c r="AD41" s="60"/>
      <c r="AE41" s="60"/>
      <c r="AF41" s="2332"/>
      <c r="AG41" s="60"/>
      <c r="AH41" s="60"/>
    </row>
    <row r="42" spans="1:34" s="7" customFormat="1" ht="15" customHeight="1" x14ac:dyDescent="0.35">
      <c r="A42" s="2352">
        <v>3</v>
      </c>
      <c r="B42" s="3687" t="s">
        <v>237</v>
      </c>
      <c r="C42" s="3687"/>
      <c r="D42" s="3687"/>
      <c r="E42" s="2354"/>
      <c r="F42" s="138"/>
      <c r="G42" s="138"/>
      <c r="H42" s="138"/>
      <c r="I42" s="138"/>
      <c r="J42" s="138"/>
      <c r="K42" s="138"/>
      <c r="L42" s="138"/>
      <c r="M42" s="138"/>
      <c r="N42" s="138"/>
      <c r="O42" s="138"/>
      <c r="P42" s="138"/>
      <c r="Q42" s="138"/>
      <c r="R42" s="138"/>
      <c r="S42" s="138"/>
      <c r="T42" s="138"/>
      <c r="U42" s="138"/>
      <c r="V42" s="138"/>
      <c r="W42" s="138"/>
      <c r="X42" s="138"/>
      <c r="Y42" s="60"/>
      <c r="Z42" s="65"/>
      <c r="AA42" s="60"/>
      <c r="AB42" s="65"/>
      <c r="AC42" s="60"/>
      <c r="AD42" s="60"/>
      <c r="AE42" s="60"/>
      <c r="AF42" s="2332"/>
      <c r="AG42" s="60"/>
      <c r="AH42" s="60"/>
    </row>
    <row r="43" spans="1:34" s="7" customFormat="1" ht="13.7" customHeight="1" x14ac:dyDescent="0.35">
      <c r="A43" s="138"/>
      <c r="B43" s="3690" t="s">
        <v>238</v>
      </c>
      <c r="C43" s="3690"/>
      <c r="D43" s="3690"/>
      <c r="E43" s="3690"/>
      <c r="F43" s="3690"/>
      <c r="G43" s="3690"/>
      <c r="H43" s="148"/>
      <c r="I43" s="148"/>
      <c r="J43" s="148"/>
      <c r="K43" s="148"/>
      <c r="L43" s="148"/>
      <c r="M43" s="148"/>
      <c r="N43" s="148"/>
      <c r="O43" s="138"/>
      <c r="P43" s="138"/>
      <c r="Q43" s="138"/>
      <c r="R43" s="601"/>
      <c r="S43" s="601"/>
      <c r="T43" s="138"/>
      <c r="U43" s="138"/>
      <c r="V43" s="138"/>
      <c r="W43" s="138"/>
      <c r="X43" s="138"/>
      <c r="Y43" s="60"/>
      <c r="Z43" s="65"/>
      <c r="AA43" s="60"/>
      <c r="AB43" s="65"/>
      <c r="AC43" s="60"/>
      <c r="AD43" s="60"/>
      <c r="AE43" s="60"/>
      <c r="AF43" s="2332"/>
      <c r="AG43" s="60"/>
      <c r="AH43" s="60"/>
    </row>
    <row r="44" spans="1:34" s="7" customFormat="1" ht="15" x14ac:dyDescent="0.35">
      <c r="A44" s="138"/>
      <c r="B44" s="3690" t="s">
        <v>1582</v>
      </c>
      <c r="C44" s="3690"/>
      <c r="D44" s="3690"/>
      <c r="E44" s="3690"/>
      <c r="F44" s="3690"/>
      <c r="G44" s="3690"/>
      <c r="H44" s="3690"/>
      <c r="I44" s="138"/>
      <c r="J44" s="138"/>
      <c r="K44" s="138"/>
      <c r="L44" s="138"/>
      <c r="M44" s="138"/>
      <c r="N44" s="138"/>
      <c r="O44" s="138"/>
      <c r="P44" s="138"/>
      <c r="Q44" s="138"/>
      <c r="R44" s="138"/>
      <c r="S44" s="138"/>
      <c r="T44" s="138"/>
      <c r="U44" s="138"/>
      <c r="V44" s="138"/>
      <c r="W44" s="138"/>
      <c r="X44" s="138"/>
      <c r="Y44" s="60"/>
      <c r="Z44" s="65"/>
      <c r="AA44" s="60"/>
      <c r="AB44" s="65"/>
      <c r="AC44" s="60"/>
      <c r="AD44" s="60"/>
      <c r="AE44" s="60"/>
      <c r="AF44" s="2332"/>
      <c r="AG44" s="60"/>
      <c r="AH44" s="60"/>
    </row>
    <row r="45" spans="1:34" s="7" customFormat="1" ht="15.75" customHeight="1" x14ac:dyDescent="0.35">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60"/>
      <c r="Z45" s="65"/>
      <c r="AA45" s="60"/>
      <c r="AB45" s="65"/>
      <c r="AC45" s="60"/>
      <c r="AD45" s="60"/>
      <c r="AE45" s="60"/>
      <c r="AF45" s="2332"/>
      <c r="AG45" s="60"/>
      <c r="AH45" s="60"/>
    </row>
    <row r="46" spans="1:34" s="7" customFormat="1" ht="21.75" customHeight="1" x14ac:dyDescent="0.35">
      <c r="A46" s="138"/>
      <c r="B46" s="3538" t="s">
        <v>24</v>
      </c>
      <c r="C46" s="3539"/>
      <c r="D46" s="3539"/>
      <c r="E46" s="3540"/>
      <c r="F46" s="3042" t="s">
        <v>359</v>
      </c>
      <c r="G46" s="3043"/>
      <c r="H46" s="3044"/>
      <c r="I46" s="3204" t="s">
        <v>492</v>
      </c>
      <c r="J46" s="3205"/>
      <c r="K46" s="3205"/>
      <c r="L46" s="3205"/>
      <c r="M46" s="2992" t="s">
        <v>358</v>
      </c>
      <c r="N46" s="2992"/>
      <c r="O46" s="2992" t="s">
        <v>40</v>
      </c>
      <c r="P46" s="2992"/>
      <c r="Q46" s="2992"/>
      <c r="R46" s="3539" t="s">
        <v>348</v>
      </c>
      <c r="S46" s="3540"/>
      <c r="T46" s="2992" t="s">
        <v>345</v>
      </c>
      <c r="U46" s="2992"/>
      <c r="V46" s="2992"/>
      <c r="W46" s="2992"/>
      <c r="X46" s="2992"/>
      <c r="Y46" s="2292"/>
      <c r="Z46" s="2293"/>
      <c r="AA46" s="61"/>
      <c r="AB46" s="65"/>
      <c r="AC46" s="60"/>
      <c r="AD46" s="60"/>
      <c r="AE46" s="60"/>
      <c r="AF46" s="2332"/>
      <c r="AG46" s="60"/>
      <c r="AH46" s="60"/>
    </row>
    <row r="47" spans="1:34" s="7" customFormat="1" ht="15" x14ac:dyDescent="0.35">
      <c r="A47" s="138"/>
      <c r="B47" s="3541"/>
      <c r="C47" s="3542"/>
      <c r="D47" s="3542"/>
      <c r="E47" s="3543"/>
      <c r="F47" s="3045"/>
      <c r="G47" s="3046"/>
      <c r="H47" s="3047"/>
      <c r="I47" s="3204" t="s">
        <v>25</v>
      </c>
      <c r="J47" s="3206"/>
      <c r="K47" s="3204" t="s">
        <v>26</v>
      </c>
      <c r="L47" s="3205"/>
      <c r="M47" s="2992"/>
      <c r="N47" s="2992"/>
      <c r="O47" s="2992"/>
      <c r="P47" s="2992"/>
      <c r="Q47" s="2992"/>
      <c r="R47" s="3542"/>
      <c r="S47" s="3543"/>
      <c r="T47" s="1452">
        <v>1</v>
      </c>
      <c r="U47" s="1452">
        <v>2</v>
      </c>
      <c r="V47" s="1452">
        <v>3</v>
      </c>
      <c r="W47" s="1452">
        <v>4</v>
      </c>
      <c r="X47" s="1452">
        <v>5</v>
      </c>
      <c r="Y47" s="60"/>
      <c r="Z47" s="65"/>
      <c r="AA47" s="60"/>
      <c r="AB47" s="65"/>
      <c r="AC47" s="60"/>
      <c r="AD47" s="60"/>
      <c r="AE47" s="60"/>
      <c r="AF47" s="2332"/>
      <c r="AG47" s="60"/>
      <c r="AH47" s="60"/>
    </row>
    <row r="48" spans="1:34" s="7" customFormat="1" ht="56.25" customHeight="1" x14ac:dyDescent="0.35">
      <c r="A48" s="138"/>
      <c r="B48" s="3586" t="str">
        <f>'FIP(PAP-01)'!C46</f>
        <v>Pemerintah Propinsi NTB</v>
      </c>
      <c r="C48" s="3587"/>
      <c r="D48" s="3587"/>
      <c r="E48" s="3698"/>
      <c r="F48" s="3586" t="str">
        <f>'FIP(PAP-01)'!F46</f>
        <v>-</v>
      </c>
      <c r="G48" s="3587"/>
      <c r="H48" s="3698"/>
      <c r="I48" s="3551">
        <f>'FIP(PAP-01)'!I46</f>
        <v>10200</v>
      </c>
      <c r="J48" s="3552"/>
      <c r="K48" s="3768">
        <f>'FIP(PAP-01)'!L46</f>
        <v>0.51</v>
      </c>
      <c r="L48" s="3768"/>
      <c r="M48" s="3764" t="s">
        <v>360</v>
      </c>
      <c r="N48" s="3764"/>
      <c r="O48" s="3534" t="str">
        <f>'FIP(PAP-01)'!R46</f>
        <v>Hubungan dengan pengurus semuanya baik</v>
      </c>
      <c r="P48" s="3535"/>
      <c r="Q48" s="3536"/>
      <c r="R48" s="2996" t="s">
        <v>362</v>
      </c>
      <c r="S48" s="2998"/>
      <c r="T48" s="1451"/>
      <c r="U48" s="1449"/>
      <c r="V48" s="1451"/>
      <c r="W48" s="1451"/>
      <c r="X48" s="1451" t="s">
        <v>194</v>
      </c>
      <c r="Y48" s="60"/>
      <c r="Z48" s="65"/>
      <c r="AA48" s="60"/>
      <c r="AB48" s="65">
        <f>'FIP(PAP-01)'!AD46</f>
        <v>4</v>
      </c>
      <c r="AC48" s="60"/>
      <c r="AD48" s="60"/>
      <c r="AE48" s="60"/>
      <c r="AF48" s="2332"/>
      <c r="AG48" s="60"/>
      <c r="AH48" s="60"/>
    </row>
    <row r="49" spans="1:34" s="7" customFormat="1" ht="56.25" customHeight="1" x14ac:dyDescent="0.35">
      <c r="A49" s="138"/>
      <c r="B49" s="3586" t="str">
        <f>'FIP(PAP-01)'!C47</f>
        <v>Pemerintah Kabupaten Dompu</v>
      </c>
      <c r="C49" s="3587"/>
      <c r="D49" s="3587"/>
      <c r="E49" s="3698"/>
      <c r="F49" s="3586" t="str">
        <f>'FIP(PAP-01)'!F47</f>
        <v>-</v>
      </c>
      <c r="G49" s="3587"/>
      <c r="H49" s="3698"/>
      <c r="I49" s="3551">
        <f>'FIP(PAP-01)'!I47</f>
        <v>9800</v>
      </c>
      <c r="J49" s="3552"/>
      <c r="K49" s="3768">
        <f>'FIP(PAP-01)'!L47</f>
        <v>0.49</v>
      </c>
      <c r="L49" s="3768"/>
      <c r="M49" s="3765"/>
      <c r="N49" s="3765"/>
      <c r="O49" s="3534" t="str">
        <f>'FIP(PAP-01)'!R47</f>
        <v>Hubungan dengan pengurus semuanya baik</v>
      </c>
      <c r="P49" s="3535"/>
      <c r="Q49" s="3536"/>
      <c r="R49" s="2996" t="s">
        <v>362</v>
      </c>
      <c r="S49" s="2998"/>
      <c r="T49" s="1451"/>
      <c r="U49" s="1449"/>
      <c r="V49" s="1451"/>
      <c r="W49" s="1451"/>
      <c r="X49" s="1451" t="s">
        <v>194</v>
      </c>
      <c r="Y49" s="60"/>
      <c r="Z49" s="65"/>
      <c r="AA49" s="60"/>
      <c r="AB49" s="65">
        <v>4</v>
      </c>
      <c r="AC49" s="60"/>
      <c r="AD49" s="60"/>
      <c r="AE49" s="60"/>
      <c r="AF49" s="2332"/>
      <c r="AG49" s="60"/>
      <c r="AH49" s="60"/>
    </row>
    <row r="50" spans="1:34" s="7" customFormat="1" ht="56.25" customHeight="1" x14ac:dyDescent="0.35">
      <c r="A50" s="138"/>
      <c r="B50" s="3586">
        <f>'FIP(PAP-01)'!C48</f>
        <v>0</v>
      </c>
      <c r="C50" s="3587"/>
      <c r="D50" s="3587"/>
      <c r="E50" s="3698"/>
      <c r="F50" s="3586">
        <f>'FIP(PAP-01)'!F48</f>
        <v>0</v>
      </c>
      <c r="G50" s="3587"/>
      <c r="H50" s="3698"/>
      <c r="I50" s="3551">
        <f>'FIP(PAP-01)'!I48</f>
        <v>0</v>
      </c>
      <c r="J50" s="3552"/>
      <c r="K50" s="3768">
        <f>'FIP(PAP-01)'!L48</f>
        <v>0</v>
      </c>
      <c r="L50" s="3768"/>
      <c r="M50" s="3766"/>
      <c r="N50" s="3766"/>
      <c r="O50" s="3534">
        <f>'FIP(PAP-01)'!R48</f>
        <v>0</v>
      </c>
      <c r="P50" s="3535"/>
      <c r="Q50" s="3536"/>
      <c r="R50" s="2996" t="s">
        <v>362</v>
      </c>
      <c r="S50" s="2998"/>
      <c r="T50" s="1451"/>
      <c r="U50" s="1449" t="s">
        <v>194</v>
      </c>
      <c r="V50" s="1451"/>
      <c r="W50" s="1451"/>
      <c r="X50" s="1451"/>
      <c r="Y50" s="60"/>
      <c r="Z50" s="65"/>
      <c r="AA50" s="60"/>
      <c r="AB50" s="65">
        <v>0</v>
      </c>
      <c r="AC50" s="60"/>
      <c r="AD50" s="60"/>
      <c r="AE50" s="60"/>
      <c r="AF50" s="2332"/>
      <c r="AG50" s="60"/>
      <c r="AH50" s="60"/>
    </row>
    <row r="51" spans="1:34" s="7" customFormat="1" ht="15" x14ac:dyDescent="0.35">
      <c r="A51" s="138"/>
      <c r="B51" s="3081" t="s">
        <v>14</v>
      </c>
      <c r="C51" s="3081"/>
      <c r="D51" s="3081"/>
      <c r="E51" s="3081"/>
      <c r="F51" s="3081"/>
      <c r="G51" s="3081"/>
      <c r="H51" s="3081"/>
      <c r="I51" s="3873">
        <f>SUM(I48:N50)</f>
        <v>20001.000000000004</v>
      </c>
      <c r="J51" s="3874"/>
      <c r="K51" s="3769">
        <f>SUM(K48:M50)</f>
        <v>1</v>
      </c>
      <c r="L51" s="3769"/>
      <c r="M51" s="3761"/>
      <c r="N51" s="3762"/>
      <c r="O51" s="3762"/>
      <c r="P51" s="3762"/>
      <c r="Q51" s="3762"/>
      <c r="R51" s="3762"/>
      <c r="S51" s="3762"/>
      <c r="T51" s="3762"/>
      <c r="U51" s="3762"/>
      <c r="V51" s="3762"/>
      <c r="W51" s="3762"/>
      <c r="X51" s="3763"/>
      <c r="Y51" s="60"/>
      <c r="Z51" s="65"/>
      <c r="AA51" s="60"/>
      <c r="AB51" s="65"/>
      <c r="AC51" s="60"/>
      <c r="AD51" s="60"/>
      <c r="AE51" s="60"/>
      <c r="AF51" s="2332"/>
      <c r="AG51" s="60"/>
      <c r="AH51" s="60"/>
    </row>
    <row r="52" spans="1:34" s="7" customFormat="1" ht="26.25" customHeight="1" x14ac:dyDescent="0.35">
      <c r="A52" s="132"/>
      <c r="B52" s="3442" t="s">
        <v>1792</v>
      </c>
      <c r="C52" s="3443"/>
      <c r="D52" s="3443"/>
      <c r="E52" s="3443"/>
      <c r="F52" s="3443"/>
      <c r="G52" s="3443"/>
      <c r="H52" s="3443"/>
      <c r="I52" s="3443"/>
      <c r="J52" s="3443"/>
      <c r="K52" s="3443"/>
      <c r="L52" s="3443"/>
      <c r="M52" s="3443"/>
      <c r="N52" s="3443"/>
      <c r="O52" s="3443"/>
      <c r="P52" s="3443"/>
      <c r="Q52" s="3443"/>
      <c r="R52" s="3547" t="s">
        <v>235</v>
      </c>
      <c r="S52" s="3547"/>
      <c r="T52" s="1510">
        <f>COUNTIF(AB48:AB50,"1")*T47</f>
        <v>0</v>
      </c>
      <c r="U52" s="1510">
        <f>COUNTIF(AB48:AB50,"2")*U47</f>
        <v>0</v>
      </c>
      <c r="V52" s="1510">
        <f>COUNTIF(AB48:AB50,"3")*V47</f>
        <v>0</v>
      </c>
      <c r="W52" s="1510">
        <f>COUNTIF(AB48:AB50,"4")*W47</f>
        <v>8</v>
      </c>
      <c r="X52" s="1510">
        <f>COUNTIF(AB48:AB50,"5")*X47</f>
        <v>0</v>
      </c>
      <c r="Y52" s="60"/>
      <c r="Z52" s="65"/>
      <c r="AA52" s="60"/>
      <c r="AB52" s="60"/>
      <c r="AC52" s="60"/>
      <c r="AD52" s="60"/>
      <c r="AE52" s="60"/>
      <c r="AF52" s="2332"/>
      <c r="AG52" s="60"/>
      <c r="AH52" s="60"/>
    </row>
    <row r="53" spans="1:34" s="7" customFormat="1" ht="28.5" customHeight="1" x14ac:dyDescent="0.35">
      <c r="A53" s="132"/>
      <c r="B53" s="3445"/>
      <c r="C53" s="3446"/>
      <c r="D53" s="3446"/>
      <c r="E53" s="3446"/>
      <c r="F53" s="3446"/>
      <c r="G53" s="3446"/>
      <c r="H53" s="3446"/>
      <c r="I53" s="3446"/>
      <c r="J53" s="3446"/>
      <c r="K53" s="3446"/>
      <c r="L53" s="3446"/>
      <c r="M53" s="3446"/>
      <c r="N53" s="3446"/>
      <c r="O53" s="3446"/>
      <c r="P53" s="3446"/>
      <c r="Q53" s="3446"/>
      <c r="R53" s="3547"/>
      <c r="S53" s="3547"/>
      <c r="T53" s="3124">
        <f>SUM(T52:X52)</f>
        <v>8</v>
      </c>
      <c r="U53" s="3124"/>
      <c r="V53" s="3124"/>
      <c r="W53" s="3124"/>
      <c r="X53" s="3124"/>
      <c r="Y53" s="60"/>
      <c r="Z53" s="65"/>
      <c r="AA53" s="60"/>
      <c r="AB53" s="65"/>
      <c r="AC53" s="60"/>
      <c r="AD53" s="60"/>
      <c r="AE53" s="60"/>
      <c r="AF53" s="2332"/>
      <c r="AG53" s="60"/>
      <c r="AH53" s="60"/>
    </row>
    <row r="54" spans="1:34" s="7" customFormat="1" ht="132" customHeight="1" x14ac:dyDescent="0.35">
      <c r="A54" s="132"/>
      <c r="B54" s="3448"/>
      <c r="C54" s="3449"/>
      <c r="D54" s="3449"/>
      <c r="E54" s="3449"/>
      <c r="F54" s="3449"/>
      <c r="G54" s="3449"/>
      <c r="H54" s="3449"/>
      <c r="I54" s="3449"/>
      <c r="J54" s="3449"/>
      <c r="K54" s="3449"/>
      <c r="L54" s="3449"/>
      <c r="M54" s="3449"/>
      <c r="N54" s="3449"/>
      <c r="O54" s="3449"/>
      <c r="P54" s="3449"/>
      <c r="Q54" s="3449"/>
      <c r="R54" s="3548" t="s">
        <v>236</v>
      </c>
      <c r="S54" s="3549"/>
      <c r="T54" s="3125">
        <f>T53/AF54</f>
        <v>4</v>
      </c>
      <c r="U54" s="3125"/>
      <c r="V54" s="2995" t="str">
        <f>IF(ROUND(T54,0)=1,"Sangat Tidak Baik",IF(ROUND(T54,0)=2,"Tidak Baik",IF(ROUND(T54,0)=3,"Cukup Baik",IF(ROUND(T54,0)=4,"Baik",IF(ROUND(T54,0)&gt;=5,"Sangat Baik Memenuhi Syarat")))))</f>
        <v>Baik</v>
      </c>
      <c r="W54" s="2995"/>
      <c r="X54" s="2995"/>
      <c r="Y54" s="60"/>
      <c r="Z54" s="65"/>
      <c r="AA54" s="60"/>
      <c r="AB54" s="60"/>
      <c r="AC54" s="60"/>
      <c r="AD54" s="60"/>
      <c r="AE54" s="60"/>
      <c r="AF54" s="2333">
        <f>COUNTIF(AB48:AB50,"&gt;0")</f>
        <v>2</v>
      </c>
      <c r="AG54" s="60"/>
      <c r="AH54" s="60"/>
    </row>
    <row r="55" spans="1:34" s="7" customFormat="1" ht="13.5" customHeight="1" x14ac:dyDescent="0.35">
      <c r="A55" s="132"/>
      <c r="B55" s="144"/>
      <c r="C55" s="144"/>
      <c r="D55" s="144"/>
      <c r="E55" s="144"/>
      <c r="F55" s="144"/>
      <c r="G55" s="144"/>
      <c r="H55" s="144"/>
      <c r="I55" s="144"/>
      <c r="J55" s="144"/>
      <c r="K55" s="144"/>
      <c r="L55" s="144"/>
      <c r="M55" s="144"/>
      <c r="N55" s="144"/>
      <c r="O55" s="132"/>
      <c r="P55" s="132"/>
      <c r="Q55" s="132"/>
      <c r="R55" s="132"/>
      <c r="S55" s="132"/>
      <c r="T55" s="132"/>
      <c r="U55" s="132"/>
      <c r="V55" s="132"/>
      <c r="W55" s="132"/>
      <c r="X55" s="132"/>
      <c r="Y55" s="60"/>
      <c r="Z55" s="65"/>
      <c r="AA55" s="60"/>
      <c r="AB55" s="65"/>
      <c r="AC55" s="60"/>
      <c r="AD55" s="60"/>
      <c r="AE55" s="60"/>
      <c r="AF55" s="2332"/>
      <c r="AG55" s="60"/>
      <c r="AH55" s="60"/>
    </row>
    <row r="56" spans="1:34" s="7" customFormat="1" ht="26.45" customHeight="1" x14ac:dyDescent="0.35">
      <c r="A56" s="132"/>
      <c r="B56" s="3872"/>
      <c r="C56" s="3872"/>
      <c r="D56" s="3872"/>
      <c r="E56" s="3872"/>
      <c r="F56" s="3872"/>
      <c r="G56" s="3746"/>
      <c r="H56" s="3746"/>
      <c r="I56" s="132"/>
      <c r="J56" s="3870"/>
      <c r="K56" s="3870"/>
      <c r="L56" s="468"/>
      <c r="M56" s="468"/>
      <c r="N56" s="468"/>
      <c r="O56" s="132"/>
      <c r="P56" s="132"/>
      <c r="Q56" s="132"/>
      <c r="R56" s="132"/>
      <c r="S56" s="132"/>
      <c r="T56" s="132"/>
      <c r="U56" s="132"/>
      <c r="V56" s="132"/>
      <c r="W56" s="132"/>
      <c r="X56" s="132"/>
      <c r="Y56" s="60"/>
      <c r="Z56" s="65"/>
      <c r="AA56" s="60"/>
      <c r="AB56" s="65"/>
      <c r="AC56" s="60"/>
      <c r="AD56" s="60"/>
      <c r="AE56" s="60"/>
      <c r="AF56" s="2332"/>
      <c r="AG56" s="60"/>
      <c r="AH56" s="60"/>
    </row>
    <row r="57" spans="1:34" s="7" customFormat="1" ht="15" customHeight="1" x14ac:dyDescent="0.35">
      <c r="A57" s="138"/>
      <c r="B57" s="3690" t="s">
        <v>963</v>
      </c>
      <c r="C57" s="3690"/>
      <c r="D57" s="3690"/>
      <c r="E57" s="3690"/>
      <c r="F57" s="3690"/>
      <c r="G57" s="3690"/>
      <c r="H57" s="3690"/>
      <c r="I57" s="3690"/>
      <c r="J57" s="3690"/>
      <c r="K57" s="3690"/>
      <c r="L57" s="3690"/>
      <c r="M57" s="3690"/>
      <c r="N57" s="3690"/>
      <c r="O57" s="138"/>
      <c r="P57" s="138"/>
      <c r="Q57" s="138"/>
      <c r="R57" s="138"/>
      <c r="S57" s="138"/>
      <c r="T57" s="138"/>
      <c r="U57" s="138"/>
      <c r="V57" s="138"/>
      <c r="W57" s="138"/>
      <c r="X57" s="138"/>
      <c r="Y57" s="60"/>
      <c r="Z57" s="65"/>
      <c r="AA57" s="60"/>
      <c r="AB57" s="65"/>
      <c r="AC57" s="60"/>
      <c r="AD57" s="60"/>
      <c r="AE57" s="60"/>
      <c r="AF57" s="2332"/>
      <c r="AG57" s="60"/>
      <c r="AH57" s="60"/>
    </row>
    <row r="58" spans="1:34" s="7" customFormat="1" ht="15" x14ac:dyDescent="0.35">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60"/>
      <c r="Z58" s="68"/>
      <c r="AA58" s="60"/>
      <c r="AB58" s="65"/>
      <c r="AC58" s="60"/>
      <c r="AD58" s="60"/>
      <c r="AE58" s="60"/>
      <c r="AF58" s="2332"/>
      <c r="AG58" s="60"/>
      <c r="AH58" s="60"/>
    </row>
    <row r="59" spans="1:34" s="7" customFormat="1" ht="13.5" customHeight="1" x14ac:dyDescent="0.35">
      <c r="A59" s="138"/>
      <c r="B59" s="3068" t="s">
        <v>27</v>
      </c>
      <c r="C59" s="3068"/>
      <c r="D59" s="3068"/>
      <c r="E59" s="3068"/>
      <c r="F59" s="3068"/>
      <c r="G59" s="3068"/>
      <c r="H59" s="3068"/>
      <c r="I59" s="3068"/>
      <c r="J59" s="3067" t="s">
        <v>239</v>
      </c>
      <c r="K59" s="2999"/>
      <c r="L59" s="2999"/>
      <c r="M59" s="3068" t="s">
        <v>358</v>
      </c>
      <c r="N59" s="3068"/>
      <c r="O59" s="3068" t="s">
        <v>40</v>
      </c>
      <c r="P59" s="3068"/>
      <c r="Q59" s="3068"/>
      <c r="R59" s="2992" t="s">
        <v>348</v>
      </c>
      <c r="S59" s="2992"/>
      <c r="T59" s="3068" t="s">
        <v>345</v>
      </c>
      <c r="U59" s="3068"/>
      <c r="V59" s="3068"/>
      <c r="W59" s="3068"/>
      <c r="X59" s="3068"/>
      <c r="Y59" s="2294"/>
      <c r="Z59" s="2295"/>
      <c r="AA59" s="60"/>
      <c r="AB59" s="65"/>
      <c r="AC59" s="60"/>
      <c r="AD59" s="60"/>
      <c r="AE59" s="60"/>
      <c r="AF59" s="2332"/>
      <c r="AG59" s="60"/>
      <c r="AH59" s="60"/>
    </row>
    <row r="60" spans="1:34" s="7" customFormat="1" ht="15" x14ac:dyDescent="0.35">
      <c r="A60" s="138"/>
      <c r="B60" s="3068"/>
      <c r="C60" s="3068"/>
      <c r="D60" s="3068"/>
      <c r="E60" s="3068"/>
      <c r="F60" s="3068"/>
      <c r="G60" s="3068"/>
      <c r="H60" s="3068"/>
      <c r="I60" s="3068"/>
      <c r="J60" s="3067" t="s">
        <v>28</v>
      </c>
      <c r="K60" s="2999"/>
      <c r="L60" s="1524" t="s">
        <v>29</v>
      </c>
      <c r="M60" s="3068"/>
      <c r="N60" s="3068"/>
      <c r="O60" s="3068"/>
      <c r="P60" s="3068"/>
      <c r="Q60" s="3068"/>
      <c r="R60" s="2992"/>
      <c r="S60" s="2992"/>
      <c r="T60" s="1462">
        <v>1</v>
      </c>
      <c r="U60" s="1462">
        <v>2</v>
      </c>
      <c r="V60" s="1462">
        <v>3</v>
      </c>
      <c r="W60" s="1462">
        <v>4</v>
      </c>
      <c r="X60" s="1462">
        <v>5</v>
      </c>
      <c r="Y60" s="60"/>
      <c r="Z60" s="68"/>
      <c r="AA60" s="60"/>
      <c r="AB60" s="65"/>
      <c r="AC60" s="60"/>
      <c r="AD60" s="60"/>
      <c r="AE60" s="60"/>
      <c r="AF60" s="2332"/>
      <c r="AG60" s="60"/>
      <c r="AH60" s="60"/>
    </row>
    <row r="61" spans="1:34" s="7" customFormat="1" ht="99.75" customHeight="1" x14ac:dyDescent="0.35">
      <c r="A61" s="138"/>
      <c r="B61" s="3871">
        <f>'FIP(PAP-01)'!C57</f>
        <v>0</v>
      </c>
      <c r="C61" s="3871"/>
      <c r="D61" s="3871"/>
      <c r="E61" s="3871"/>
      <c r="F61" s="3871"/>
      <c r="G61" s="3871"/>
      <c r="H61" s="3871"/>
      <c r="I61" s="3871"/>
      <c r="J61" s="3747">
        <f>'FIP(PAP-01)'!J57</f>
        <v>0</v>
      </c>
      <c r="K61" s="3748"/>
      <c r="L61" s="631">
        <f>'FIP(PAP-01)'!M57</f>
        <v>0</v>
      </c>
      <c r="M61" s="3068" t="s">
        <v>360</v>
      </c>
      <c r="N61" s="3068"/>
      <c r="O61" s="3537" t="str">
        <f>'FIP(PAP-01)'!R57</f>
        <v>Hubungan usaha dg grup/afiliasi tidak pernah bermasalah</v>
      </c>
      <c r="P61" s="3537"/>
      <c r="Q61" s="3537"/>
      <c r="R61" s="3026" t="s">
        <v>362</v>
      </c>
      <c r="S61" s="3026"/>
      <c r="T61" s="403"/>
      <c r="U61" s="403"/>
      <c r="V61" s="404" t="s">
        <v>194</v>
      </c>
      <c r="W61" s="404"/>
      <c r="X61" s="404"/>
      <c r="Y61" s="60"/>
      <c r="Z61" s="65"/>
      <c r="AA61" s="60"/>
      <c r="AB61" s="65">
        <v>0</v>
      </c>
      <c r="AC61" s="60"/>
      <c r="AD61" s="60"/>
      <c r="AE61" s="60"/>
      <c r="AF61" s="2332"/>
      <c r="AG61" s="60"/>
      <c r="AH61" s="60"/>
    </row>
    <row r="62" spans="1:34" s="7" customFormat="1" ht="99.75" customHeight="1" x14ac:dyDescent="0.35">
      <c r="A62" s="138"/>
      <c r="B62" s="3871">
        <f>'FIP(PAP-01)'!C58</f>
        <v>0</v>
      </c>
      <c r="C62" s="3871"/>
      <c r="D62" s="3871"/>
      <c r="E62" s="3871"/>
      <c r="F62" s="3871"/>
      <c r="G62" s="3871"/>
      <c r="H62" s="3871"/>
      <c r="I62" s="3871"/>
      <c r="J62" s="3747">
        <f>'FIP(PAP-01)'!J58</f>
        <v>0</v>
      </c>
      <c r="K62" s="3748"/>
      <c r="L62" s="631">
        <f>'FIP(PAP-01)'!M58</f>
        <v>0</v>
      </c>
      <c r="M62" s="3068"/>
      <c r="N62" s="3068"/>
      <c r="O62" s="3537" t="str">
        <f>'FIP(PAP-01)'!R58</f>
        <v>Hubungan usaha dg grup/afiliasi baik</v>
      </c>
      <c r="P62" s="3537"/>
      <c r="Q62" s="3537"/>
      <c r="R62" s="3026" t="s">
        <v>362</v>
      </c>
      <c r="S62" s="3026"/>
      <c r="T62" s="403"/>
      <c r="U62" s="403"/>
      <c r="V62" s="404"/>
      <c r="W62" s="404"/>
      <c r="X62" s="404" t="s">
        <v>194</v>
      </c>
      <c r="Y62" s="60"/>
      <c r="Z62" s="65"/>
      <c r="AA62" s="60"/>
      <c r="AB62" s="65">
        <v>0</v>
      </c>
      <c r="AC62" s="60"/>
      <c r="AD62" s="60"/>
      <c r="AE62" s="60"/>
      <c r="AF62" s="2332"/>
      <c r="AG62" s="60"/>
      <c r="AH62" s="60"/>
    </row>
    <row r="63" spans="1:34" s="7" customFormat="1" ht="99.75" customHeight="1" x14ac:dyDescent="0.35">
      <c r="A63" s="138"/>
      <c r="B63" s="3871">
        <f>'FIP(PAP-01)'!C59</f>
        <v>0</v>
      </c>
      <c r="C63" s="3871"/>
      <c r="D63" s="3871"/>
      <c r="E63" s="3871"/>
      <c r="F63" s="3871"/>
      <c r="G63" s="3871"/>
      <c r="H63" s="3871"/>
      <c r="I63" s="3871"/>
      <c r="J63" s="3747">
        <f>'FIP(PAP-01)'!J59</f>
        <v>0</v>
      </c>
      <c r="K63" s="3748"/>
      <c r="L63" s="631">
        <f>'FIP(PAP-01)'!M59</f>
        <v>0</v>
      </c>
      <c r="M63" s="3068"/>
      <c r="N63" s="3068"/>
      <c r="O63" s="3537" t="str">
        <f>'FIP(PAP-01)'!R59</f>
        <v>Hubungan usaha dg grup/afiliasi tidak pernah bermasalah</v>
      </c>
      <c r="P63" s="3537"/>
      <c r="Q63" s="3537"/>
      <c r="R63" s="3026" t="s">
        <v>362</v>
      </c>
      <c r="S63" s="3026"/>
      <c r="T63" s="403"/>
      <c r="U63" s="404" t="s">
        <v>194</v>
      </c>
      <c r="V63" s="404"/>
      <c r="W63" s="404"/>
      <c r="X63" s="404"/>
      <c r="Y63" s="60"/>
      <c r="Z63" s="65"/>
      <c r="AA63" s="60"/>
      <c r="AB63" s="65">
        <v>0</v>
      </c>
      <c r="AC63" s="60"/>
      <c r="AD63" s="60"/>
      <c r="AE63" s="60"/>
      <c r="AF63" s="2332"/>
      <c r="AG63" s="60"/>
      <c r="AH63" s="60"/>
    </row>
    <row r="64" spans="1:34" s="7" customFormat="1" ht="15" x14ac:dyDescent="0.35">
      <c r="A64" s="132"/>
      <c r="B64" s="3081" t="s">
        <v>14</v>
      </c>
      <c r="C64" s="3081"/>
      <c r="D64" s="3081"/>
      <c r="E64" s="3081"/>
      <c r="F64" s="3081"/>
      <c r="G64" s="3081"/>
      <c r="H64" s="3081"/>
      <c r="I64" s="3081"/>
      <c r="J64" s="3082"/>
      <c r="K64" s="3084"/>
      <c r="L64" s="632">
        <f>SUM(L61:L63)</f>
        <v>0</v>
      </c>
      <c r="M64" s="469"/>
      <c r="N64" s="3753"/>
      <c r="O64" s="3754"/>
      <c r="P64" s="3754"/>
      <c r="Q64" s="3754"/>
      <c r="R64" s="3754"/>
      <c r="S64" s="3754"/>
      <c r="T64" s="3754"/>
      <c r="U64" s="3754"/>
      <c r="V64" s="3754"/>
      <c r="W64" s="3754"/>
      <c r="X64" s="3755"/>
      <c r="Y64" s="60"/>
      <c r="Z64" s="65"/>
      <c r="AA64" s="60"/>
      <c r="AB64" s="60"/>
      <c r="AC64" s="60"/>
      <c r="AD64" s="60"/>
      <c r="AE64" s="60"/>
      <c r="AF64" s="2332"/>
      <c r="AG64" s="60"/>
      <c r="AH64" s="60"/>
    </row>
    <row r="65" spans="1:34" s="7" customFormat="1" ht="16.5" customHeight="1" x14ac:dyDescent="0.35">
      <c r="A65" s="132"/>
      <c r="B65" s="3442" t="s">
        <v>1793</v>
      </c>
      <c r="C65" s="3443"/>
      <c r="D65" s="3443"/>
      <c r="E65" s="3443"/>
      <c r="F65" s="3443"/>
      <c r="G65" s="3443"/>
      <c r="H65" s="3443"/>
      <c r="I65" s="3443"/>
      <c r="J65" s="3443"/>
      <c r="K65" s="3443"/>
      <c r="L65" s="3443"/>
      <c r="M65" s="3443"/>
      <c r="N65" s="3443"/>
      <c r="O65" s="3443"/>
      <c r="P65" s="3443"/>
      <c r="Q65" s="3443"/>
      <c r="R65" s="3547" t="s">
        <v>235</v>
      </c>
      <c r="S65" s="3547"/>
      <c r="T65" s="1486">
        <f>COUNTIF(AB61:AB63,"1")*T60</f>
        <v>0</v>
      </c>
      <c r="U65" s="1486">
        <f>COUNTIF(AB61:AB63,"2")*U60</f>
        <v>0</v>
      </c>
      <c r="V65" s="1486">
        <f>COUNTIF(AB61:AB63,"3")*V60</f>
        <v>0</v>
      </c>
      <c r="W65" s="1486">
        <f>COUNTIF(AB61:AB63,"4")*W60</f>
        <v>0</v>
      </c>
      <c r="X65" s="1486">
        <f>COUNTIF(AB61:AB63,"5")*X60</f>
        <v>0</v>
      </c>
      <c r="Y65" s="60"/>
      <c r="Z65" s="65"/>
      <c r="AA65" s="60"/>
      <c r="AB65" s="65"/>
      <c r="AC65" s="60"/>
      <c r="AD65" s="60"/>
      <c r="AE65" s="60"/>
      <c r="AF65" s="2332"/>
      <c r="AG65" s="60"/>
      <c r="AH65" s="60"/>
    </row>
    <row r="66" spans="1:34" s="7" customFormat="1" ht="33" customHeight="1" x14ac:dyDescent="0.35">
      <c r="A66" s="132"/>
      <c r="B66" s="3445"/>
      <c r="C66" s="3446"/>
      <c r="D66" s="3446"/>
      <c r="E66" s="3446"/>
      <c r="F66" s="3446"/>
      <c r="G66" s="3446"/>
      <c r="H66" s="3446"/>
      <c r="I66" s="3446"/>
      <c r="J66" s="3446"/>
      <c r="K66" s="3446"/>
      <c r="L66" s="3446"/>
      <c r="M66" s="3446"/>
      <c r="N66" s="3446"/>
      <c r="O66" s="3446"/>
      <c r="P66" s="3446"/>
      <c r="Q66" s="3446"/>
      <c r="R66" s="3547"/>
      <c r="S66" s="3547"/>
      <c r="T66" s="3767">
        <f>SUM(T65:X65)</f>
        <v>0</v>
      </c>
      <c r="U66" s="3767"/>
      <c r="V66" s="3767"/>
      <c r="W66" s="3767"/>
      <c r="X66" s="3767"/>
      <c r="Y66" s="2296"/>
      <c r="Z66" s="2297"/>
      <c r="AA66" s="60"/>
      <c r="AB66" s="65"/>
      <c r="AC66" s="60"/>
      <c r="AD66" s="60"/>
      <c r="AE66" s="60"/>
      <c r="AF66" s="2332"/>
      <c r="AG66" s="60"/>
      <c r="AH66" s="60"/>
    </row>
    <row r="67" spans="1:34" s="7" customFormat="1" ht="102" customHeight="1" x14ac:dyDescent="0.35">
      <c r="A67" s="132"/>
      <c r="B67" s="3448"/>
      <c r="C67" s="3449"/>
      <c r="D67" s="3449"/>
      <c r="E67" s="3449"/>
      <c r="F67" s="3449"/>
      <c r="G67" s="3449"/>
      <c r="H67" s="3449"/>
      <c r="I67" s="3449"/>
      <c r="J67" s="3449"/>
      <c r="K67" s="3449"/>
      <c r="L67" s="3449"/>
      <c r="M67" s="3449"/>
      <c r="N67" s="3449"/>
      <c r="O67" s="3449"/>
      <c r="P67" s="3449"/>
      <c r="Q67" s="3449"/>
      <c r="R67" s="3548" t="s">
        <v>236</v>
      </c>
      <c r="S67" s="3549"/>
      <c r="T67" s="3125" t="e">
        <f>T66/AF67</f>
        <v>#DIV/0!</v>
      </c>
      <c r="U67" s="3125"/>
      <c r="V67" s="2995" t="e">
        <f>IF(ROUND(T67,0)=1,"Sangat Tidak Baik",IF(ROUND(T67,0)=2,"Tidak Baik",IF(ROUND(T67,0)=3,"Cukup Baik",IF(ROUND(T67,0)=4,"Baik",IF(ROUND(T67,0)&gt;=5,"Sangat Baik Memenuhi Syarat")))))</f>
        <v>#DIV/0!</v>
      </c>
      <c r="W67" s="2995"/>
      <c r="X67" s="2995"/>
      <c r="Y67" s="2298"/>
      <c r="Z67" s="2299"/>
      <c r="AA67" s="61"/>
      <c r="AB67" s="68"/>
      <c r="AC67" s="60"/>
      <c r="AD67" s="60"/>
      <c r="AE67" s="60"/>
      <c r="AF67" s="2333">
        <f>COUNTIF(AB61:AB63,"&gt;0")</f>
        <v>0</v>
      </c>
      <c r="AG67" s="60"/>
      <c r="AH67" s="60"/>
    </row>
    <row r="68" spans="1:34" s="7" customFormat="1" ht="15" x14ac:dyDescent="0.35">
      <c r="A68" s="132"/>
      <c r="B68" s="1513"/>
      <c r="C68" s="1513"/>
      <c r="D68" s="1513"/>
      <c r="E68" s="1513"/>
      <c r="F68" s="1513"/>
      <c r="G68" s="1513"/>
      <c r="H68" s="1513"/>
      <c r="I68" s="1513"/>
      <c r="J68" s="1513"/>
      <c r="K68" s="1513"/>
      <c r="L68" s="1513"/>
      <c r="M68" s="1513"/>
      <c r="N68" s="1513"/>
      <c r="O68" s="1513"/>
      <c r="P68" s="1521"/>
      <c r="Q68" s="1521"/>
      <c r="R68" s="1521"/>
      <c r="S68" s="1521"/>
      <c r="T68" s="1521"/>
      <c r="U68" s="164"/>
      <c r="V68" s="164"/>
      <c r="W68" s="470"/>
      <c r="X68" s="470"/>
      <c r="Y68" s="2300"/>
      <c r="Z68" s="2299"/>
      <c r="AA68" s="60"/>
      <c r="AB68" s="65"/>
      <c r="AC68" s="60"/>
      <c r="AD68" s="60"/>
      <c r="AE68" s="60"/>
      <c r="AF68" s="2332"/>
      <c r="AG68" s="60"/>
      <c r="AH68" s="60"/>
    </row>
    <row r="69" spans="1:34" s="7" customFormat="1" ht="15" x14ac:dyDescent="0.35">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60"/>
      <c r="Z69" s="65"/>
      <c r="AA69" s="60"/>
      <c r="AB69" s="65"/>
      <c r="AC69" s="60"/>
      <c r="AD69" s="60"/>
      <c r="AE69" s="60"/>
      <c r="AF69" s="2332"/>
      <c r="AG69" s="60"/>
      <c r="AH69" s="60"/>
    </row>
    <row r="70" spans="1:34" s="16" customFormat="1" ht="15" x14ac:dyDescent="0.35">
      <c r="A70" s="132"/>
      <c r="B70" s="3550" t="s">
        <v>240</v>
      </c>
      <c r="C70" s="3550"/>
      <c r="D70" s="3550"/>
      <c r="E70" s="1505"/>
      <c r="F70" s="1541"/>
      <c r="G70" s="1541"/>
      <c r="H70" s="1541"/>
      <c r="I70" s="1541"/>
      <c r="J70" s="1541"/>
      <c r="K70" s="1541"/>
      <c r="L70" s="1541"/>
      <c r="M70" s="1541"/>
      <c r="N70" s="1541"/>
      <c r="O70" s="1541"/>
      <c r="P70" s="1541"/>
      <c r="Q70" s="1541"/>
      <c r="R70" s="1541"/>
      <c r="S70" s="1541"/>
      <c r="T70" s="132"/>
      <c r="U70" s="132"/>
      <c r="V70" s="132"/>
      <c r="W70" s="132"/>
      <c r="X70" s="132"/>
      <c r="Y70" s="60"/>
      <c r="Z70" s="2301"/>
      <c r="AA70" s="2302"/>
      <c r="AB70" s="2301"/>
      <c r="AC70" s="2302"/>
      <c r="AD70" s="2302"/>
      <c r="AE70" s="2302"/>
      <c r="AF70" s="2334"/>
      <c r="AG70" s="2302"/>
      <c r="AH70" s="2302"/>
    </row>
    <row r="71" spans="1:34" s="9" customFormat="1" ht="18" customHeight="1" x14ac:dyDescent="0.35">
      <c r="A71" s="3759" t="s">
        <v>242</v>
      </c>
      <c r="B71" s="3759"/>
      <c r="C71" s="3759"/>
      <c r="D71" s="3759"/>
      <c r="E71" s="3759"/>
      <c r="F71" s="3759"/>
      <c r="G71" s="3759"/>
      <c r="H71" s="575"/>
      <c r="I71" s="575"/>
      <c r="J71" s="1505"/>
      <c r="K71" s="1505"/>
      <c r="L71" s="1505"/>
      <c r="M71" s="1505"/>
      <c r="N71" s="1505"/>
      <c r="O71" s="1505"/>
      <c r="P71" s="1505"/>
      <c r="Q71" s="1505"/>
      <c r="R71" s="1505"/>
      <c r="S71" s="1505"/>
      <c r="T71" s="132"/>
      <c r="U71" s="132"/>
      <c r="V71" s="132"/>
      <c r="W71" s="132"/>
      <c r="X71" s="132"/>
      <c r="Y71" s="2303"/>
      <c r="Z71" s="2304"/>
      <c r="AA71" s="2305"/>
      <c r="AB71" s="2304"/>
      <c r="AC71" s="2305"/>
      <c r="AD71" s="2305"/>
      <c r="AE71" s="2305"/>
      <c r="AF71" s="2335"/>
      <c r="AG71" s="2305"/>
      <c r="AH71" s="2305"/>
    </row>
    <row r="72" spans="1:34" s="9" customFormat="1" ht="15" customHeight="1" x14ac:dyDescent="0.35">
      <c r="A72" s="600"/>
      <c r="B72" s="3749" t="s">
        <v>243</v>
      </c>
      <c r="C72" s="3749"/>
      <c r="D72" s="3749"/>
      <c r="E72" s="3749"/>
      <c r="F72" s="3749"/>
      <c r="G72" s="600"/>
      <c r="H72" s="600"/>
      <c r="I72" s="600"/>
      <c r="J72" s="198"/>
      <c r="K72" s="198"/>
      <c r="L72" s="198"/>
      <c r="M72" s="471"/>
      <c r="N72" s="471"/>
      <c r="O72" s="471"/>
      <c r="P72" s="471"/>
      <c r="Q72" s="471"/>
      <c r="R72" s="471"/>
      <c r="S72" s="471"/>
      <c r="T72" s="471"/>
      <c r="U72" s="471"/>
      <c r="V72" s="471"/>
      <c r="W72" s="471"/>
      <c r="X72" s="471"/>
      <c r="Y72" s="2302"/>
      <c r="Z72" s="2304"/>
      <c r="AA72" s="2305"/>
      <c r="AB72" s="2304"/>
      <c r="AC72" s="2305"/>
      <c r="AD72" s="2305"/>
      <c r="AE72" s="2305"/>
      <c r="AF72" s="2335"/>
      <c r="AG72" s="2305"/>
      <c r="AH72" s="2305"/>
    </row>
    <row r="73" spans="1:34" s="16" customFormat="1" ht="15" customHeight="1" thickBot="1" x14ac:dyDescent="0.4">
      <c r="A73" s="601"/>
      <c r="B73" s="601"/>
      <c r="C73" s="601"/>
      <c r="D73" s="601"/>
      <c r="E73" s="601"/>
      <c r="F73" s="601"/>
      <c r="G73" s="601"/>
      <c r="H73" s="601"/>
      <c r="I73" s="601"/>
      <c r="J73" s="144"/>
      <c r="K73" s="144"/>
      <c r="L73" s="144"/>
      <c r="M73" s="1543"/>
      <c r="N73" s="1543"/>
      <c r="O73" s="1543"/>
      <c r="P73" s="1543"/>
      <c r="Q73" s="1543"/>
      <c r="R73" s="1543"/>
      <c r="S73" s="1543"/>
      <c r="T73" s="1543"/>
      <c r="U73" s="1543"/>
      <c r="V73" s="1543"/>
      <c r="W73" s="1543"/>
      <c r="X73" s="1543"/>
      <c r="Y73" s="2305"/>
      <c r="Z73" s="2301"/>
      <c r="AA73" s="2302"/>
      <c r="AB73" s="2301"/>
      <c r="AC73" s="2302"/>
      <c r="AD73" s="2302"/>
      <c r="AE73" s="2302"/>
      <c r="AF73" s="2334"/>
      <c r="AG73" s="2302"/>
      <c r="AH73" s="2302"/>
    </row>
    <row r="74" spans="1:34" s="33" customFormat="1" ht="15" customHeight="1" x14ac:dyDescent="0.35">
      <c r="A74" s="1457"/>
      <c r="B74" s="3244" t="s">
        <v>40</v>
      </c>
      <c r="C74" s="3245"/>
      <c r="D74" s="3245"/>
      <c r="E74" s="3338"/>
      <c r="F74" s="522">
        <f>'CEKLIST 002 (BIO DATA)'!D9</f>
        <v>42735</v>
      </c>
      <c r="G74" s="523">
        <f>'CEKLIST 002 (BIO DATA)'!D10</f>
        <v>43100</v>
      </c>
      <c r="H74" s="524">
        <f>'CEKLIST 002 (BIO DATA)'!D11</f>
        <v>43281</v>
      </c>
      <c r="I74" s="3321" t="s">
        <v>942</v>
      </c>
      <c r="J74" s="3563" t="s">
        <v>348</v>
      </c>
      <c r="K74" s="3563"/>
      <c r="L74" s="3563"/>
      <c r="M74" s="3563" t="s">
        <v>345</v>
      </c>
      <c r="N74" s="3563"/>
      <c r="O74" s="3563"/>
      <c r="P74" s="3563"/>
      <c r="Q74" s="3686"/>
      <c r="R74" s="412"/>
      <c r="S74" s="412"/>
      <c r="T74" s="454"/>
      <c r="U74" s="454"/>
      <c r="V74" s="454"/>
      <c r="W74" s="454"/>
      <c r="X74" s="454"/>
      <c r="Y74" s="2306"/>
      <c r="Z74" s="2307"/>
      <c r="AA74" s="2308"/>
      <c r="AB74" s="2307"/>
      <c r="AC74" s="2308"/>
      <c r="AD74" s="2308"/>
      <c r="AE74" s="2308"/>
      <c r="AF74" s="2336"/>
      <c r="AG74" s="2308"/>
      <c r="AH74" s="2308"/>
    </row>
    <row r="75" spans="1:34" s="33" customFormat="1" ht="15" customHeight="1" thickBot="1" x14ac:dyDescent="0.4">
      <c r="A75" s="1457"/>
      <c r="B75" s="3305"/>
      <c r="C75" s="3403"/>
      <c r="D75" s="3403"/>
      <c r="E75" s="3877"/>
      <c r="F75" s="525" t="s">
        <v>59</v>
      </c>
      <c r="G75" s="526" t="s">
        <v>60</v>
      </c>
      <c r="H75" s="527" t="s">
        <v>640</v>
      </c>
      <c r="I75" s="3313"/>
      <c r="J75" s="3564"/>
      <c r="K75" s="3564"/>
      <c r="L75" s="3564"/>
      <c r="M75" s="472">
        <v>1</v>
      </c>
      <c r="N75" s="472">
        <v>2</v>
      </c>
      <c r="O75" s="472">
        <v>3</v>
      </c>
      <c r="P75" s="472">
        <v>4</v>
      </c>
      <c r="Q75" s="473">
        <v>5</v>
      </c>
      <c r="R75" s="454"/>
      <c r="S75" s="454"/>
      <c r="T75" s="454"/>
      <c r="U75" s="454"/>
      <c r="V75" s="454"/>
      <c r="W75" s="454"/>
      <c r="X75" s="454"/>
      <c r="Y75" s="2308"/>
      <c r="Z75" s="2307"/>
      <c r="AA75" s="2308"/>
      <c r="AB75" s="2307"/>
      <c r="AC75" s="2308"/>
      <c r="AD75" s="2308"/>
      <c r="AE75" s="2308"/>
      <c r="AF75" s="2336"/>
      <c r="AG75" s="2308"/>
      <c r="AH75" s="2308"/>
    </row>
    <row r="76" spans="1:34" s="33" customFormat="1" ht="15" customHeight="1" x14ac:dyDescent="0.25">
      <c r="A76" s="2197"/>
      <c r="B76" s="3553" t="str">
        <f>'FAK(PAP-02)'!B59</f>
        <v>AKTIVA LANCAR</v>
      </c>
      <c r="C76" s="3554"/>
      <c r="D76" s="3554"/>
      <c r="E76" s="3555"/>
      <c r="F76" s="3760"/>
      <c r="G76" s="3760"/>
      <c r="H76" s="3760"/>
      <c r="I76" s="3760"/>
      <c r="J76" s="3579" t="s">
        <v>1794</v>
      </c>
      <c r="K76" s="3579"/>
      <c r="L76" s="3579"/>
      <c r="M76" s="3496"/>
      <c r="N76" s="3496"/>
      <c r="O76" s="3496"/>
      <c r="P76" s="3496"/>
      <c r="Q76" s="3496"/>
      <c r="R76" s="398"/>
      <c r="S76" s="398"/>
      <c r="T76" s="398"/>
      <c r="U76" s="398"/>
      <c r="V76" s="398"/>
      <c r="W76" s="398"/>
      <c r="X76" s="398"/>
      <c r="Y76" s="2308"/>
      <c r="Z76" s="2307"/>
      <c r="AA76" s="2308"/>
      <c r="AB76" s="3557">
        <v>4</v>
      </c>
      <c r="AC76" s="2308"/>
      <c r="AD76" s="2308"/>
      <c r="AE76" s="2308"/>
      <c r="AF76" s="2336"/>
      <c r="AG76" s="2308"/>
      <c r="AH76" s="2308"/>
    </row>
    <row r="77" spans="1:34" s="33" customFormat="1" ht="15" customHeight="1" x14ac:dyDescent="0.25">
      <c r="A77" s="2197"/>
      <c r="B77" s="3265" t="str">
        <f>'FAK(PAP-02)'!B60:C60</f>
        <v>Kas</v>
      </c>
      <c r="C77" s="3130"/>
      <c r="D77" s="3130"/>
      <c r="E77" s="3545"/>
      <c r="F77" s="633">
        <f>'FAK(PAP-02)'!D60</f>
        <v>286899000</v>
      </c>
      <c r="G77" s="633">
        <f>'FAK(PAP-02)'!E60</f>
        <v>812934000</v>
      </c>
      <c r="H77" s="634">
        <f>'FAK(PAP-02)'!F60</f>
        <v>776420000</v>
      </c>
      <c r="I77" s="635">
        <f>'FAK(PAP-02)'!H60</f>
        <v>-4.4916315469644523E-2</v>
      </c>
      <c r="J77" s="3580"/>
      <c r="K77" s="3580"/>
      <c r="L77" s="3580"/>
      <c r="M77" s="3497"/>
      <c r="N77" s="3497"/>
      <c r="O77" s="3497"/>
      <c r="P77" s="3497"/>
      <c r="Q77" s="3497"/>
      <c r="R77" s="398"/>
      <c r="S77" s="398"/>
      <c r="T77" s="398"/>
      <c r="U77" s="398"/>
      <c r="V77" s="398"/>
      <c r="W77" s="398"/>
      <c r="X77" s="398"/>
      <c r="Y77" s="2308"/>
      <c r="Z77" s="2307"/>
      <c r="AA77" s="2308"/>
      <c r="AB77" s="3557"/>
      <c r="AC77" s="2308"/>
      <c r="AD77" s="2308"/>
      <c r="AE77" s="2308"/>
      <c r="AF77" s="2336"/>
      <c r="AG77" s="2308"/>
      <c r="AH77" s="2308"/>
    </row>
    <row r="78" spans="1:34" s="33" customFormat="1" ht="15" customHeight="1" x14ac:dyDescent="0.25">
      <c r="A78" s="2197"/>
      <c r="B78" s="3265" t="str">
        <f>'FAK(PAP-02)'!B61:C61</f>
        <v>Bank dan Deposito</v>
      </c>
      <c r="C78" s="3130"/>
      <c r="D78" s="3130"/>
      <c r="E78" s="3545"/>
      <c r="F78" s="633">
        <f>'FAK(PAP-02)'!D61</f>
        <v>5898643084</v>
      </c>
      <c r="G78" s="633">
        <f>'FAK(PAP-02)'!E61</f>
        <v>6019575866.8400002</v>
      </c>
      <c r="H78" s="634">
        <f>'FAK(PAP-02)'!F61</f>
        <v>11423681402.889999</v>
      </c>
      <c r="I78" s="635">
        <f>'FAK(PAP-02)'!H61</f>
        <v>0.89775519996675535</v>
      </c>
      <c r="J78" s="3580"/>
      <c r="K78" s="3580"/>
      <c r="L78" s="3580"/>
      <c r="M78" s="3497"/>
      <c r="N78" s="3497"/>
      <c r="O78" s="3497"/>
      <c r="P78" s="3497"/>
      <c r="Q78" s="3497"/>
      <c r="R78" s="398"/>
      <c r="S78" s="398"/>
      <c r="T78" s="398"/>
      <c r="U78" s="398"/>
      <c r="V78" s="398"/>
      <c r="W78" s="398"/>
      <c r="X78" s="398"/>
      <c r="Y78" s="2308"/>
      <c r="Z78" s="2307"/>
      <c r="AA78" s="2308"/>
      <c r="AB78" s="3557"/>
      <c r="AC78" s="2308"/>
      <c r="AD78" s="2308"/>
      <c r="AE78" s="2308"/>
      <c r="AF78" s="2336"/>
      <c r="AG78" s="2308"/>
      <c r="AH78" s="2308"/>
    </row>
    <row r="79" spans="1:34" s="33" customFormat="1" ht="15" customHeight="1" x14ac:dyDescent="0.25">
      <c r="A79" s="2197"/>
      <c r="B79" s="3265" t="str">
        <f>'FAK(PAP-02)'!B62:C62</f>
        <v xml:space="preserve">Piutang Usaha/PYD </v>
      </c>
      <c r="C79" s="3130"/>
      <c r="D79" s="3130"/>
      <c r="E79" s="3545"/>
      <c r="F79" s="636">
        <f>'FAK(PAP-02)'!D62</f>
        <v>50610310594</v>
      </c>
      <c r="G79" s="636">
        <f>'FAK(PAP-02)'!E62</f>
        <v>55394816859.839996</v>
      </c>
      <c r="H79" s="637">
        <f>'FAK(PAP-02)'!F62</f>
        <v>52167989567.119995</v>
      </c>
      <c r="I79" s="638">
        <f>'FAK(PAP-02)'!K62</f>
        <v>0.76073369603532248</v>
      </c>
      <c r="J79" s="3580"/>
      <c r="K79" s="3580"/>
      <c r="L79" s="3580"/>
      <c r="M79" s="3497"/>
      <c r="N79" s="3497"/>
      <c r="O79" s="3497"/>
      <c r="P79" s="3497"/>
      <c r="Q79" s="3497"/>
      <c r="R79" s="398"/>
      <c r="S79" s="398"/>
      <c r="T79" s="398"/>
      <c r="U79" s="398"/>
      <c r="V79" s="398"/>
      <c r="W79" s="398"/>
      <c r="X79" s="398"/>
      <c r="Y79" s="2308"/>
      <c r="Z79" s="2307"/>
      <c r="AA79" s="2308"/>
      <c r="AB79" s="3557"/>
      <c r="AC79" s="2308"/>
      <c r="AD79" s="2308"/>
      <c r="AE79" s="2308"/>
      <c r="AF79" s="2336"/>
      <c r="AG79" s="2308"/>
      <c r="AH79" s="2308"/>
    </row>
    <row r="80" spans="1:34" s="33" customFormat="1" ht="15" customHeight="1" x14ac:dyDescent="0.25">
      <c r="A80" s="2197"/>
      <c r="B80" s="3265" t="str">
        <f>'FAK(PAP-02)'!B63:C63</f>
        <v xml:space="preserve">   - Piutang Lancar</v>
      </c>
      <c r="C80" s="3130"/>
      <c r="D80" s="3130"/>
      <c r="E80" s="3545"/>
      <c r="F80" s="633">
        <f>'FAK(PAP-02)'!D63</f>
        <v>47709905899</v>
      </c>
      <c r="G80" s="633">
        <f>'FAK(PAP-02)'!E63</f>
        <v>52435984517.699997</v>
      </c>
      <c r="H80" s="634">
        <f>'FAK(PAP-02)'!F63</f>
        <v>48529773707.029999</v>
      </c>
      <c r="I80" s="635">
        <f>'FAK(PAP-02)'!H63</f>
        <v>-7.4494850179678412E-2</v>
      </c>
      <c r="J80" s="3580"/>
      <c r="K80" s="3580"/>
      <c r="L80" s="3580"/>
      <c r="M80" s="3497"/>
      <c r="N80" s="3497"/>
      <c r="O80" s="3497"/>
      <c r="P80" s="3497"/>
      <c r="Q80" s="3497"/>
      <c r="R80" s="398"/>
      <c r="S80" s="398"/>
      <c r="T80" s="398"/>
      <c r="U80" s="398"/>
      <c r="V80" s="398"/>
      <c r="W80" s="398"/>
      <c r="X80" s="398"/>
      <c r="Y80" s="2308"/>
      <c r="Z80" s="2307"/>
      <c r="AA80" s="2308"/>
      <c r="AB80" s="3557"/>
      <c r="AC80" s="2308"/>
      <c r="AD80" s="2308"/>
      <c r="AE80" s="2308"/>
      <c r="AF80" s="2336"/>
      <c r="AG80" s="2308"/>
      <c r="AH80" s="2308"/>
    </row>
    <row r="81" spans="1:34" s="33" customFormat="1" ht="15" customHeight="1" x14ac:dyDescent="0.25">
      <c r="A81" s="2197"/>
      <c r="B81" s="3265" t="str">
        <f>'FAK(PAP-02)'!B64:C64</f>
        <v xml:space="preserve">   - Piutang Bermasalah</v>
      </c>
      <c r="C81" s="3130"/>
      <c r="D81" s="3130"/>
      <c r="E81" s="3545"/>
      <c r="F81" s="633">
        <f>'FAK(PAP-02)'!D64</f>
        <v>2900404695</v>
      </c>
      <c r="G81" s="633">
        <f>'FAK(PAP-02)'!E64</f>
        <v>2958832342.1399999</v>
      </c>
      <c r="H81" s="634">
        <f>'FAK(PAP-02)'!F64</f>
        <v>3638215860.0900002</v>
      </c>
      <c r="I81" s="635">
        <f>'FAK(PAP-02)'!H64</f>
        <v>0.22961203589475115</v>
      </c>
      <c r="J81" s="3580"/>
      <c r="K81" s="3580"/>
      <c r="L81" s="3580"/>
      <c r="M81" s="3497"/>
      <c r="N81" s="3497"/>
      <c r="O81" s="3497"/>
      <c r="P81" s="3497"/>
      <c r="Q81" s="3497"/>
      <c r="R81" s="398"/>
      <c r="S81" s="398"/>
      <c r="T81" s="398"/>
      <c r="U81" s="398"/>
      <c r="V81" s="398"/>
      <c r="W81" s="398"/>
      <c r="X81" s="398"/>
      <c r="Y81" s="2308"/>
      <c r="Z81" s="2307"/>
      <c r="AA81" s="2308"/>
      <c r="AB81" s="3557"/>
      <c r="AC81" s="2308"/>
      <c r="AD81" s="2308"/>
      <c r="AE81" s="2308"/>
      <c r="AF81" s="2336"/>
      <c r="AG81" s="2308"/>
      <c r="AH81" s="2308"/>
    </row>
    <row r="82" spans="1:34" s="33" customFormat="1" ht="15" customHeight="1" x14ac:dyDescent="0.25">
      <c r="A82" s="2197"/>
      <c r="B82" s="3265" t="str">
        <f>'FAK(PAP-02)'!B65:C65</f>
        <v>Penyisihan PYD</v>
      </c>
      <c r="C82" s="3130"/>
      <c r="D82" s="3130"/>
      <c r="E82" s="3545"/>
      <c r="F82" s="633">
        <f>'FAK(PAP-02)'!D65</f>
        <v>-1019871915</v>
      </c>
      <c r="G82" s="633">
        <f>'FAK(PAP-02)'!E65</f>
        <v>-719720888.29999995</v>
      </c>
      <c r="H82" s="634">
        <f>'FAK(PAP-02)'!F65</f>
        <v>-1061203386.61</v>
      </c>
      <c r="I82" s="635">
        <f>'FAK(PAP-02)'!H65</f>
        <v>0.47446517651667841</v>
      </c>
      <c r="J82" s="3580"/>
      <c r="K82" s="3580"/>
      <c r="L82" s="3580"/>
      <c r="M82" s="3497"/>
      <c r="N82" s="3497"/>
      <c r="O82" s="3497"/>
      <c r="P82" s="3497"/>
      <c r="Q82" s="3497"/>
      <c r="R82" s="398"/>
      <c r="S82" s="398"/>
      <c r="T82" s="398"/>
      <c r="U82" s="398"/>
      <c r="V82" s="398"/>
      <c r="W82" s="398"/>
      <c r="X82" s="398"/>
      <c r="Y82" s="2308"/>
      <c r="Z82" s="2307"/>
      <c r="AA82" s="2308"/>
      <c r="AB82" s="3557"/>
      <c r="AC82" s="2308"/>
      <c r="AD82" s="2308"/>
      <c r="AE82" s="2308"/>
      <c r="AF82" s="2336"/>
      <c r="AG82" s="2308"/>
      <c r="AH82" s="2308"/>
    </row>
    <row r="83" spans="1:34" s="33" customFormat="1" ht="15" customHeight="1" x14ac:dyDescent="0.25">
      <c r="A83" s="2197"/>
      <c r="B83" s="3265" t="str">
        <f>'FAK(PAP-02)'!B66:C66</f>
        <v>Biaya Dibayar Dimuka</v>
      </c>
      <c r="C83" s="3130"/>
      <c r="D83" s="3130"/>
      <c r="E83" s="3545"/>
      <c r="F83" s="633">
        <f>'FAK(PAP-02)'!D66</f>
        <v>0</v>
      </c>
      <c r="G83" s="633">
        <f>'FAK(PAP-02)'!E66</f>
        <v>0</v>
      </c>
      <c r="H83" s="634">
        <f>'FAK(PAP-02)'!F66</f>
        <v>0</v>
      </c>
      <c r="I83" s="635">
        <f>'FAK(PAP-02)'!H66</f>
        <v>0</v>
      </c>
      <c r="J83" s="3580"/>
      <c r="K83" s="3580"/>
      <c r="L83" s="3580"/>
      <c r="M83" s="3497"/>
      <c r="N83" s="3497"/>
      <c r="O83" s="3497"/>
      <c r="P83" s="3497"/>
      <c r="Q83" s="3497"/>
      <c r="R83" s="398"/>
      <c r="S83" s="398"/>
      <c r="T83" s="398"/>
      <c r="U83" s="398"/>
      <c r="V83" s="398"/>
      <c r="W83" s="398"/>
      <c r="X83" s="398"/>
      <c r="Y83" s="2308"/>
      <c r="Z83" s="2307"/>
      <c r="AA83" s="2308"/>
      <c r="AB83" s="3557"/>
      <c r="AC83" s="2308"/>
      <c r="AD83" s="2308"/>
      <c r="AE83" s="2308"/>
      <c r="AF83" s="2336"/>
      <c r="AG83" s="2308"/>
      <c r="AH83" s="2308"/>
    </row>
    <row r="84" spans="1:34" s="33" customFormat="1" ht="15" customHeight="1" x14ac:dyDescent="0.25">
      <c r="A84" s="2197"/>
      <c r="B84" s="3265" t="str">
        <f>'FAK(PAP-02)'!B67:C67</f>
        <v>Pendapatan Yang Masih Harus Diterima</v>
      </c>
      <c r="C84" s="3130"/>
      <c r="D84" s="3130"/>
      <c r="E84" s="3545"/>
      <c r="F84" s="633">
        <f>'FAK(PAP-02)'!D67</f>
        <v>2408864905</v>
      </c>
      <c r="G84" s="633">
        <f>'FAK(PAP-02)'!E67</f>
        <v>2257411221.25</v>
      </c>
      <c r="H84" s="634">
        <f>'FAK(PAP-02)'!F67</f>
        <v>2779663694.4299998</v>
      </c>
      <c r="I84" s="635">
        <f>'FAK(PAP-02)'!H67</f>
        <v>0.23135017149902007</v>
      </c>
      <c r="J84" s="3580"/>
      <c r="K84" s="3580"/>
      <c r="L84" s="3580"/>
      <c r="M84" s="3497"/>
      <c r="N84" s="3497"/>
      <c r="O84" s="3497"/>
      <c r="P84" s="3497"/>
      <c r="Q84" s="3497"/>
      <c r="R84" s="398"/>
      <c r="S84" s="398"/>
      <c r="T84" s="398"/>
      <c r="U84" s="398"/>
      <c r="V84" s="398"/>
      <c r="W84" s="398"/>
      <c r="X84" s="398"/>
      <c r="Y84" s="2308"/>
      <c r="Z84" s="2307"/>
      <c r="AA84" s="2308"/>
      <c r="AB84" s="3557"/>
      <c r="AC84" s="2308"/>
      <c r="AD84" s="2308"/>
      <c r="AE84" s="2308"/>
      <c r="AF84" s="2336"/>
      <c r="AG84" s="2308"/>
      <c r="AH84" s="2308"/>
    </row>
    <row r="85" spans="1:34" s="33" customFormat="1" ht="15" customHeight="1" x14ac:dyDescent="0.25">
      <c r="A85" s="2197"/>
      <c r="B85" s="3265" t="str">
        <f>'FAK(PAP-02)'!B68:C68</f>
        <v>Aktiva Lancar Lain-lain</v>
      </c>
      <c r="C85" s="3130"/>
      <c r="D85" s="3130"/>
      <c r="E85" s="3545"/>
      <c r="F85" s="633">
        <f>'FAK(PAP-02)'!D68</f>
        <v>-29460150</v>
      </c>
      <c r="G85" s="633">
        <f>'FAK(PAP-02)'!E68</f>
        <v>-29998965.789999999</v>
      </c>
      <c r="H85" s="634">
        <f>'FAK(PAP-02)'!F68</f>
        <v>-57056659.490000002</v>
      </c>
      <c r="I85" s="635">
        <f>'FAK(PAP-02)'!H68</f>
        <v>0.901954217002359</v>
      </c>
      <c r="J85" s="3580"/>
      <c r="K85" s="3580"/>
      <c r="L85" s="3580"/>
      <c r="M85" s="3497"/>
      <c r="N85" s="3497"/>
      <c r="O85" s="3497"/>
      <c r="P85" s="3497"/>
      <c r="Q85" s="3497"/>
      <c r="R85" s="398"/>
      <c r="S85" s="398"/>
      <c r="T85" s="398"/>
      <c r="U85" s="398"/>
      <c r="V85" s="398"/>
      <c r="W85" s="398"/>
      <c r="X85" s="398"/>
      <c r="Y85" s="2308"/>
      <c r="Z85" s="2307"/>
      <c r="AA85" s="2308"/>
      <c r="AB85" s="3557"/>
      <c r="AC85" s="2308"/>
      <c r="AD85" s="2308"/>
      <c r="AE85" s="2308"/>
      <c r="AF85" s="2336"/>
      <c r="AG85" s="2308"/>
      <c r="AH85" s="2308"/>
    </row>
    <row r="86" spans="1:34" s="33" customFormat="1" ht="15" customHeight="1" x14ac:dyDescent="0.25">
      <c r="A86" s="2197"/>
      <c r="B86" s="3393" t="str">
        <f>'FAK(PAP-02)'!B69:C69</f>
        <v>Jumlah Aktiva Lancar</v>
      </c>
      <c r="C86" s="3394"/>
      <c r="D86" s="3394"/>
      <c r="E86" s="3691"/>
      <c r="F86" s="639">
        <f>F77+F78+F79+F82+F83+F84+F85</f>
        <v>58155385518</v>
      </c>
      <c r="G86" s="640">
        <f>G77+G78+G79+G82+G83+G84+G85</f>
        <v>63735018093.839989</v>
      </c>
      <c r="H86" s="641">
        <f>H77+H78+H79+H82+H83+H84+H85</f>
        <v>66029494618.339996</v>
      </c>
      <c r="I86" s="638">
        <f>'FAK(PAP-02)'!K69</f>
        <v>0.96286749604806143</v>
      </c>
      <c r="J86" s="3580"/>
      <c r="K86" s="3580"/>
      <c r="L86" s="3580"/>
      <c r="M86" s="3497"/>
      <c r="N86" s="3497"/>
      <c r="O86" s="3497"/>
      <c r="P86" s="3497"/>
      <c r="Q86" s="3497"/>
      <c r="R86" s="398"/>
      <c r="S86" s="398"/>
      <c r="T86" s="398"/>
      <c r="U86" s="398"/>
      <c r="V86" s="398"/>
      <c r="W86" s="398"/>
      <c r="X86" s="398"/>
      <c r="Y86" s="2308"/>
      <c r="Z86" s="2307"/>
      <c r="AA86" s="2308"/>
      <c r="AB86" s="3557"/>
      <c r="AC86" s="2308"/>
      <c r="AD86" s="2308"/>
      <c r="AE86" s="2308"/>
      <c r="AF86" s="2336"/>
      <c r="AG86" s="2308"/>
      <c r="AH86" s="2308"/>
    </row>
    <row r="87" spans="1:34" s="33" customFormat="1" ht="15" customHeight="1" x14ac:dyDescent="0.25">
      <c r="A87" s="2197"/>
      <c r="B87" s="3756" t="s">
        <v>524</v>
      </c>
      <c r="C87" s="3757"/>
      <c r="D87" s="3757"/>
      <c r="E87" s="3758"/>
      <c r="F87" s="3866"/>
      <c r="G87" s="3866"/>
      <c r="H87" s="3866"/>
      <c r="I87" s="528"/>
      <c r="J87" s="3580"/>
      <c r="K87" s="3580"/>
      <c r="L87" s="3580"/>
      <c r="M87" s="3497"/>
      <c r="N87" s="3497"/>
      <c r="O87" s="3497"/>
      <c r="P87" s="3497"/>
      <c r="Q87" s="3497"/>
      <c r="R87" s="398"/>
      <c r="S87" s="398"/>
      <c r="T87" s="398"/>
      <c r="U87" s="398"/>
      <c r="V87" s="398"/>
      <c r="W87" s="398"/>
      <c r="X87" s="398"/>
      <c r="Y87" s="2308"/>
      <c r="Z87" s="2307"/>
      <c r="AA87" s="2308"/>
      <c r="AB87" s="3557"/>
      <c r="AC87" s="2308"/>
      <c r="AD87" s="2308"/>
      <c r="AE87" s="2308"/>
      <c r="AF87" s="2336"/>
      <c r="AG87" s="2308"/>
      <c r="AH87" s="2308"/>
    </row>
    <row r="88" spans="1:34" s="33" customFormat="1" ht="15" customHeight="1" x14ac:dyDescent="0.25">
      <c r="A88" s="2197"/>
      <c r="B88" s="3265" t="str">
        <f>'FAK(PAP-02)'!B71:C71</f>
        <v>Piutang/Investasi</v>
      </c>
      <c r="C88" s="3130"/>
      <c r="D88" s="3130"/>
      <c r="E88" s="3545"/>
      <c r="F88" s="642">
        <f>'FAK(PAP-02)'!D71</f>
        <v>0</v>
      </c>
      <c r="G88" s="642">
        <f>'FAK(PAP-02)'!E71</f>
        <v>0</v>
      </c>
      <c r="H88" s="643">
        <f>'FAK(PAP-02)'!F71</f>
        <v>0</v>
      </c>
      <c r="I88" s="635">
        <f>'FAK(PAP-02)'!H71</f>
        <v>0</v>
      </c>
      <c r="J88" s="3580"/>
      <c r="K88" s="3580"/>
      <c r="L88" s="3580"/>
      <c r="M88" s="3497"/>
      <c r="N88" s="3497"/>
      <c r="O88" s="3497"/>
      <c r="P88" s="3497"/>
      <c r="Q88" s="3497"/>
      <c r="R88" s="398"/>
      <c r="S88" s="398"/>
      <c r="T88" s="398"/>
      <c r="U88" s="398"/>
      <c r="V88" s="398"/>
      <c r="W88" s="398"/>
      <c r="X88" s="398"/>
      <c r="Y88" s="2308"/>
      <c r="Z88" s="2307"/>
      <c r="AA88" s="2308"/>
      <c r="AB88" s="3557"/>
      <c r="AC88" s="2308"/>
      <c r="AD88" s="2308"/>
      <c r="AE88" s="2308"/>
      <c r="AF88" s="2336"/>
      <c r="AG88" s="2308"/>
      <c r="AH88" s="2308"/>
    </row>
    <row r="89" spans="1:34" s="33" customFormat="1" ht="15" customHeight="1" x14ac:dyDescent="0.25">
      <c r="A89" s="2197"/>
      <c r="B89" s="3265" t="str">
        <f>'FAK(PAP-02)'!B72:C72</f>
        <v>Lain-lain</v>
      </c>
      <c r="C89" s="3130"/>
      <c r="D89" s="3130"/>
      <c r="E89" s="3545"/>
      <c r="F89" s="642">
        <f>'FAK(PAP-02)'!D72</f>
        <v>0</v>
      </c>
      <c r="G89" s="642">
        <f>'FAK(PAP-02)'!E72</f>
        <v>0</v>
      </c>
      <c r="H89" s="643">
        <f>'FAK(PAP-02)'!F72</f>
        <v>0</v>
      </c>
      <c r="I89" s="635">
        <f>'FAK(PAP-02)'!H72</f>
        <v>0</v>
      </c>
      <c r="J89" s="3580"/>
      <c r="K89" s="3580"/>
      <c r="L89" s="3580"/>
      <c r="M89" s="3497"/>
      <c r="N89" s="3497"/>
      <c r="O89" s="3497"/>
      <c r="P89" s="3497"/>
      <c r="Q89" s="3497"/>
      <c r="R89" s="398"/>
      <c r="S89" s="398"/>
      <c r="T89" s="398"/>
      <c r="U89" s="398"/>
      <c r="V89" s="398"/>
      <c r="W89" s="398"/>
      <c r="X89" s="398"/>
      <c r="Y89" s="2308"/>
      <c r="Z89" s="2307"/>
      <c r="AA89" s="2308"/>
      <c r="AB89" s="3557"/>
      <c r="AC89" s="2308"/>
      <c r="AD89" s="2308"/>
      <c r="AE89" s="2308"/>
      <c r="AF89" s="2336"/>
      <c r="AG89" s="2308"/>
      <c r="AH89" s="2308"/>
    </row>
    <row r="90" spans="1:34" s="33" customFormat="1" ht="15" customHeight="1" thickBot="1" x14ac:dyDescent="0.3">
      <c r="A90" s="2197"/>
      <c r="B90" s="3265" t="str">
        <f>'FAK(PAP-02)'!B73:C73</f>
        <v>Jumlah Aktiva Jk Panjang</v>
      </c>
      <c r="C90" s="3130"/>
      <c r="D90" s="3130"/>
      <c r="E90" s="3545"/>
      <c r="F90" s="644">
        <f>SUM(F88:F89)</f>
        <v>0</v>
      </c>
      <c r="G90" s="644">
        <f>SUM(G88:G89)</f>
        <v>0</v>
      </c>
      <c r="H90" s="645">
        <f>SUM(H88:H89)</f>
        <v>0</v>
      </c>
      <c r="I90" s="638">
        <f>'FAK(PAP-02)'!K73</f>
        <v>0</v>
      </c>
      <c r="J90" s="3580"/>
      <c r="K90" s="3580"/>
      <c r="L90" s="3580"/>
      <c r="M90" s="3497"/>
      <c r="N90" s="3497"/>
      <c r="O90" s="3497"/>
      <c r="P90" s="3497"/>
      <c r="Q90" s="3497"/>
      <c r="R90" s="398"/>
      <c r="S90" s="398"/>
      <c r="T90" s="398"/>
      <c r="U90" s="398"/>
      <c r="V90" s="398"/>
      <c r="W90" s="398"/>
      <c r="X90" s="398"/>
      <c r="Y90" s="2308"/>
      <c r="Z90" s="2307"/>
      <c r="AA90" s="2308"/>
      <c r="AB90" s="3557"/>
      <c r="AC90" s="2308"/>
      <c r="AD90" s="2308"/>
      <c r="AE90" s="2308"/>
      <c r="AF90" s="2336"/>
      <c r="AG90" s="2308"/>
      <c r="AH90" s="2308"/>
    </row>
    <row r="91" spans="1:34" s="33" customFormat="1" ht="15" customHeight="1" x14ac:dyDescent="0.35">
      <c r="A91" s="2197"/>
      <c r="B91" s="3553" t="str">
        <f>'FAK(PAP-02)'!B74</f>
        <v>AKTIVA TETAP</v>
      </c>
      <c r="C91" s="3554"/>
      <c r="D91" s="3554"/>
      <c r="E91" s="3555"/>
      <c r="F91" s="3865"/>
      <c r="G91" s="3865"/>
      <c r="H91" s="3865"/>
      <c r="I91" s="646"/>
      <c r="J91" s="3580"/>
      <c r="K91" s="3580"/>
      <c r="L91" s="3580"/>
      <c r="M91" s="3497"/>
      <c r="N91" s="3497"/>
      <c r="O91" s="3497"/>
      <c r="P91" s="3497"/>
      <c r="Q91" s="3497"/>
      <c r="R91" s="398"/>
      <c r="S91" s="398"/>
      <c r="T91" s="398"/>
      <c r="U91" s="398"/>
      <c r="V91" s="398"/>
      <c r="W91" s="398"/>
      <c r="X91" s="398"/>
      <c r="Y91" s="2308"/>
      <c r="Z91" s="2307"/>
      <c r="AA91" s="2308"/>
      <c r="AB91" s="3557"/>
      <c r="AC91" s="2308"/>
      <c r="AD91" s="2308"/>
      <c r="AE91" s="2308"/>
      <c r="AF91" s="2336"/>
      <c r="AG91" s="2308"/>
      <c r="AH91" s="2308"/>
    </row>
    <row r="92" spans="1:34" s="33" customFormat="1" ht="15" customHeight="1" x14ac:dyDescent="0.25">
      <c r="A92" s="2197"/>
      <c r="B92" s="3265" t="str">
        <f>'FAK(PAP-02)'!B75:C75</f>
        <v>Harga Perolehan</v>
      </c>
      <c r="C92" s="3130"/>
      <c r="D92" s="3130"/>
      <c r="E92" s="3545"/>
      <c r="F92" s="642">
        <f>'FAK(PAP-02)'!D75</f>
        <v>3259553256</v>
      </c>
      <c r="G92" s="642">
        <f>'FAK(PAP-02)'!E75</f>
        <v>3453858256</v>
      </c>
      <c r="H92" s="643">
        <f>'FAK(PAP-02)'!F75</f>
        <v>3329548256</v>
      </c>
      <c r="I92" s="635">
        <f>'FAK(PAP-02)'!H75</f>
        <v>-3.5991633352078126E-2</v>
      </c>
      <c r="J92" s="3580"/>
      <c r="K92" s="3580"/>
      <c r="L92" s="3580"/>
      <c r="M92" s="3497"/>
      <c r="N92" s="3497"/>
      <c r="O92" s="3497"/>
      <c r="P92" s="3497"/>
      <c r="Q92" s="3497"/>
      <c r="R92" s="398"/>
      <c r="S92" s="398"/>
      <c r="T92" s="398"/>
      <c r="U92" s="398"/>
      <c r="V92" s="398"/>
      <c r="W92" s="398"/>
      <c r="X92" s="398"/>
      <c r="Y92" s="2308"/>
      <c r="Z92" s="2307"/>
      <c r="AA92" s="2308"/>
      <c r="AB92" s="3557"/>
      <c r="AC92" s="2308"/>
      <c r="AD92" s="2308"/>
      <c r="AE92" s="2308"/>
      <c r="AF92" s="2336"/>
      <c r="AG92" s="2308"/>
      <c r="AH92" s="2308"/>
    </row>
    <row r="93" spans="1:34" s="33" customFormat="1" ht="15" customHeight="1" x14ac:dyDescent="0.25">
      <c r="A93" s="2197"/>
      <c r="B93" s="3265" t="str">
        <f>'FAK(PAP-02)'!B76:C76</f>
        <v>Akumulasi Penyusutan</v>
      </c>
      <c r="C93" s="3130"/>
      <c r="D93" s="3130"/>
      <c r="E93" s="3545"/>
      <c r="F93" s="642">
        <f>'FAK(PAP-02)'!D76</f>
        <v>-1725675882</v>
      </c>
      <c r="G93" s="642">
        <f>'FAK(PAP-02)'!E76</f>
        <v>-1989243380</v>
      </c>
      <c r="H93" s="643">
        <f>'FAK(PAP-02)'!F76</f>
        <v>-1973465582</v>
      </c>
      <c r="I93" s="635">
        <f>'FAK(PAP-02)'!H76</f>
        <v>-7.9315573743419972E-3</v>
      </c>
      <c r="J93" s="3580"/>
      <c r="K93" s="3580"/>
      <c r="L93" s="3580"/>
      <c r="M93" s="3497"/>
      <c r="N93" s="3497"/>
      <c r="O93" s="3497"/>
      <c r="P93" s="3497"/>
      <c r="Q93" s="3497"/>
      <c r="R93" s="398"/>
      <c r="S93" s="398"/>
      <c r="T93" s="398"/>
      <c r="U93" s="398"/>
      <c r="V93" s="398"/>
      <c r="W93" s="398"/>
      <c r="X93" s="398"/>
      <c r="Y93" s="2308"/>
      <c r="Z93" s="2307"/>
      <c r="AA93" s="2308"/>
      <c r="AB93" s="3557"/>
      <c r="AC93" s="2308"/>
      <c r="AD93" s="2308"/>
      <c r="AE93" s="2308"/>
      <c r="AF93" s="2336"/>
      <c r="AG93" s="2308"/>
      <c r="AH93" s="2308"/>
    </row>
    <row r="94" spans="1:34" s="33" customFormat="1" ht="15" customHeight="1" x14ac:dyDescent="0.25">
      <c r="A94" s="2197"/>
      <c r="B94" s="3265" t="str">
        <f>'FAK(PAP-02)'!B77:C77</f>
        <v>Nilai Buku</v>
      </c>
      <c r="C94" s="3130"/>
      <c r="D94" s="3130"/>
      <c r="E94" s="3545"/>
      <c r="F94" s="644">
        <f>SUM(F92:F93)</f>
        <v>1533877374</v>
      </c>
      <c r="G94" s="644">
        <f>SUM(G92:G93)</f>
        <v>1464614876</v>
      </c>
      <c r="H94" s="645">
        <f>SUM(H92:H93)</f>
        <v>1356082674</v>
      </c>
      <c r="I94" s="647">
        <f>'FAK(PAP-02)'!K77</f>
        <v>1.9774919318947318E-2</v>
      </c>
      <c r="J94" s="3580"/>
      <c r="K94" s="3580"/>
      <c r="L94" s="3580"/>
      <c r="M94" s="3497"/>
      <c r="N94" s="3497"/>
      <c r="O94" s="3497"/>
      <c r="P94" s="3497"/>
      <c r="Q94" s="3497"/>
      <c r="R94" s="398"/>
      <c r="S94" s="398"/>
      <c r="T94" s="398"/>
      <c r="U94" s="398"/>
      <c r="V94" s="398"/>
      <c r="W94" s="398"/>
      <c r="X94" s="398"/>
      <c r="Y94" s="2308"/>
      <c r="Z94" s="2307"/>
      <c r="AA94" s="2308"/>
      <c r="AB94" s="3557"/>
      <c r="AC94" s="2308"/>
      <c r="AD94" s="2308"/>
      <c r="AE94" s="2308"/>
      <c r="AF94" s="2336"/>
      <c r="AG94" s="2308"/>
      <c r="AH94" s="2308"/>
    </row>
    <row r="95" spans="1:34" s="33" customFormat="1" ht="15" customHeight="1" x14ac:dyDescent="0.25">
      <c r="A95" s="2197"/>
      <c r="B95" s="3265"/>
      <c r="C95" s="3130"/>
      <c r="D95" s="3130"/>
      <c r="E95" s="3545"/>
      <c r="F95" s="529"/>
      <c r="G95" s="529"/>
      <c r="H95" s="530"/>
      <c r="I95" s="531"/>
      <c r="J95" s="3580"/>
      <c r="K95" s="3580"/>
      <c r="L95" s="3580"/>
      <c r="M95" s="3497"/>
      <c r="N95" s="3497"/>
      <c r="O95" s="3497"/>
      <c r="P95" s="3497"/>
      <c r="Q95" s="3497"/>
      <c r="R95" s="398"/>
      <c r="S95" s="398"/>
      <c r="T95" s="398"/>
      <c r="U95" s="398"/>
      <c r="V95" s="398"/>
      <c r="W95" s="398"/>
      <c r="X95" s="398"/>
      <c r="Y95" s="2308"/>
      <c r="Z95" s="2307"/>
      <c r="AA95" s="2308"/>
      <c r="AB95" s="3557"/>
      <c r="AC95" s="2308"/>
      <c r="AD95" s="2308"/>
      <c r="AE95" s="2308"/>
      <c r="AF95" s="2336"/>
      <c r="AG95" s="2308"/>
      <c r="AH95" s="2308"/>
    </row>
    <row r="96" spans="1:34" s="33" customFormat="1" ht="15" customHeight="1" x14ac:dyDescent="0.25">
      <c r="A96" s="2355"/>
      <c r="B96" s="3265" t="str">
        <f>'FAK(PAP-02)'!B79:C79</f>
        <v>Aktiva Lain-lain</v>
      </c>
      <c r="C96" s="3130"/>
      <c r="D96" s="3130"/>
      <c r="E96" s="3545"/>
      <c r="F96" s="642">
        <f>'FAK(PAP-02)'!D79</f>
        <v>446056795</v>
      </c>
      <c r="G96" s="642">
        <f>'FAK(PAP-02)'!E79</f>
        <v>360101280.68000001</v>
      </c>
      <c r="H96" s="643">
        <f>'FAK(PAP-02)'!F79</f>
        <v>1190311798.6800001</v>
      </c>
      <c r="I96" s="635">
        <f>'FAK(PAP-02)'!H79</f>
        <v>2.3054917117547196</v>
      </c>
      <c r="J96" s="3580"/>
      <c r="K96" s="3580"/>
      <c r="L96" s="3580"/>
      <c r="M96" s="3497"/>
      <c r="N96" s="3497"/>
      <c r="O96" s="3497"/>
      <c r="P96" s="3497"/>
      <c r="Q96" s="3497"/>
      <c r="R96" s="398"/>
      <c r="S96" s="398"/>
      <c r="T96" s="398"/>
      <c r="U96" s="398"/>
      <c r="V96" s="398"/>
      <c r="W96" s="398"/>
      <c r="X96" s="398"/>
      <c r="Y96" s="2308"/>
      <c r="Z96" s="2307"/>
      <c r="AA96" s="2308"/>
      <c r="AB96" s="3557"/>
      <c r="AC96" s="2308"/>
      <c r="AD96" s="2308"/>
      <c r="AE96" s="2308"/>
      <c r="AF96" s="2336"/>
      <c r="AG96" s="2308"/>
      <c r="AH96" s="2308"/>
    </row>
    <row r="97" spans="1:34" s="33" customFormat="1" ht="15" customHeight="1" x14ac:dyDescent="0.25">
      <c r="A97" s="2355"/>
      <c r="B97" s="3397" t="str">
        <f>'FAK(PAP-02)'!B80:C80</f>
        <v>TOTAL AKTIVA</v>
      </c>
      <c r="C97" s="3398"/>
      <c r="D97" s="3398"/>
      <c r="E97" s="3562"/>
      <c r="F97" s="657">
        <f>SUM(F86,F90,F94,F96)</f>
        <v>60135319687</v>
      </c>
      <c r="G97" s="657">
        <f>SUM(G86,G90,G94,G96)</f>
        <v>65559734250.519989</v>
      </c>
      <c r="H97" s="658">
        <f>SUM(H86,H90,H94,H96)</f>
        <v>68575889091.019997</v>
      </c>
      <c r="I97" s="653">
        <f>'FAK(PAP-02)'!H80</f>
        <v>4.6006209069953403E-2</v>
      </c>
      <c r="J97" s="3580"/>
      <c r="K97" s="3580"/>
      <c r="L97" s="3580"/>
      <c r="M97" s="3497"/>
      <c r="N97" s="3497"/>
      <c r="O97" s="3497"/>
      <c r="P97" s="3497"/>
      <c r="Q97" s="3497"/>
      <c r="R97" s="398"/>
      <c r="S97" s="398"/>
      <c r="T97" s="398"/>
      <c r="U97" s="398"/>
      <c r="V97" s="398"/>
      <c r="W97" s="398"/>
      <c r="X97" s="398"/>
      <c r="Y97" s="2308"/>
      <c r="Z97" s="2307"/>
      <c r="AA97" s="2308"/>
      <c r="AB97" s="3557"/>
      <c r="AC97" s="2308"/>
      <c r="AD97" s="2308"/>
      <c r="AE97" s="2308"/>
      <c r="AF97" s="2336"/>
      <c r="AG97" s="2308"/>
      <c r="AH97" s="2308"/>
    </row>
    <row r="98" spans="1:34" s="33" customFormat="1" ht="15" customHeight="1" thickBot="1" x14ac:dyDescent="0.3">
      <c r="A98" s="2197"/>
      <c r="B98" s="3576"/>
      <c r="C98" s="3577"/>
      <c r="D98" s="3577"/>
      <c r="E98" s="3578"/>
      <c r="F98" s="532"/>
      <c r="G98" s="533"/>
      <c r="H98" s="534"/>
      <c r="I98" s="531"/>
      <c r="J98" s="3580"/>
      <c r="K98" s="3580"/>
      <c r="L98" s="3580"/>
      <c r="M98" s="3497"/>
      <c r="N98" s="3497"/>
      <c r="O98" s="3497"/>
      <c r="P98" s="3497"/>
      <c r="Q98" s="3497"/>
      <c r="R98" s="398"/>
      <c r="S98" s="398"/>
      <c r="T98" s="398"/>
      <c r="U98" s="398"/>
      <c r="V98" s="398"/>
      <c r="W98" s="398"/>
      <c r="X98" s="398"/>
      <c r="Y98" s="2308"/>
      <c r="Z98" s="2307"/>
      <c r="AA98" s="2308"/>
      <c r="AB98" s="3557"/>
      <c r="AC98" s="2308"/>
      <c r="AD98" s="2308"/>
      <c r="AE98" s="2308"/>
      <c r="AF98" s="2336"/>
      <c r="AG98" s="2308"/>
      <c r="AH98" s="2308"/>
    </row>
    <row r="99" spans="1:34" s="33" customFormat="1" ht="15" customHeight="1" x14ac:dyDescent="0.25">
      <c r="A99" s="2197"/>
      <c r="B99" s="3553" t="str">
        <f>'FAK(PAP-02)'!B82</f>
        <v>HUTANG LANCAR</v>
      </c>
      <c r="C99" s="3554"/>
      <c r="D99" s="3554"/>
      <c r="E99" s="3555"/>
      <c r="F99" s="3864"/>
      <c r="G99" s="3864"/>
      <c r="H99" s="3864"/>
      <c r="I99" s="535"/>
      <c r="J99" s="3580"/>
      <c r="K99" s="3580"/>
      <c r="L99" s="3580"/>
      <c r="M99" s="3497"/>
      <c r="N99" s="3497"/>
      <c r="O99" s="3497"/>
      <c r="P99" s="3497"/>
      <c r="Q99" s="3497"/>
      <c r="R99" s="398"/>
      <c r="S99" s="398"/>
      <c r="T99" s="398"/>
      <c r="U99" s="398"/>
      <c r="V99" s="398"/>
      <c r="W99" s="398"/>
      <c r="X99" s="398"/>
      <c r="Y99" s="2308"/>
      <c r="Z99" s="2307"/>
      <c r="AA99" s="2308"/>
      <c r="AB99" s="3557"/>
      <c r="AC99" s="2308"/>
      <c r="AD99" s="2308"/>
      <c r="AE99" s="2308"/>
      <c r="AF99" s="2336"/>
      <c r="AG99" s="2308"/>
      <c r="AH99" s="2308"/>
    </row>
    <row r="100" spans="1:34" s="33" customFormat="1" ht="15" customHeight="1" x14ac:dyDescent="0.25">
      <c r="A100" s="2197"/>
      <c r="B100" s="3265" t="s">
        <v>1119</v>
      </c>
      <c r="C100" s="3130"/>
      <c r="D100" s="3130"/>
      <c r="E100" s="3545"/>
      <c r="F100" s="642">
        <f>'FAK(PAP-02)'!D83</f>
        <v>23602725255</v>
      </c>
      <c r="G100" s="642">
        <f>'FAK(PAP-02)'!E83</f>
        <v>27683410154.599998</v>
      </c>
      <c r="H100" s="643">
        <f>'FAK(PAP-02)'!F83</f>
        <v>28449470434.989998</v>
      </c>
      <c r="I100" s="635">
        <f>'FAK(PAP-02)'!H83</f>
        <v>2.7672178973323032E-2</v>
      </c>
      <c r="J100" s="3580"/>
      <c r="K100" s="3580"/>
      <c r="L100" s="3580"/>
      <c r="M100" s="3497"/>
      <c r="N100" s="3497"/>
      <c r="O100" s="3497"/>
      <c r="P100" s="3497"/>
      <c r="Q100" s="3497"/>
      <c r="R100" s="398"/>
      <c r="S100" s="398"/>
      <c r="T100" s="398"/>
      <c r="U100" s="398"/>
      <c r="V100" s="398"/>
      <c r="W100" s="398"/>
      <c r="X100" s="398"/>
      <c r="Y100" s="2308"/>
      <c r="Z100" s="2307"/>
      <c r="AA100" s="2308"/>
      <c r="AB100" s="3557"/>
      <c r="AC100" s="2308"/>
      <c r="AD100" s="2308"/>
      <c r="AE100" s="2308"/>
      <c r="AF100" s="2336"/>
      <c r="AG100" s="2308"/>
      <c r="AH100" s="2308"/>
    </row>
    <row r="101" spans="1:34" s="33" customFormat="1" ht="15" customHeight="1" x14ac:dyDescent="0.25">
      <c r="A101" s="2197"/>
      <c r="B101" s="3265" t="s">
        <v>545</v>
      </c>
      <c r="C101" s="3130"/>
      <c r="D101" s="3130"/>
      <c r="E101" s="3545"/>
      <c r="F101" s="642">
        <f>'FAK(PAP-02)'!D84</f>
        <v>258261575</v>
      </c>
      <c r="G101" s="642">
        <f>'FAK(PAP-02)'!E84</f>
        <v>183541898.25999999</v>
      </c>
      <c r="H101" s="643">
        <f>'FAK(PAP-02)'!F84</f>
        <v>54858619.079999998</v>
      </c>
      <c r="I101" s="635">
        <f>'FAK(PAP-02)'!H84</f>
        <v>-0.70111119259380816</v>
      </c>
      <c r="J101" s="3580"/>
      <c r="K101" s="3580"/>
      <c r="L101" s="3580"/>
      <c r="M101" s="3497"/>
      <c r="N101" s="3497"/>
      <c r="O101" s="3497"/>
      <c r="P101" s="3497"/>
      <c r="Q101" s="3497"/>
      <c r="R101" s="398"/>
      <c r="S101" s="398"/>
      <c r="T101" s="398"/>
      <c r="U101" s="398"/>
      <c r="V101" s="398"/>
      <c r="W101" s="398"/>
      <c r="X101" s="398"/>
      <c r="Y101" s="2308"/>
      <c r="Z101" s="2307"/>
      <c r="AA101" s="2308"/>
      <c r="AB101" s="3557"/>
      <c r="AC101" s="2308"/>
      <c r="AD101" s="2308"/>
      <c r="AE101" s="2308"/>
      <c r="AF101" s="2336"/>
      <c r="AG101" s="2308"/>
      <c r="AH101" s="2308"/>
    </row>
    <row r="102" spans="1:34" s="33" customFormat="1" ht="15" customHeight="1" x14ac:dyDescent="0.25">
      <c r="A102" s="2197"/>
      <c r="B102" s="3265" t="s">
        <v>546</v>
      </c>
      <c r="C102" s="3130"/>
      <c r="D102" s="3130"/>
      <c r="E102" s="3545"/>
      <c r="F102" s="642">
        <f>'FAK(PAP-02)'!D85</f>
        <v>8155935269</v>
      </c>
      <c r="G102" s="642">
        <f>'FAK(PAP-02)'!E85</f>
        <v>5025967043.2200003</v>
      </c>
      <c r="H102" s="643">
        <f>'FAK(PAP-02)'!F85</f>
        <v>5522596890.5</v>
      </c>
      <c r="I102" s="635">
        <f>'FAK(PAP-02)'!H85</f>
        <v>9.8812794236275481E-2</v>
      </c>
      <c r="J102" s="3580"/>
      <c r="K102" s="3580"/>
      <c r="L102" s="3580"/>
      <c r="M102" s="3497"/>
      <c r="N102" s="3497"/>
      <c r="O102" s="3497"/>
      <c r="P102" s="3497"/>
      <c r="Q102" s="3497"/>
      <c r="R102" s="398"/>
      <c r="S102" s="398"/>
      <c r="T102" s="398"/>
      <c r="U102" s="398"/>
      <c r="V102" s="398"/>
      <c r="W102" s="398"/>
      <c r="X102" s="398"/>
      <c r="Y102" s="2308"/>
      <c r="Z102" s="2307"/>
      <c r="AA102" s="2308"/>
      <c r="AB102" s="3557"/>
      <c r="AC102" s="2308"/>
      <c r="AD102" s="2308"/>
      <c r="AE102" s="2308"/>
      <c r="AF102" s="2336"/>
      <c r="AG102" s="2308"/>
      <c r="AH102" s="2308"/>
    </row>
    <row r="103" spans="1:34" s="33" customFormat="1" ht="15" customHeight="1" thickBot="1" x14ac:dyDescent="0.3">
      <c r="A103" s="2197"/>
      <c r="B103" s="3265" t="s">
        <v>547</v>
      </c>
      <c r="C103" s="3130"/>
      <c r="D103" s="3130"/>
      <c r="E103" s="3545"/>
      <c r="F103" s="644">
        <f>SUM(F100:F102)</f>
        <v>32016922099</v>
      </c>
      <c r="G103" s="644">
        <f>SUM(G100:G102)</f>
        <v>32892919096.079998</v>
      </c>
      <c r="H103" s="645">
        <f>SUM(H100:H102)</f>
        <v>34026925944.57</v>
      </c>
      <c r="I103" s="638">
        <f>'FAK(PAP-02)'!K86</f>
        <v>1</v>
      </c>
      <c r="J103" s="3580"/>
      <c r="K103" s="3580"/>
      <c r="L103" s="3580"/>
      <c r="M103" s="3497"/>
      <c r="N103" s="3497"/>
      <c r="O103" s="3497"/>
      <c r="P103" s="3497"/>
      <c r="Q103" s="3497"/>
      <c r="R103" s="398"/>
      <c r="S103" s="398"/>
      <c r="T103" s="398"/>
      <c r="U103" s="398"/>
      <c r="V103" s="398"/>
      <c r="W103" s="398"/>
      <c r="X103" s="398"/>
      <c r="Y103" s="2308"/>
      <c r="Z103" s="2307"/>
      <c r="AA103" s="2308"/>
      <c r="AB103" s="3557"/>
      <c r="AC103" s="2308"/>
      <c r="AD103" s="2308"/>
      <c r="AE103" s="2308"/>
      <c r="AF103" s="2336"/>
      <c r="AG103" s="2308"/>
      <c r="AH103" s="2308"/>
    </row>
    <row r="104" spans="1:34" s="33" customFormat="1" ht="15" customHeight="1" x14ac:dyDescent="0.35">
      <c r="A104" s="2197"/>
      <c r="B104" s="3553" t="str">
        <f>'FAK(PAP-02)'!B87</f>
        <v>HUTANG JANGKA PANJANG</v>
      </c>
      <c r="C104" s="3554"/>
      <c r="D104" s="3554"/>
      <c r="E104" s="3555"/>
      <c r="F104" s="536"/>
      <c r="G104" s="536"/>
      <c r="H104" s="537"/>
      <c r="I104" s="538"/>
      <c r="J104" s="3580"/>
      <c r="K104" s="3580"/>
      <c r="L104" s="3580"/>
      <c r="M104" s="3497"/>
      <c r="N104" s="3497"/>
      <c r="O104" s="3497"/>
      <c r="P104" s="3497"/>
      <c r="Q104" s="3497"/>
      <c r="R104" s="398"/>
      <c r="S104" s="398"/>
      <c r="T104" s="398"/>
      <c r="U104" s="398"/>
      <c r="V104" s="398"/>
      <c r="W104" s="398"/>
      <c r="X104" s="398"/>
      <c r="Y104" s="2308"/>
      <c r="Z104" s="2307"/>
      <c r="AA104" s="2308"/>
      <c r="AB104" s="3557"/>
      <c r="AC104" s="2308"/>
      <c r="AD104" s="2308"/>
      <c r="AE104" s="2308"/>
      <c r="AF104" s="2336"/>
      <c r="AG104" s="2308"/>
      <c r="AH104" s="2308"/>
    </row>
    <row r="105" spans="1:34" s="33" customFormat="1" ht="15" customHeight="1" x14ac:dyDescent="0.25">
      <c r="A105" s="2197"/>
      <c r="B105" s="3265" t="s">
        <v>545</v>
      </c>
      <c r="C105" s="3130"/>
      <c r="D105" s="3130"/>
      <c r="E105" s="3545"/>
      <c r="F105" s="642">
        <f>'FAK(PAP-02)'!D88</f>
        <v>0</v>
      </c>
      <c r="G105" s="642">
        <f>'FAK(PAP-02)'!E88</f>
        <v>0</v>
      </c>
      <c r="H105" s="643">
        <f>'FAK(PAP-02)'!F88</f>
        <v>0</v>
      </c>
      <c r="I105" s="635">
        <f>'FAK(PAP-02)'!H88</f>
        <v>0</v>
      </c>
      <c r="J105" s="3580"/>
      <c r="K105" s="3580"/>
      <c r="L105" s="3580"/>
      <c r="M105" s="3497"/>
      <c r="N105" s="3497"/>
      <c r="O105" s="3497"/>
      <c r="P105" s="3497"/>
      <c r="Q105" s="3497"/>
      <c r="R105" s="398"/>
      <c r="S105" s="398"/>
      <c r="T105" s="398"/>
      <c r="U105" s="398"/>
      <c r="V105" s="398"/>
      <c r="W105" s="398"/>
      <c r="X105" s="398"/>
      <c r="Y105" s="2308"/>
      <c r="Z105" s="2307"/>
      <c r="AA105" s="2308"/>
      <c r="AB105" s="3557"/>
      <c r="AC105" s="2308"/>
      <c r="AD105" s="2308"/>
      <c r="AE105" s="2308"/>
      <c r="AF105" s="2336"/>
      <c r="AG105" s="2308"/>
      <c r="AH105" s="2308"/>
    </row>
    <row r="106" spans="1:34" s="33" customFormat="1" ht="15" customHeight="1" x14ac:dyDescent="0.25">
      <c r="A106" s="2197"/>
      <c r="B106" s="3265" t="s">
        <v>549</v>
      </c>
      <c r="C106" s="3130"/>
      <c r="D106" s="3130"/>
      <c r="E106" s="3545"/>
      <c r="F106" s="642">
        <f>'FAK(PAP-02)'!D89</f>
        <v>0</v>
      </c>
      <c r="G106" s="642">
        <f>'FAK(PAP-02)'!E89</f>
        <v>0</v>
      </c>
      <c r="H106" s="643">
        <f>'FAK(PAP-02)'!F89</f>
        <v>0</v>
      </c>
      <c r="I106" s="635">
        <f>'FAK(PAP-02)'!H89</f>
        <v>0</v>
      </c>
      <c r="J106" s="3580"/>
      <c r="K106" s="3580"/>
      <c r="L106" s="3580"/>
      <c r="M106" s="3497"/>
      <c r="N106" s="3497"/>
      <c r="O106" s="3497"/>
      <c r="P106" s="3497"/>
      <c r="Q106" s="3497"/>
      <c r="R106" s="398"/>
      <c r="S106" s="398"/>
      <c r="T106" s="398"/>
      <c r="U106" s="398"/>
      <c r="V106" s="398"/>
      <c r="W106" s="398"/>
      <c r="X106" s="398"/>
      <c r="Y106" s="2308"/>
      <c r="Z106" s="2307"/>
      <c r="AA106" s="2308"/>
      <c r="AB106" s="3557"/>
      <c r="AC106" s="2308"/>
      <c r="AD106" s="2308"/>
      <c r="AE106" s="2308"/>
      <c r="AF106" s="2336"/>
      <c r="AG106" s="2308"/>
      <c r="AH106" s="2308"/>
    </row>
    <row r="107" spans="1:34" s="33" customFormat="1" ht="15" customHeight="1" x14ac:dyDescent="0.25">
      <c r="A107" s="2197"/>
      <c r="B107" s="3265" t="s">
        <v>1569</v>
      </c>
      <c r="C107" s="3130"/>
      <c r="D107" s="3130"/>
      <c r="E107" s="3545"/>
      <c r="F107" s="642">
        <f>'FAK(PAP-02)'!D90</f>
        <v>0</v>
      </c>
      <c r="G107" s="642">
        <f>'FAK(PAP-02)'!E90</f>
        <v>0</v>
      </c>
      <c r="H107" s="643">
        <f>'FAK(PAP-02)'!F90</f>
        <v>0</v>
      </c>
      <c r="I107" s="635">
        <f>'FAK(PAP-02)'!H90</f>
        <v>0</v>
      </c>
      <c r="J107" s="3580"/>
      <c r="K107" s="3580"/>
      <c r="L107" s="3580"/>
      <c r="M107" s="3497"/>
      <c r="N107" s="3497"/>
      <c r="O107" s="3497"/>
      <c r="P107" s="3497"/>
      <c r="Q107" s="3497"/>
      <c r="R107" s="398"/>
      <c r="S107" s="398"/>
      <c r="T107" s="398"/>
      <c r="U107" s="398"/>
      <c r="V107" s="398"/>
      <c r="W107" s="398"/>
      <c r="X107" s="398"/>
      <c r="Y107" s="2308"/>
      <c r="Z107" s="2307"/>
      <c r="AA107" s="2308"/>
      <c r="AB107" s="3557"/>
      <c r="AC107" s="2308"/>
      <c r="AD107" s="2308"/>
      <c r="AE107" s="2308"/>
      <c r="AF107" s="2336"/>
      <c r="AG107" s="2308"/>
      <c r="AH107" s="2308"/>
    </row>
    <row r="108" spans="1:34" s="33" customFormat="1" ht="15" customHeight="1" x14ac:dyDescent="0.25">
      <c r="A108" s="2197"/>
      <c r="B108" s="3265"/>
      <c r="C108" s="3130"/>
      <c r="D108" s="3130"/>
      <c r="E108" s="3545"/>
      <c r="F108" s="642">
        <f>'FAK(PAP-02)'!D91</f>
        <v>0</v>
      </c>
      <c r="G108" s="642">
        <f>'FAK(PAP-02)'!E91</f>
        <v>0</v>
      </c>
      <c r="H108" s="643">
        <f>'FAK(PAP-02)'!F91</f>
        <v>0</v>
      </c>
      <c r="I108" s="635">
        <f>'FAK(PAP-02)'!H91</f>
        <v>0</v>
      </c>
      <c r="J108" s="3580"/>
      <c r="K108" s="3580"/>
      <c r="L108" s="3580"/>
      <c r="M108" s="3497"/>
      <c r="N108" s="3497"/>
      <c r="O108" s="3497"/>
      <c r="P108" s="3497"/>
      <c r="Q108" s="3497"/>
      <c r="R108" s="398"/>
      <c r="S108" s="398"/>
      <c r="T108" s="398"/>
      <c r="U108" s="398"/>
      <c r="V108" s="398"/>
      <c r="W108" s="398"/>
      <c r="X108" s="398"/>
      <c r="Y108" s="2308"/>
      <c r="Z108" s="2307"/>
      <c r="AA108" s="2308"/>
      <c r="AB108" s="3557"/>
      <c r="AC108" s="2308"/>
      <c r="AD108" s="2308"/>
      <c r="AE108" s="2308"/>
      <c r="AF108" s="2336"/>
      <c r="AG108" s="2308"/>
      <c r="AH108" s="2308"/>
    </row>
    <row r="109" spans="1:34" s="33" customFormat="1" ht="15" customHeight="1" x14ac:dyDescent="0.35">
      <c r="A109" s="2197"/>
      <c r="B109" s="3265" t="s">
        <v>550</v>
      </c>
      <c r="C109" s="3130"/>
      <c r="D109" s="3130"/>
      <c r="E109" s="3545"/>
      <c r="F109" s="648">
        <f>SUM(F104:F108)</f>
        <v>0</v>
      </c>
      <c r="G109" s="648">
        <f>SUM(G104:G108)</f>
        <v>0</v>
      </c>
      <c r="H109" s="649">
        <f>SUM(H104:H108)</f>
        <v>0</v>
      </c>
      <c r="I109" s="638">
        <f>'FAK(PAP-02)'!K92</f>
        <v>0</v>
      </c>
      <c r="J109" s="3580"/>
      <c r="K109" s="3580"/>
      <c r="L109" s="3580"/>
      <c r="M109" s="3497"/>
      <c r="N109" s="3497"/>
      <c r="O109" s="3497"/>
      <c r="P109" s="3497"/>
      <c r="Q109" s="3497"/>
      <c r="R109" s="398"/>
      <c r="S109" s="398"/>
      <c r="T109" s="398"/>
      <c r="U109" s="398"/>
      <c r="V109" s="398"/>
      <c r="W109" s="398"/>
      <c r="X109" s="398"/>
      <c r="Y109" s="2308"/>
      <c r="Z109" s="2307"/>
      <c r="AA109" s="2308"/>
      <c r="AB109" s="3557"/>
      <c r="AC109" s="2308"/>
      <c r="AD109" s="2308"/>
      <c r="AE109" s="2308"/>
      <c r="AF109" s="2336"/>
      <c r="AG109" s="2308"/>
      <c r="AH109" s="2308"/>
    </row>
    <row r="110" spans="1:34" s="33" customFormat="1" ht="15" customHeight="1" x14ac:dyDescent="0.25">
      <c r="A110" s="2197"/>
      <c r="B110" s="3397" t="str">
        <f>'FAK(PAP-02)'!B93:C93</f>
        <v>TOTAL KEWAJIBAN</v>
      </c>
      <c r="C110" s="3398"/>
      <c r="D110" s="3398"/>
      <c r="E110" s="3562"/>
      <c r="F110" s="651">
        <f>SUM(F103,F109)</f>
        <v>32016922099</v>
      </c>
      <c r="G110" s="651">
        <f>SUM(G103,G109)</f>
        <v>32892919096.079998</v>
      </c>
      <c r="H110" s="652">
        <f>SUM(H103,H109)</f>
        <v>34026925944.57</v>
      </c>
      <c r="I110" s="653">
        <f>'FAK(PAP-02)'!H93</f>
        <v>3.447571330405718E-2</v>
      </c>
      <c r="J110" s="3580"/>
      <c r="K110" s="3580"/>
      <c r="L110" s="3580"/>
      <c r="M110" s="3497"/>
      <c r="N110" s="3497"/>
      <c r="O110" s="3497"/>
      <c r="P110" s="3497"/>
      <c r="Q110" s="3497"/>
      <c r="R110" s="398"/>
      <c r="S110" s="398"/>
      <c r="T110" s="398"/>
      <c r="U110" s="398"/>
      <c r="V110" s="398"/>
      <c r="W110" s="398"/>
      <c r="X110" s="398"/>
      <c r="Y110" s="2308"/>
      <c r="Z110" s="2307"/>
      <c r="AA110" s="2308"/>
      <c r="AB110" s="3557"/>
      <c r="AC110" s="2308"/>
      <c r="AD110" s="2308"/>
      <c r="AE110" s="2308"/>
      <c r="AF110" s="2336"/>
      <c r="AG110" s="2308"/>
      <c r="AH110" s="2308"/>
    </row>
    <row r="111" spans="1:34" s="33" customFormat="1" ht="15" customHeight="1" thickBot="1" x14ac:dyDescent="0.4">
      <c r="A111" s="2197"/>
      <c r="B111" s="3576"/>
      <c r="C111" s="3577"/>
      <c r="D111" s="3577"/>
      <c r="E111" s="3578"/>
      <c r="F111" s="536"/>
      <c r="G111" s="539"/>
      <c r="H111" s="540"/>
      <c r="I111" s="538"/>
      <c r="J111" s="3580"/>
      <c r="K111" s="3580"/>
      <c r="L111" s="3580"/>
      <c r="M111" s="3497"/>
      <c r="N111" s="3497"/>
      <c r="O111" s="3497"/>
      <c r="P111" s="3497"/>
      <c r="Q111" s="3497"/>
      <c r="R111" s="398"/>
      <c r="S111" s="398"/>
      <c r="T111" s="398"/>
      <c r="U111" s="398"/>
      <c r="V111" s="398"/>
      <c r="W111" s="398"/>
      <c r="X111" s="398"/>
      <c r="Y111" s="2308"/>
      <c r="Z111" s="2307"/>
      <c r="AA111" s="2308"/>
      <c r="AB111" s="3557"/>
      <c r="AC111" s="2308"/>
      <c r="AD111" s="2308"/>
      <c r="AE111" s="2308"/>
      <c r="AF111" s="2336"/>
      <c r="AG111" s="2308"/>
      <c r="AH111" s="2308"/>
    </row>
    <row r="112" spans="1:34" s="33" customFormat="1" ht="15" customHeight="1" x14ac:dyDescent="0.25">
      <c r="A112" s="2197"/>
      <c r="B112" s="3553" t="str">
        <f>'FAK(PAP-02)'!B95</f>
        <v>EKUITAS/MODAL</v>
      </c>
      <c r="C112" s="3554"/>
      <c r="D112" s="3554"/>
      <c r="E112" s="3555"/>
      <c r="F112" s="529"/>
      <c r="G112" s="541"/>
      <c r="H112" s="542"/>
      <c r="I112" s="538"/>
      <c r="J112" s="3580"/>
      <c r="K112" s="3580"/>
      <c r="L112" s="3580"/>
      <c r="M112" s="3497"/>
      <c r="N112" s="3497"/>
      <c r="O112" s="3497"/>
      <c r="P112" s="3497"/>
      <c r="Q112" s="3497"/>
      <c r="R112" s="398"/>
      <c r="S112" s="398"/>
      <c r="T112" s="398"/>
      <c r="U112" s="398"/>
      <c r="V112" s="398"/>
      <c r="W112" s="398"/>
      <c r="X112" s="398"/>
      <c r="Y112" s="2308"/>
      <c r="Z112" s="2307"/>
      <c r="AA112" s="2308"/>
      <c r="AB112" s="3557"/>
      <c r="AC112" s="2308"/>
      <c r="AD112" s="2308"/>
      <c r="AE112" s="2308"/>
      <c r="AF112" s="2336"/>
      <c r="AG112" s="2308"/>
      <c r="AH112" s="2308"/>
    </row>
    <row r="113" spans="1:34" s="33" customFormat="1" ht="15" customHeight="1" x14ac:dyDescent="0.25">
      <c r="A113" s="2197"/>
      <c r="B113" s="3265" t="s">
        <v>1283</v>
      </c>
      <c r="C113" s="3130"/>
      <c r="D113" s="3130"/>
      <c r="E113" s="3545"/>
      <c r="F113" s="642">
        <f>'FAK(PAP-02)'!D96</f>
        <v>16133550997</v>
      </c>
      <c r="G113" s="642">
        <f>'FAK(PAP-02)'!E96</f>
        <v>19914484723</v>
      </c>
      <c r="H113" s="643">
        <f>'FAK(PAP-02)'!F96</f>
        <v>19914484723</v>
      </c>
      <c r="I113" s="635">
        <f>'FAK(PAP-02)'!H96</f>
        <v>0</v>
      </c>
      <c r="J113" s="3580"/>
      <c r="K113" s="3580"/>
      <c r="L113" s="3580"/>
      <c r="M113" s="3497"/>
      <c r="N113" s="3497"/>
      <c r="O113" s="3497"/>
      <c r="P113" s="3497"/>
      <c r="Q113" s="3497"/>
      <c r="R113" s="398"/>
      <c r="S113" s="398"/>
      <c r="T113" s="398"/>
      <c r="U113" s="398"/>
      <c r="V113" s="398"/>
      <c r="W113" s="398"/>
      <c r="X113" s="398"/>
      <c r="Y113" s="2308"/>
      <c r="Z113" s="2307"/>
      <c r="AA113" s="2308"/>
      <c r="AB113" s="3557"/>
      <c r="AC113" s="2308"/>
      <c r="AD113" s="2308"/>
      <c r="AE113" s="2308"/>
      <c r="AF113" s="2336"/>
      <c r="AG113" s="2308"/>
      <c r="AH113" s="2308"/>
    </row>
    <row r="114" spans="1:34" s="33" customFormat="1" ht="15" customHeight="1" x14ac:dyDescent="0.25">
      <c r="A114" s="2197"/>
      <c r="B114" s="3265"/>
      <c r="C114" s="3130"/>
      <c r="D114" s="3130"/>
      <c r="E114" s="3545"/>
      <c r="F114" s="642">
        <f>'FAK(PAP-02)'!D97</f>
        <v>0</v>
      </c>
      <c r="G114" s="642">
        <f>'FAK(PAP-02)'!E97</f>
        <v>0</v>
      </c>
      <c r="H114" s="643">
        <f>'FAK(PAP-02)'!F97</f>
        <v>0</v>
      </c>
      <c r="I114" s="635">
        <f>'FAK(PAP-02)'!H97</f>
        <v>0</v>
      </c>
      <c r="J114" s="3580"/>
      <c r="K114" s="3580"/>
      <c r="L114" s="3580"/>
      <c r="M114" s="3497"/>
      <c r="N114" s="3497"/>
      <c r="O114" s="3497"/>
      <c r="P114" s="3497"/>
      <c r="Q114" s="3497"/>
      <c r="R114" s="398"/>
      <c r="S114" s="398"/>
      <c r="T114" s="398"/>
      <c r="U114" s="398"/>
      <c r="V114" s="398"/>
      <c r="W114" s="398"/>
      <c r="X114" s="398"/>
      <c r="Y114" s="2308"/>
      <c r="Z114" s="2307"/>
      <c r="AA114" s="2308"/>
      <c r="AB114" s="3557"/>
      <c r="AC114" s="2308"/>
      <c r="AD114" s="2308"/>
      <c r="AE114" s="2308"/>
      <c r="AF114" s="2336"/>
      <c r="AG114" s="2308"/>
      <c r="AH114" s="2308"/>
    </row>
    <row r="115" spans="1:34" s="33" customFormat="1" ht="15" customHeight="1" x14ac:dyDescent="0.25">
      <c r="A115" s="2197"/>
      <c r="B115" s="3265"/>
      <c r="C115" s="3130"/>
      <c r="D115" s="3130"/>
      <c r="E115" s="3545"/>
      <c r="F115" s="642">
        <f>'FAK(PAP-02)'!D98</f>
        <v>0</v>
      </c>
      <c r="G115" s="642">
        <f>'FAK(PAP-02)'!E98</f>
        <v>0</v>
      </c>
      <c r="H115" s="643">
        <f>'FAK(PAP-02)'!F98</f>
        <v>0</v>
      </c>
      <c r="I115" s="635">
        <f>'FAK(PAP-02)'!H98</f>
        <v>0</v>
      </c>
      <c r="J115" s="3580"/>
      <c r="K115" s="3580"/>
      <c r="L115" s="3580"/>
      <c r="M115" s="3497"/>
      <c r="N115" s="3497"/>
      <c r="O115" s="3497"/>
      <c r="P115" s="3497"/>
      <c r="Q115" s="3497"/>
      <c r="R115" s="398"/>
      <c r="S115" s="398"/>
      <c r="T115" s="398"/>
      <c r="U115" s="398"/>
      <c r="V115" s="398"/>
      <c r="W115" s="398"/>
      <c r="X115" s="398"/>
      <c r="Y115" s="2308"/>
      <c r="Z115" s="2307"/>
      <c r="AA115" s="2308"/>
      <c r="AB115" s="3557"/>
      <c r="AC115" s="2308"/>
      <c r="AD115" s="2308"/>
      <c r="AE115" s="2308"/>
      <c r="AF115" s="2336"/>
      <c r="AG115" s="2308"/>
      <c r="AH115" s="2308"/>
    </row>
    <row r="116" spans="1:34" s="33" customFormat="1" ht="15" customHeight="1" x14ac:dyDescent="0.25">
      <c r="A116" s="2197"/>
      <c r="B116" s="3265" t="s">
        <v>593</v>
      </c>
      <c r="C116" s="3130"/>
      <c r="D116" s="3130"/>
      <c r="E116" s="3545"/>
      <c r="F116" s="642">
        <f>'FAK(PAP-02)'!D99</f>
        <v>0</v>
      </c>
      <c r="G116" s="642">
        <f>'FAK(PAP-02)'!E99</f>
        <v>0</v>
      </c>
      <c r="H116" s="643">
        <f>'FAK(PAP-02)'!F99</f>
        <v>0</v>
      </c>
      <c r="I116" s="635">
        <f>'FAK(PAP-02)'!H99</f>
        <v>0</v>
      </c>
      <c r="J116" s="3580"/>
      <c r="K116" s="3580"/>
      <c r="L116" s="3580"/>
      <c r="M116" s="3497"/>
      <c r="N116" s="3497"/>
      <c r="O116" s="3497"/>
      <c r="P116" s="3497"/>
      <c r="Q116" s="3497"/>
      <c r="R116" s="398"/>
      <c r="S116" s="398"/>
      <c r="T116" s="398"/>
      <c r="U116" s="398"/>
      <c r="V116" s="398"/>
      <c r="W116" s="398"/>
      <c r="X116" s="398"/>
      <c r="Y116" s="2308"/>
      <c r="Z116" s="2307"/>
      <c r="AA116" s="2308"/>
      <c r="AB116" s="3557"/>
      <c r="AC116" s="2308"/>
      <c r="AD116" s="2308"/>
      <c r="AE116" s="2308"/>
      <c r="AF116" s="2336"/>
      <c r="AG116" s="2308"/>
      <c r="AH116" s="2308"/>
    </row>
    <row r="117" spans="1:34" s="33" customFormat="1" ht="15" customHeight="1" x14ac:dyDescent="0.25">
      <c r="A117" s="2197"/>
      <c r="B117" s="3265" t="s">
        <v>554</v>
      </c>
      <c r="C117" s="3130"/>
      <c r="D117" s="3130"/>
      <c r="E117" s="3545"/>
      <c r="F117" s="642">
        <f>'FAK(PAP-02)'!D100</f>
        <v>3382788636</v>
      </c>
      <c r="G117" s="642">
        <f>'FAK(PAP-02)'!E100</f>
        <v>3913644260</v>
      </c>
      <c r="H117" s="643">
        <f>'FAK(PAP-02)'!F100</f>
        <v>3913644260</v>
      </c>
      <c r="I117" s="635">
        <f>'FAK(PAP-02)'!H100</f>
        <v>0</v>
      </c>
      <c r="J117" s="3580"/>
      <c r="K117" s="3580"/>
      <c r="L117" s="3580"/>
      <c r="M117" s="3497"/>
      <c r="N117" s="3497"/>
      <c r="O117" s="3497"/>
      <c r="P117" s="3497"/>
      <c r="Q117" s="3497"/>
      <c r="R117" s="398"/>
      <c r="S117" s="398"/>
      <c r="T117" s="398"/>
      <c r="U117" s="398"/>
      <c r="V117" s="398"/>
      <c r="W117" s="398"/>
      <c r="X117" s="398"/>
      <c r="Y117" s="2308"/>
      <c r="Z117" s="2307"/>
      <c r="AA117" s="2308"/>
      <c r="AB117" s="3557"/>
      <c r="AC117" s="2308"/>
      <c r="AD117" s="2308"/>
      <c r="AE117" s="2308"/>
      <c r="AF117" s="2336"/>
      <c r="AG117" s="2308"/>
      <c r="AH117" s="2308"/>
    </row>
    <row r="118" spans="1:34" s="33" customFormat="1" ht="15" customHeight="1" x14ac:dyDescent="0.25">
      <c r="A118" s="2197"/>
      <c r="B118" s="3265" t="s">
        <v>555</v>
      </c>
      <c r="C118" s="3130"/>
      <c r="D118" s="3130"/>
      <c r="E118" s="3545"/>
      <c r="F118" s="642">
        <f>'FAK(PAP-02)'!D101</f>
        <v>3293501709</v>
      </c>
      <c r="G118" s="642">
        <f>'FAK(PAP-02)'!E101</f>
        <v>3824357333</v>
      </c>
      <c r="H118" s="643">
        <f>'FAK(PAP-02)'!F101</f>
        <v>3824357333</v>
      </c>
      <c r="I118" s="635">
        <f>'FAK(PAP-02)'!H101</f>
        <v>0</v>
      </c>
      <c r="J118" s="3580"/>
      <c r="K118" s="3580"/>
      <c r="L118" s="3580"/>
      <c r="M118" s="3497"/>
      <c r="N118" s="3497"/>
      <c r="O118" s="3497"/>
      <c r="P118" s="3497"/>
      <c r="Q118" s="3497"/>
      <c r="R118" s="398"/>
      <c r="S118" s="398"/>
      <c r="T118" s="398"/>
      <c r="U118" s="398"/>
      <c r="V118" s="398"/>
      <c r="W118" s="398"/>
      <c r="X118" s="398"/>
      <c r="Y118" s="2308"/>
      <c r="Z118" s="2307"/>
      <c r="AA118" s="2308"/>
      <c r="AB118" s="3557"/>
      <c r="AC118" s="2308"/>
      <c r="AD118" s="2308"/>
      <c r="AE118" s="2308"/>
      <c r="AF118" s="2336"/>
      <c r="AG118" s="2308"/>
      <c r="AH118" s="2308"/>
    </row>
    <row r="119" spans="1:34" s="33" customFormat="1" ht="15" customHeight="1" x14ac:dyDescent="0.25">
      <c r="A119" s="2197"/>
      <c r="B119" s="3265" t="s">
        <v>1570</v>
      </c>
      <c r="C119" s="3130"/>
      <c r="D119" s="3130"/>
      <c r="E119" s="3545"/>
      <c r="F119" s="642">
        <f>'FAK(PAP-02)'!D102</f>
        <v>5308556246</v>
      </c>
      <c r="G119" s="642">
        <f>'FAK(PAP-02)'!E102</f>
        <v>5014328838.4399996</v>
      </c>
      <c r="H119" s="643">
        <f>'FAK(PAP-02)'!F102</f>
        <v>2464447093.0300002</v>
      </c>
      <c r="I119" s="635">
        <f>'FAK(PAP-02)'!H102</f>
        <v>-0.50851905161514876</v>
      </c>
      <c r="J119" s="3580"/>
      <c r="K119" s="3580"/>
      <c r="L119" s="3580"/>
      <c r="M119" s="3497"/>
      <c r="N119" s="3497"/>
      <c r="O119" s="3497"/>
      <c r="P119" s="3497"/>
      <c r="Q119" s="3497"/>
      <c r="R119" s="398"/>
      <c r="S119" s="398"/>
      <c r="T119" s="398"/>
      <c r="U119" s="398"/>
      <c r="V119" s="398"/>
      <c r="W119" s="398"/>
      <c r="X119" s="398"/>
      <c r="Y119" s="2308"/>
      <c r="Z119" s="2307"/>
      <c r="AA119" s="2308"/>
      <c r="AB119" s="3557"/>
      <c r="AC119" s="2308"/>
      <c r="AD119" s="2308"/>
      <c r="AE119" s="2308"/>
      <c r="AF119" s="2336"/>
      <c r="AG119" s="2308"/>
      <c r="AH119" s="2308"/>
    </row>
    <row r="120" spans="1:34" s="33" customFormat="1" ht="15" customHeight="1" x14ac:dyDescent="0.25">
      <c r="A120" s="2197"/>
      <c r="B120" s="3265" t="s">
        <v>66</v>
      </c>
      <c r="C120" s="3130"/>
      <c r="D120" s="3130"/>
      <c r="E120" s="3545"/>
      <c r="F120" s="642">
        <f>'FAK(PAP-02)'!D103</f>
        <v>0</v>
      </c>
      <c r="G120" s="642">
        <f>'FAK(PAP-02)'!E103</f>
        <v>0</v>
      </c>
      <c r="H120" s="643">
        <f>'FAK(PAP-02)'!F103</f>
        <v>4432029737.4200001</v>
      </c>
      <c r="I120" s="635">
        <f>'FAK(PAP-02)'!H103</f>
        <v>0</v>
      </c>
      <c r="J120" s="3580"/>
      <c r="K120" s="3580"/>
      <c r="L120" s="3580"/>
      <c r="M120" s="3497"/>
      <c r="N120" s="3497"/>
      <c r="O120" s="3497"/>
      <c r="P120" s="3497"/>
      <c r="Q120" s="3497"/>
      <c r="R120" s="398"/>
      <c r="S120" s="398"/>
      <c r="T120" s="398"/>
      <c r="U120" s="398"/>
      <c r="V120" s="398"/>
      <c r="W120" s="398"/>
      <c r="X120" s="398"/>
      <c r="Y120" s="2308"/>
      <c r="Z120" s="2307"/>
      <c r="AA120" s="2308"/>
      <c r="AB120" s="3557"/>
      <c r="AC120" s="2308"/>
      <c r="AD120" s="2308"/>
      <c r="AE120" s="2308"/>
      <c r="AF120" s="2336"/>
      <c r="AG120" s="2308"/>
      <c r="AH120" s="2308"/>
    </row>
    <row r="121" spans="1:34" s="33" customFormat="1" ht="15" customHeight="1" x14ac:dyDescent="0.25">
      <c r="A121" s="2197"/>
      <c r="B121" s="3397" t="str">
        <f>'FAK(PAP-02)'!B104:C104</f>
        <v>TOTAL EKUITAS</v>
      </c>
      <c r="C121" s="3398"/>
      <c r="D121" s="3398"/>
      <c r="E121" s="3562"/>
      <c r="F121" s="651">
        <f>SUM(F113:F120)</f>
        <v>28118397588</v>
      </c>
      <c r="G121" s="651">
        <f>SUM(G113:G120)</f>
        <v>32666815154.439999</v>
      </c>
      <c r="H121" s="652">
        <f>SUM(H113:H120)</f>
        <v>34548963146.449997</v>
      </c>
      <c r="I121" s="653">
        <f>'FAK(PAP-02)'!H104</f>
        <v>5.7616513367210853E-2</v>
      </c>
      <c r="J121" s="3580"/>
      <c r="K121" s="3580"/>
      <c r="L121" s="3580"/>
      <c r="M121" s="3497"/>
      <c r="N121" s="3497"/>
      <c r="O121" s="3497"/>
      <c r="P121" s="3497"/>
      <c r="Q121" s="3497"/>
      <c r="R121" s="398"/>
      <c r="S121" s="398"/>
      <c r="T121" s="398"/>
      <c r="U121" s="398"/>
      <c r="V121" s="398"/>
      <c r="W121" s="398"/>
      <c r="X121" s="398"/>
      <c r="Y121" s="2308"/>
      <c r="Z121" s="2307"/>
      <c r="AA121" s="2308"/>
      <c r="AB121" s="3557"/>
      <c r="AC121" s="2308"/>
      <c r="AD121" s="2308"/>
      <c r="AE121" s="2308"/>
      <c r="AF121" s="2336"/>
      <c r="AG121" s="2308"/>
      <c r="AH121" s="2308"/>
    </row>
    <row r="122" spans="1:34" s="33" customFormat="1" ht="15" customHeight="1" x14ac:dyDescent="0.25">
      <c r="A122" s="2197"/>
      <c r="B122" s="3265"/>
      <c r="C122" s="3130"/>
      <c r="D122" s="3130"/>
      <c r="E122" s="3545"/>
      <c r="F122" s="543"/>
      <c r="G122" s="543"/>
      <c r="H122" s="544"/>
      <c r="I122" s="545"/>
      <c r="J122" s="3580"/>
      <c r="K122" s="3580"/>
      <c r="L122" s="3580"/>
      <c r="M122" s="3497"/>
      <c r="N122" s="3497"/>
      <c r="O122" s="3497"/>
      <c r="P122" s="3497"/>
      <c r="Q122" s="3497"/>
      <c r="R122" s="398"/>
      <c r="S122" s="398"/>
      <c r="T122" s="398"/>
      <c r="U122" s="398"/>
      <c r="V122" s="398"/>
      <c r="W122" s="398"/>
      <c r="X122" s="398"/>
      <c r="Y122" s="2308"/>
      <c r="Z122" s="2307"/>
      <c r="AA122" s="2308"/>
      <c r="AB122" s="3557"/>
      <c r="AC122" s="2308"/>
      <c r="AD122" s="2308"/>
      <c r="AE122" s="2308"/>
      <c r="AF122" s="2336"/>
      <c r="AG122" s="2308"/>
      <c r="AH122" s="2308"/>
    </row>
    <row r="123" spans="1:34" s="33" customFormat="1" ht="15" customHeight="1" thickBot="1" x14ac:dyDescent="0.3">
      <c r="A123" s="2197"/>
      <c r="B123" s="3573" t="str">
        <f>'FAK(PAP-02)'!B106:C106</f>
        <v>KEWAJIBAN &amp; EKUITAS</v>
      </c>
      <c r="C123" s="3574"/>
      <c r="D123" s="3574"/>
      <c r="E123" s="3575"/>
      <c r="F123" s="654">
        <f>SUM(F110,F121)</f>
        <v>60135319687</v>
      </c>
      <c r="G123" s="654">
        <f>SUM(G110,G121)</f>
        <v>65559734250.519997</v>
      </c>
      <c r="H123" s="655">
        <f>SUM(H110,H121)</f>
        <v>68575889091.019997</v>
      </c>
      <c r="I123" s="656">
        <f>'FAK(PAP-02)'!H106</f>
        <v>4.6006209069953286E-2</v>
      </c>
      <c r="J123" s="3580"/>
      <c r="K123" s="3580"/>
      <c r="L123" s="3580"/>
      <c r="M123" s="3497"/>
      <c r="N123" s="3497"/>
      <c r="O123" s="3497"/>
      <c r="P123" s="3497"/>
      <c r="Q123" s="3497"/>
      <c r="R123" s="398"/>
      <c r="S123" s="398"/>
      <c r="T123" s="398"/>
      <c r="U123" s="398"/>
      <c r="V123" s="398"/>
      <c r="W123" s="398"/>
      <c r="X123" s="398"/>
      <c r="Y123" s="2308"/>
      <c r="Z123" s="2307"/>
      <c r="AA123" s="2308"/>
      <c r="AB123" s="3557"/>
      <c r="AC123" s="2308"/>
      <c r="AD123" s="2308"/>
      <c r="AE123" s="2308"/>
      <c r="AF123" s="2336"/>
      <c r="AG123" s="2308"/>
      <c r="AH123" s="2308"/>
    </row>
    <row r="124" spans="1:34" s="33" customFormat="1" ht="33" customHeight="1" x14ac:dyDescent="0.35">
      <c r="A124" s="435"/>
      <c r="B124" s="3559" t="s">
        <v>1795</v>
      </c>
      <c r="C124" s="3559"/>
      <c r="D124" s="3559"/>
      <c r="E124" s="3559"/>
      <c r="F124" s="3560"/>
      <c r="G124" s="3560"/>
      <c r="H124" s="3560"/>
      <c r="I124" s="3559"/>
      <c r="J124" s="3561" t="s">
        <v>184</v>
      </c>
      <c r="K124" s="3561"/>
      <c r="L124" s="3561"/>
      <c r="M124" s="1469">
        <f>COUNTIF(AB76,"1")*M75</f>
        <v>0</v>
      </c>
      <c r="N124" s="650">
        <f>COUNTIF(AB76,"2")*N75</f>
        <v>0</v>
      </c>
      <c r="O124" s="1469">
        <f>COUNTIF(AB76,"3")*O75</f>
        <v>0</v>
      </c>
      <c r="P124" s="1469">
        <f>COUNTIF(AB76,"4")*P75</f>
        <v>4</v>
      </c>
      <c r="Q124" s="1469">
        <f>COUNTIF(AB76,"5")*Q75</f>
        <v>0</v>
      </c>
      <c r="R124" s="433"/>
      <c r="S124" s="433"/>
      <c r="T124" s="433"/>
      <c r="U124" s="433"/>
      <c r="V124" s="433"/>
      <c r="W124" s="433"/>
      <c r="X124" s="433"/>
      <c r="Y124" s="2309"/>
      <c r="Z124" s="2309"/>
      <c r="AA124" s="2309"/>
      <c r="AB124" s="2309"/>
      <c r="AC124" s="2309"/>
      <c r="AD124" s="2309"/>
      <c r="AE124" s="2308"/>
      <c r="AF124" s="2336"/>
      <c r="AG124" s="2308"/>
      <c r="AH124" s="2308"/>
    </row>
    <row r="125" spans="1:34" s="33" customFormat="1" ht="40.5" customHeight="1" x14ac:dyDescent="0.35">
      <c r="A125" s="440"/>
      <c r="B125" s="3560"/>
      <c r="C125" s="3560"/>
      <c r="D125" s="3560"/>
      <c r="E125" s="3560"/>
      <c r="F125" s="3560"/>
      <c r="G125" s="3560"/>
      <c r="H125" s="3560"/>
      <c r="I125" s="3560"/>
      <c r="J125" s="3561"/>
      <c r="K125" s="3561"/>
      <c r="L125" s="3561"/>
      <c r="M125" s="3240">
        <f>SUM(M124:Q124)</f>
        <v>4</v>
      </c>
      <c r="N125" s="3241"/>
      <c r="O125" s="3241"/>
      <c r="P125" s="3241"/>
      <c r="Q125" s="3242"/>
      <c r="R125" s="433"/>
      <c r="S125" s="433"/>
      <c r="T125" s="433"/>
      <c r="U125" s="433"/>
      <c r="V125" s="433"/>
      <c r="W125" s="433"/>
      <c r="X125" s="433"/>
      <c r="Y125" s="2309"/>
      <c r="Z125" s="2309"/>
      <c r="AA125" s="2309"/>
      <c r="AB125" s="2309"/>
      <c r="AC125" s="2309"/>
      <c r="AD125" s="2309"/>
      <c r="AE125" s="2308"/>
      <c r="AF125" s="2336"/>
      <c r="AG125" s="2308"/>
      <c r="AH125" s="2308"/>
    </row>
    <row r="126" spans="1:34" s="33" customFormat="1" ht="120" customHeight="1" x14ac:dyDescent="0.35">
      <c r="A126" s="440"/>
      <c r="B126" s="3560"/>
      <c r="C126" s="3560"/>
      <c r="D126" s="3560"/>
      <c r="E126" s="3560"/>
      <c r="F126" s="3560"/>
      <c r="G126" s="3560"/>
      <c r="H126" s="3560"/>
      <c r="I126" s="3560"/>
      <c r="J126" s="3561"/>
      <c r="K126" s="3561"/>
      <c r="L126" s="3561"/>
      <c r="M126" s="3361">
        <f>IFERROR((M125/AF126),"0")</f>
        <v>4</v>
      </c>
      <c r="N126" s="3362"/>
      <c r="O126" s="2995" t="str">
        <f>IF(ROUND(M126,0)=1,"Sangat Tidak Memenuhi Syarat",IF(ROUND(M126,0)=2,"Tidak Memenuhi Syarat",IF(ROUND(M126,0)=3,"Cukup Memenuhi Syarat",IF(ROUND(M126,0)=4,"Memenuhi Syarat",IF(ROUND(M126,0)&gt;=5,"Sangat Memenuhi Syarat")))))</f>
        <v>Memenuhi Syarat</v>
      </c>
      <c r="P126" s="2995"/>
      <c r="Q126" s="2995"/>
      <c r="R126" s="433"/>
      <c r="S126" s="433"/>
      <c r="T126" s="433"/>
      <c r="U126" s="433"/>
      <c r="V126" s="433"/>
      <c r="W126" s="433"/>
      <c r="X126" s="433"/>
      <c r="Y126" s="2309"/>
      <c r="Z126" s="2309"/>
      <c r="AA126" s="2309"/>
      <c r="AB126" s="2309"/>
      <c r="AC126" s="2309"/>
      <c r="AD126" s="2308"/>
      <c r="AE126" s="2308"/>
      <c r="AF126" s="2337">
        <f>COUNTIF(AB76,"&gt;0")</f>
        <v>1</v>
      </c>
      <c r="AG126" s="2308"/>
      <c r="AH126" s="2308"/>
    </row>
    <row r="127" spans="1:34" s="33" customFormat="1" ht="15" customHeight="1" x14ac:dyDescent="0.25">
      <c r="A127" s="440"/>
      <c r="B127" s="440"/>
      <c r="C127" s="474"/>
      <c r="D127" s="474"/>
      <c r="E127" s="474"/>
      <c r="F127" s="474"/>
      <c r="G127" s="474"/>
      <c r="H127" s="475"/>
      <c r="I127" s="476"/>
      <c r="J127" s="477"/>
      <c r="K127" s="478"/>
      <c r="L127" s="479"/>
      <c r="M127" s="477"/>
      <c r="N127" s="478"/>
      <c r="O127" s="480"/>
      <c r="P127" s="398"/>
      <c r="Q127" s="398"/>
      <c r="R127" s="398"/>
      <c r="S127" s="398"/>
      <c r="T127" s="398"/>
      <c r="U127" s="398"/>
      <c r="V127" s="398"/>
      <c r="W127" s="398"/>
      <c r="X127" s="398"/>
      <c r="Y127" s="2308"/>
      <c r="Z127" s="2307"/>
      <c r="AA127" s="2308"/>
      <c r="AB127" s="2307"/>
      <c r="AC127" s="2308"/>
      <c r="AD127" s="2308"/>
      <c r="AE127" s="2308"/>
      <c r="AF127" s="2336"/>
      <c r="AG127" s="2308"/>
      <c r="AH127" s="2308"/>
    </row>
    <row r="128" spans="1:34" s="33" customFormat="1" ht="15" customHeight="1" x14ac:dyDescent="0.25">
      <c r="A128" s="440"/>
      <c r="B128" s="440"/>
      <c r="C128" s="474"/>
      <c r="D128" s="474"/>
      <c r="E128" s="474"/>
      <c r="F128" s="474"/>
      <c r="G128" s="474"/>
      <c r="H128" s="475"/>
      <c r="I128" s="476"/>
      <c r="J128" s="477"/>
      <c r="K128" s="478"/>
      <c r="L128" s="479"/>
      <c r="M128" s="477"/>
      <c r="N128" s="478"/>
      <c r="O128" s="480"/>
      <c r="P128" s="398"/>
      <c r="Q128" s="398"/>
      <c r="R128" s="398"/>
      <c r="S128" s="398"/>
      <c r="T128" s="398"/>
      <c r="U128" s="398"/>
      <c r="V128" s="398"/>
      <c r="W128" s="398"/>
      <c r="X128" s="398"/>
      <c r="Y128" s="2308"/>
      <c r="Z128" s="2307"/>
      <c r="AA128" s="2308"/>
      <c r="AB128" s="2307"/>
      <c r="AC128" s="2308"/>
      <c r="AD128" s="2308"/>
      <c r="AE128" s="2308"/>
      <c r="AF128" s="2336"/>
      <c r="AG128" s="2308"/>
      <c r="AH128" s="2308"/>
    </row>
    <row r="129" spans="1:34" s="33" customFormat="1" ht="15" customHeight="1" x14ac:dyDescent="0.25">
      <c r="A129" s="440"/>
      <c r="B129" s="440"/>
      <c r="C129" s="474"/>
      <c r="D129" s="474"/>
      <c r="E129" s="474"/>
      <c r="F129" s="474"/>
      <c r="G129" s="474"/>
      <c r="H129" s="475"/>
      <c r="I129" s="476"/>
      <c r="J129" s="477"/>
      <c r="K129" s="478"/>
      <c r="L129" s="479"/>
      <c r="M129" s="477"/>
      <c r="N129" s="478"/>
      <c r="O129" s="480"/>
      <c r="P129" s="398"/>
      <c r="Q129" s="398"/>
      <c r="R129" s="398"/>
      <c r="S129" s="398"/>
      <c r="T129" s="398"/>
      <c r="U129" s="398"/>
      <c r="V129" s="398"/>
      <c r="W129" s="398"/>
      <c r="X129" s="398"/>
      <c r="Y129" s="2308"/>
      <c r="Z129" s="2307"/>
      <c r="AA129" s="2308"/>
      <c r="AB129" s="2307"/>
      <c r="AC129" s="2308"/>
      <c r="AD129" s="2308"/>
      <c r="AE129" s="2308"/>
      <c r="AF129" s="2336"/>
      <c r="AG129" s="2308"/>
      <c r="AH129" s="2308"/>
    </row>
    <row r="130" spans="1:34" s="33" customFormat="1" ht="15" customHeight="1" x14ac:dyDescent="0.25">
      <c r="A130" s="440"/>
      <c r="B130" s="440"/>
      <c r="C130" s="474"/>
      <c r="D130" s="474"/>
      <c r="E130" s="474"/>
      <c r="F130" s="474"/>
      <c r="G130" s="474"/>
      <c r="H130" s="475"/>
      <c r="I130" s="476"/>
      <c r="J130" s="477"/>
      <c r="K130" s="478"/>
      <c r="L130" s="479"/>
      <c r="M130" s="477"/>
      <c r="N130" s="478"/>
      <c r="O130" s="480"/>
      <c r="P130" s="398"/>
      <c r="Q130" s="398"/>
      <c r="R130" s="398"/>
      <c r="S130" s="398"/>
      <c r="T130" s="398"/>
      <c r="U130" s="398"/>
      <c r="V130" s="398"/>
      <c r="W130" s="398"/>
      <c r="X130" s="398"/>
      <c r="Y130" s="2308"/>
      <c r="Z130" s="2307"/>
      <c r="AA130" s="2308"/>
      <c r="AB130" s="2307"/>
      <c r="AC130" s="2308"/>
      <c r="AD130" s="2308"/>
      <c r="AE130" s="2308"/>
      <c r="AF130" s="2336"/>
      <c r="AG130" s="2308"/>
      <c r="AH130" s="2308"/>
    </row>
    <row r="131" spans="1:34" s="33" customFormat="1" ht="15" customHeight="1" x14ac:dyDescent="0.25">
      <c r="A131" s="440"/>
      <c r="B131" s="440"/>
      <c r="C131" s="474"/>
      <c r="D131" s="474"/>
      <c r="E131" s="474"/>
      <c r="F131" s="474"/>
      <c r="G131" s="474"/>
      <c r="H131" s="475"/>
      <c r="I131" s="476"/>
      <c r="J131" s="477"/>
      <c r="K131" s="478"/>
      <c r="L131" s="479"/>
      <c r="M131" s="477"/>
      <c r="N131" s="478"/>
      <c r="O131" s="480"/>
      <c r="P131" s="398"/>
      <c r="Q131" s="398"/>
      <c r="R131" s="398"/>
      <c r="S131" s="398"/>
      <c r="T131" s="398"/>
      <c r="U131" s="398"/>
      <c r="V131" s="398"/>
      <c r="W131" s="398"/>
      <c r="X131" s="398"/>
      <c r="Y131" s="2308"/>
      <c r="Z131" s="2307"/>
      <c r="AA131" s="2308"/>
      <c r="AB131" s="2307"/>
      <c r="AC131" s="2308"/>
      <c r="AD131" s="2308"/>
      <c r="AE131" s="2308"/>
      <c r="AF131" s="2336"/>
      <c r="AG131" s="2308"/>
      <c r="AH131" s="2308"/>
    </row>
    <row r="132" spans="1:34" s="33" customFormat="1" ht="15" customHeight="1" x14ac:dyDescent="0.35">
      <c r="A132" s="144"/>
      <c r="B132" s="144"/>
      <c r="C132" s="144"/>
      <c r="D132" s="144"/>
      <c r="E132" s="144"/>
      <c r="F132" s="144"/>
      <c r="G132" s="144"/>
      <c r="H132" s="144"/>
      <c r="I132" s="144"/>
      <c r="J132" s="477"/>
      <c r="K132" s="478"/>
      <c r="L132" s="479"/>
      <c r="M132" s="477"/>
      <c r="N132" s="478"/>
      <c r="O132" s="480"/>
      <c r="P132" s="398"/>
      <c r="Q132" s="398"/>
      <c r="R132" s="398"/>
      <c r="S132" s="398"/>
      <c r="T132" s="398"/>
      <c r="U132" s="398"/>
      <c r="V132" s="398"/>
      <c r="W132" s="398"/>
      <c r="X132" s="398"/>
      <c r="Y132" s="2308"/>
      <c r="Z132" s="2307"/>
      <c r="AA132" s="2308"/>
      <c r="AB132" s="2307"/>
      <c r="AC132" s="2308"/>
      <c r="AD132" s="2308"/>
      <c r="AE132" s="2308"/>
      <c r="AF132" s="2336"/>
      <c r="AG132" s="2308"/>
      <c r="AH132" s="2308"/>
    </row>
    <row r="133" spans="1:34" s="33" customFormat="1" ht="15" customHeight="1" thickBot="1" x14ac:dyDescent="0.4">
      <c r="A133" s="144"/>
      <c r="B133" s="600" t="s">
        <v>244</v>
      </c>
      <c r="C133" s="601"/>
      <c r="D133" s="601"/>
      <c r="E133" s="601"/>
      <c r="F133" s="601"/>
      <c r="G133" s="601"/>
      <c r="H133" s="601"/>
      <c r="I133" s="601"/>
      <c r="J133" s="477"/>
      <c r="K133" s="478"/>
      <c r="L133" s="479"/>
      <c r="M133" s="477"/>
      <c r="N133" s="478"/>
      <c r="O133" s="480"/>
      <c r="P133" s="398"/>
      <c r="Q133" s="398"/>
      <c r="R133" s="398"/>
      <c r="S133" s="398"/>
      <c r="T133" s="398"/>
      <c r="U133" s="398"/>
      <c r="V133" s="398"/>
      <c r="W133" s="398"/>
      <c r="X133" s="398"/>
      <c r="Y133" s="2308"/>
      <c r="Z133" s="2307"/>
      <c r="AA133" s="2308"/>
      <c r="AB133" s="2307"/>
      <c r="AC133" s="2308"/>
      <c r="AD133" s="2308"/>
      <c r="AE133" s="2308"/>
      <c r="AF133" s="2336"/>
      <c r="AG133" s="2308"/>
      <c r="AH133" s="2308"/>
    </row>
    <row r="134" spans="1:34" s="33" customFormat="1" ht="15" customHeight="1" x14ac:dyDescent="0.35">
      <c r="A134" s="144"/>
      <c r="B134" s="3244" t="s">
        <v>40</v>
      </c>
      <c r="C134" s="3245"/>
      <c r="D134" s="3245"/>
      <c r="E134" s="3338"/>
      <c r="F134" s="524">
        <f>F74</f>
        <v>42735</v>
      </c>
      <c r="G134" s="524">
        <f>G74</f>
        <v>43100</v>
      </c>
      <c r="H134" s="524">
        <f>H74</f>
        <v>43281</v>
      </c>
      <c r="I134" s="3321" t="s">
        <v>943</v>
      </c>
      <c r="J134" s="3563" t="s">
        <v>348</v>
      </c>
      <c r="K134" s="3563"/>
      <c r="L134" s="3563"/>
      <c r="M134" s="3563" t="s">
        <v>345</v>
      </c>
      <c r="N134" s="3563"/>
      <c r="O134" s="3563"/>
      <c r="P134" s="3563"/>
      <c r="Q134" s="3686"/>
      <c r="R134" s="398"/>
      <c r="S134" s="398"/>
      <c r="T134" s="398"/>
      <c r="U134" s="398"/>
      <c r="V134" s="398"/>
      <c r="W134" s="398"/>
      <c r="X134" s="398"/>
      <c r="Y134" s="2308"/>
      <c r="Z134" s="2307"/>
      <c r="AA134" s="2308"/>
      <c r="AB134" s="2307"/>
      <c r="AC134" s="2308"/>
      <c r="AD134" s="2308"/>
      <c r="AE134" s="2308"/>
      <c r="AF134" s="2336"/>
      <c r="AG134" s="2308"/>
      <c r="AH134" s="2308"/>
    </row>
    <row r="135" spans="1:34" s="33" customFormat="1" ht="15" customHeight="1" thickBot="1" x14ac:dyDescent="0.4">
      <c r="A135" s="144"/>
      <c r="B135" s="3247"/>
      <c r="C135" s="3248"/>
      <c r="D135" s="3248"/>
      <c r="E135" s="3572"/>
      <c r="F135" s="527" t="s">
        <v>59</v>
      </c>
      <c r="G135" s="527" t="s">
        <v>60</v>
      </c>
      <c r="H135" s="527" t="s">
        <v>640</v>
      </c>
      <c r="I135" s="3313"/>
      <c r="J135" s="3564"/>
      <c r="K135" s="3564"/>
      <c r="L135" s="3564"/>
      <c r="M135" s="472">
        <v>1</v>
      </c>
      <c r="N135" s="472">
        <v>2</v>
      </c>
      <c r="O135" s="472">
        <v>3</v>
      </c>
      <c r="P135" s="472">
        <v>4</v>
      </c>
      <c r="Q135" s="473">
        <v>5</v>
      </c>
      <c r="R135" s="398"/>
      <c r="S135" s="398"/>
      <c r="T135" s="398"/>
      <c r="U135" s="398"/>
      <c r="V135" s="398"/>
      <c r="W135" s="398"/>
      <c r="X135" s="398"/>
      <c r="Y135" s="2308"/>
      <c r="Z135" s="2307"/>
      <c r="AA135" s="2308"/>
      <c r="AB135" s="2307"/>
      <c r="AC135" s="2308"/>
      <c r="AD135" s="2308"/>
      <c r="AE135" s="2308"/>
      <c r="AF135" s="2336"/>
      <c r="AG135" s="2308"/>
      <c r="AH135" s="2308"/>
    </row>
    <row r="136" spans="1:34" s="33" customFormat="1" ht="15" customHeight="1" x14ac:dyDescent="0.35">
      <c r="A136" s="144"/>
      <c r="B136" s="3569" t="s">
        <v>504</v>
      </c>
      <c r="C136" s="3570"/>
      <c r="D136" s="3570"/>
      <c r="E136" s="3571"/>
      <c r="F136" s="546"/>
      <c r="G136" s="547"/>
      <c r="H136" s="547"/>
      <c r="I136" s="548"/>
      <c r="J136" s="3589" t="s">
        <v>1794</v>
      </c>
      <c r="K136" s="3590"/>
      <c r="L136" s="3591"/>
      <c r="M136" s="3496"/>
      <c r="N136" s="3496"/>
      <c r="O136" s="3496"/>
      <c r="P136" s="3496"/>
      <c r="Q136" s="3496"/>
      <c r="R136" s="398"/>
      <c r="S136" s="398"/>
      <c r="T136" s="398"/>
      <c r="U136" s="398"/>
      <c r="V136" s="398"/>
      <c r="W136" s="398"/>
      <c r="X136" s="398"/>
      <c r="Y136" s="2308"/>
      <c r="Z136" s="2307"/>
      <c r="AA136" s="2308"/>
      <c r="AB136" s="3558">
        <v>4</v>
      </c>
      <c r="AC136" s="2308"/>
      <c r="AD136" s="2308"/>
      <c r="AE136" s="2308"/>
      <c r="AF136" s="2336"/>
      <c r="AG136" s="2308"/>
      <c r="AH136" s="2308"/>
    </row>
    <row r="137" spans="1:34" s="33" customFormat="1" ht="15" customHeight="1" x14ac:dyDescent="0.35">
      <c r="A137" s="144"/>
      <c r="B137" s="3565" t="s">
        <v>1571</v>
      </c>
      <c r="C137" s="3566"/>
      <c r="D137" s="3566"/>
      <c r="E137" s="3567"/>
      <c r="F137" s="659">
        <f>'FAK(PAP-02)'!D31</f>
        <v>13527716398</v>
      </c>
      <c r="G137" s="659">
        <f>'FAK(PAP-02)'!E31</f>
        <v>14266139810.66</v>
      </c>
      <c r="H137" s="659">
        <f>'FAK(PAP-02)'!F31</f>
        <v>7489241333.5900002</v>
      </c>
      <c r="I137" s="660">
        <f>'FAK(PAP-02)'!H31</f>
        <v>-0.47503379099131915</v>
      </c>
      <c r="J137" s="3592"/>
      <c r="K137" s="3593"/>
      <c r="L137" s="3594"/>
      <c r="M137" s="3497"/>
      <c r="N137" s="3497"/>
      <c r="O137" s="3497"/>
      <c r="P137" s="3497"/>
      <c r="Q137" s="3497"/>
      <c r="R137" s="398"/>
      <c r="S137" s="398"/>
      <c r="T137" s="398"/>
      <c r="U137" s="398"/>
      <c r="V137" s="398"/>
      <c r="W137" s="398"/>
      <c r="X137" s="398"/>
      <c r="Y137" s="2308"/>
      <c r="Z137" s="2307"/>
      <c r="AA137" s="2308"/>
      <c r="AB137" s="3558"/>
      <c r="AC137" s="2308"/>
      <c r="AD137" s="2308"/>
      <c r="AE137" s="2308"/>
      <c r="AF137" s="2336"/>
      <c r="AG137" s="2308"/>
      <c r="AH137" s="2308"/>
    </row>
    <row r="138" spans="1:34" s="33" customFormat="1" ht="15" customHeight="1" x14ac:dyDescent="0.35">
      <c r="A138" s="144"/>
      <c r="B138" s="3565" t="s">
        <v>505</v>
      </c>
      <c r="C138" s="3566"/>
      <c r="D138" s="3566"/>
      <c r="E138" s="3567"/>
      <c r="F138" s="659">
        <f>'FAK(PAP-02)'!D32</f>
        <v>0</v>
      </c>
      <c r="G138" s="659">
        <f>'FAK(PAP-02)'!E32</f>
        <v>0</v>
      </c>
      <c r="H138" s="659">
        <f>'FAK(PAP-02)'!F32</f>
        <v>0</v>
      </c>
      <c r="I138" s="660">
        <f>'FAK(PAP-02)'!H32</f>
        <v>0</v>
      </c>
      <c r="J138" s="3592"/>
      <c r="K138" s="3593"/>
      <c r="L138" s="3594"/>
      <c r="M138" s="3497"/>
      <c r="N138" s="3497"/>
      <c r="O138" s="3497"/>
      <c r="P138" s="3497"/>
      <c r="Q138" s="3497"/>
      <c r="R138" s="398"/>
      <c r="S138" s="398"/>
      <c r="T138" s="398"/>
      <c r="U138" s="398"/>
      <c r="V138" s="398"/>
      <c r="W138" s="398"/>
      <c r="X138" s="398"/>
      <c r="Y138" s="2308"/>
      <c r="Z138" s="2307"/>
      <c r="AA138" s="2308"/>
      <c r="AB138" s="3558"/>
      <c r="AC138" s="2308"/>
      <c r="AD138" s="2308"/>
      <c r="AE138" s="2308"/>
      <c r="AF138" s="2336"/>
      <c r="AG138" s="2308"/>
      <c r="AH138" s="2308"/>
    </row>
    <row r="139" spans="1:34" s="33" customFormat="1" ht="15" customHeight="1" x14ac:dyDescent="0.35">
      <c r="A139" s="144"/>
      <c r="B139" s="3565" t="s">
        <v>506</v>
      </c>
      <c r="C139" s="3566"/>
      <c r="D139" s="3566"/>
      <c r="E139" s="3567"/>
      <c r="F139" s="659">
        <f>'FAK(PAP-02)'!D33</f>
        <v>698260410</v>
      </c>
      <c r="G139" s="659">
        <f>'FAK(PAP-02)'!E33</f>
        <v>807417117.01999998</v>
      </c>
      <c r="H139" s="659">
        <f>'FAK(PAP-02)'!F33</f>
        <v>469834636.31999999</v>
      </c>
      <c r="I139" s="660">
        <f>'FAK(PAP-02)'!H33</f>
        <v>-0.41810171419940056</v>
      </c>
      <c r="J139" s="3592"/>
      <c r="K139" s="3593"/>
      <c r="L139" s="3594"/>
      <c r="M139" s="3497"/>
      <c r="N139" s="3497"/>
      <c r="O139" s="3497"/>
      <c r="P139" s="3497"/>
      <c r="Q139" s="3497"/>
      <c r="R139" s="398"/>
      <c r="S139" s="398"/>
      <c r="T139" s="398"/>
      <c r="U139" s="398"/>
      <c r="V139" s="398"/>
      <c r="W139" s="398"/>
      <c r="X139" s="398"/>
      <c r="Y139" s="2308"/>
      <c r="Z139" s="2307"/>
      <c r="AA139" s="2308"/>
      <c r="AB139" s="3558"/>
      <c r="AC139" s="2308"/>
      <c r="AD139" s="2308"/>
      <c r="AE139" s="2308"/>
      <c r="AF139" s="2336"/>
      <c r="AG139" s="2308"/>
      <c r="AH139" s="2308"/>
    </row>
    <row r="140" spans="1:34" s="33" customFormat="1" ht="15" customHeight="1" x14ac:dyDescent="0.35">
      <c r="A140" s="144"/>
      <c r="B140" s="3565" t="s">
        <v>507</v>
      </c>
      <c r="C140" s="3566"/>
      <c r="D140" s="3566"/>
      <c r="E140" s="3567"/>
      <c r="F140" s="659">
        <f>'FAK(PAP-02)'!D34</f>
        <v>125065055</v>
      </c>
      <c r="G140" s="659">
        <f>'FAK(PAP-02)'!E34</f>
        <v>133823492</v>
      </c>
      <c r="H140" s="659">
        <f>'FAK(PAP-02)'!F34</f>
        <v>71953129</v>
      </c>
      <c r="I140" s="660">
        <f>'FAK(PAP-02)'!H34</f>
        <v>-0.46232811650139871</v>
      </c>
      <c r="J140" s="3592"/>
      <c r="K140" s="3593"/>
      <c r="L140" s="3594"/>
      <c r="M140" s="3497"/>
      <c r="N140" s="3497"/>
      <c r="O140" s="3497"/>
      <c r="P140" s="3497"/>
      <c r="Q140" s="3497"/>
      <c r="R140" s="398"/>
      <c r="S140" s="398"/>
      <c r="T140" s="398"/>
      <c r="U140" s="398"/>
      <c r="V140" s="398"/>
      <c r="W140" s="398"/>
      <c r="X140" s="398"/>
      <c r="Y140" s="2308"/>
      <c r="Z140" s="2307"/>
      <c r="AA140" s="2308"/>
      <c r="AB140" s="3558"/>
      <c r="AC140" s="2308"/>
      <c r="AD140" s="2308"/>
      <c r="AE140" s="2308"/>
      <c r="AF140" s="2336"/>
      <c r="AG140" s="2308"/>
      <c r="AH140" s="2308"/>
    </row>
    <row r="141" spans="1:34" s="33" customFormat="1" ht="15" customHeight="1" x14ac:dyDescent="0.35">
      <c r="A141" s="144"/>
      <c r="B141" s="3565" t="s">
        <v>508</v>
      </c>
      <c r="C141" s="3566"/>
      <c r="D141" s="3566"/>
      <c r="E141" s="3567"/>
      <c r="F141" s="659">
        <f>'FAK(PAP-02)'!D35</f>
        <v>1315138465</v>
      </c>
      <c r="G141" s="659">
        <f>'FAK(PAP-02)'!E35</f>
        <v>1280204374.21</v>
      </c>
      <c r="H141" s="659">
        <f>'FAK(PAP-02)'!F35</f>
        <v>433945158.24000001</v>
      </c>
      <c r="I141" s="660">
        <f>'FAK(PAP-02)'!H35</f>
        <v>-0.6610344668539484</v>
      </c>
      <c r="J141" s="3592"/>
      <c r="K141" s="3593"/>
      <c r="L141" s="3594"/>
      <c r="M141" s="3497"/>
      <c r="N141" s="3497"/>
      <c r="O141" s="3497"/>
      <c r="P141" s="3497"/>
      <c r="Q141" s="3497"/>
      <c r="R141" s="398"/>
      <c r="S141" s="398"/>
      <c r="T141" s="398"/>
      <c r="U141" s="398"/>
      <c r="V141" s="398"/>
      <c r="W141" s="398"/>
      <c r="X141" s="398"/>
      <c r="Y141" s="2308"/>
      <c r="Z141" s="2307"/>
      <c r="AA141" s="2308"/>
      <c r="AB141" s="3558"/>
      <c r="AC141" s="2308"/>
      <c r="AD141" s="2308"/>
      <c r="AE141" s="2308"/>
      <c r="AF141" s="2336"/>
      <c r="AG141" s="2308"/>
      <c r="AH141" s="2308"/>
    </row>
    <row r="142" spans="1:34" s="33" customFormat="1" ht="15" customHeight="1" x14ac:dyDescent="0.35">
      <c r="A142" s="144"/>
      <c r="B142" s="3581" t="s">
        <v>509</v>
      </c>
      <c r="C142" s="3582"/>
      <c r="D142" s="3582"/>
      <c r="E142" s="3583"/>
      <c r="F142" s="639">
        <f>SUM(F137:F141)</f>
        <v>15666180328</v>
      </c>
      <c r="G142" s="640">
        <f>SUM(G137:G141)</f>
        <v>16487584793.889999</v>
      </c>
      <c r="H142" s="640">
        <f>SUM(H137:H141)</f>
        <v>8464974257.1499996</v>
      </c>
      <c r="I142" s="661">
        <f>'FAK(PAP-02)'!H36</f>
        <v>-0.48658494479513059</v>
      </c>
      <c r="J142" s="3592"/>
      <c r="K142" s="3593"/>
      <c r="L142" s="3594"/>
      <c r="M142" s="3497"/>
      <c r="N142" s="3497"/>
      <c r="O142" s="3497"/>
      <c r="P142" s="3497"/>
      <c r="Q142" s="3497"/>
      <c r="R142" s="398"/>
      <c r="S142" s="398"/>
      <c r="T142" s="398"/>
      <c r="U142" s="398"/>
      <c r="V142" s="398"/>
      <c r="W142" s="398"/>
      <c r="X142" s="398"/>
      <c r="Y142" s="2308"/>
      <c r="Z142" s="2307"/>
      <c r="AA142" s="2308"/>
      <c r="AB142" s="3558"/>
      <c r="AC142" s="2308"/>
      <c r="AD142" s="2308"/>
      <c r="AE142" s="2308"/>
      <c r="AF142" s="2336"/>
      <c r="AG142" s="2308"/>
      <c r="AH142" s="2308"/>
    </row>
    <row r="143" spans="1:34" s="33" customFormat="1" ht="15" customHeight="1" x14ac:dyDescent="0.35">
      <c r="A143" s="144"/>
      <c r="B143" s="3565" t="s">
        <v>510</v>
      </c>
      <c r="C143" s="3566"/>
      <c r="D143" s="3566"/>
      <c r="E143" s="3567"/>
      <c r="F143" s="549"/>
      <c r="G143" s="551"/>
      <c r="H143" s="551"/>
      <c r="I143" s="550"/>
      <c r="J143" s="3592"/>
      <c r="K143" s="3593"/>
      <c r="L143" s="3594"/>
      <c r="M143" s="3497"/>
      <c r="N143" s="3497"/>
      <c r="O143" s="3497"/>
      <c r="P143" s="3497"/>
      <c r="Q143" s="3497"/>
      <c r="R143" s="398"/>
      <c r="S143" s="398"/>
      <c r="T143" s="398"/>
      <c r="U143" s="398"/>
      <c r="V143" s="398"/>
      <c r="W143" s="398"/>
      <c r="X143" s="398"/>
      <c r="Y143" s="2308"/>
      <c r="Z143" s="2307"/>
      <c r="AA143" s="2308"/>
      <c r="AB143" s="3558"/>
      <c r="AC143" s="2308"/>
      <c r="AD143" s="2308"/>
      <c r="AE143" s="2308"/>
      <c r="AF143" s="2336"/>
      <c r="AG143" s="2308"/>
      <c r="AH143" s="2308"/>
    </row>
    <row r="144" spans="1:34" s="33" customFormat="1" ht="15" customHeight="1" x14ac:dyDescent="0.35">
      <c r="A144" s="144"/>
      <c r="B144" s="3565" t="s">
        <v>1572</v>
      </c>
      <c r="C144" s="3566"/>
      <c r="D144" s="3566"/>
      <c r="E144" s="3567"/>
      <c r="F144" s="659">
        <f>'FAK(PAP-02)'!D38</f>
        <v>-411742345</v>
      </c>
      <c r="G144" s="659">
        <f>'FAK(PAP-02)'!E38</f>
        <v>-394916735</v>
      </c>
      <c r="H144" s="659">
        <f>'FAK(PAP-02)'!F38</f>
        <v>-232050077</v>
      </c>
      <c r="I144" s="660">
        <f>'FAK(PAP-02)'!H38</f>
        <v>-0.4124075876399616</v>
      </c>
      <c r="J144" s="3592"/>
      <c r="K144" s="3593"/>
      <c r="L144" s="3594"/>
      <c r="M144" s="3497"/>
      <c r="N144" s="3497"/>
      <c r="O144" s="3497"/>
      <c r="P144" s="3497"/>
      <c r="Q144" s="3497"/>
      <c r="R144" s="398"/>
      <c r="S144" s="398"/>
      <c r="T144" s="398"/>
      <c r="U144" s="398"/>
      <c r="V144" s="398"/>
      <c r="W144" s="398"/>
      <c r="X144" s="398"/>
      <c r="Y144" s="2308"/>
      <c r="Z144" s="2307"/>
      <c r="AA144" s="2308"/>
      <c r="AB144" s="3558"/>
      <c r="AC144" s="2308"/>
      <c r="AD144" s="2308"/>
      <c r="AE144" s="2308"/>
      <c r="AF144" s="2336"/>
      <c r="AG144" s="2308"/>
      <c r="AH144" s="2308"/>
    </row>
    <row r="145" spans="1:34" s="33" customFormat="1" ht="15" customHeight="1" x14ac:dyDescent="0.35">
      <c r="A145" s="144"/>
      <c r="B145" s="3565" t="s">
        <v>512</v>
      </c>
      <c r="C145" s="3566"/>
      <c r="D145" s="3566"/>
      <c r="E145" s="3567"/>
      <c r="F145" s="659">
        <f>'FAK(PAP-02)'!D39</f>
        <v>0</v>
      </c>
      <c r="G145" s="659">
        <f>'FAK(PAP-02)'!E39</f>
        <v>0</v>
      </c>
      <c r="H145" s="659">
        <f>'FAK(PAP-02)'!F39</f>
        <v>0</v>
      </c>
      <c r="I145" s="660">
        <f>'FAK(PAP-02)'!H39</f>
        <v>0</v>
      </c>
      <c r="J145" s="3592"/>
      <c r="K145" s="3593"/>
      <c r="L145" s="3594"/>
      <c r="M145" s="3497"/>
      <c r="N145" s="3497"/>
      <c r="O145" s="3497"/>
      <c r="P145" s="3497"/>
      <c r="Q145" s="3497"/>
      <c r="R145" s="398"/>
      <c r="S145" s="398"/>
      <c r="T145" s="398"/>
      <c r="U145" s="398"/>
      <c r="V145" s="398"/>
      <c r="W145" s="398"/>
      <c r="X145" s="398"/>
      <c r="Y145" s="2308"/>
      <c r="Z145" s="2307"/>
      <c r="AA145" s="2308"/>
      <c r="AB145" s="3558"/>
      <c r="AC145" s="2308"/>
      <c r="AD145" s="2308"/>
      <c r="AE145" s="2308"/>
      <c r="AF145" s="2336"/>
      <c r="AG145" s="2308"/>
      <c r="AH145" s="2308"/>
    </row>
    <row r="146" spans="1:34" s="33" customFormat="1" ht="26.25" customHeight="1" x14ac:dyDescent="0.35">
      <c r="A146" s="144"/>
      <c r="B146" s="3568" t="s">
        <v>1573</v>
      </c>
      <c r="C146" s="3566"/>
      <c r="D146" s="3566"/>
      <c r="E146" s="3567"/>
      <c r="F146" s="659">
        <f>'FAK(PAP-02)'!D40</f>
        <v>-6761119301</v>
      </c>
      <c r="G146" s="659">
        <f>'FAK(PAP-02)'!E40</f>
        <v>-7896634448.5900002</v>
      </c>
      <c r="H146" s="659">
        <f>'FAK(PAP-02)'!F40</f>
        <v>-4034474249.4200001</v>
      </c>
      <c r="I146" s="660">
        <f>'FAK(PAP-02)'!H40</f>
        <v>-0.48908939932753454</v>
      </c>
      <c r="J146" s="3592"/>
      <c r="K146" s="3593"/>
      <c r="L146" s="3594"/>
      <c r="M146" s="3497"/>
      <c r="N146" s="3497"/>
      <c r="O146" s="3497"/>
      <c r="P146" s="3497"/>
      <c r="Q146" s="3497"/>
      <c r="R146" s="398"/>
      <c r="S146" s="398"/>
      <c r="T146" s="398"/>
      <c r="U146" s="398"/>
      <c r="V146" s="398"/>
      <c r="W146" s="398"/>
      <c r="X146" s="398"/>
      <c r="Y146" s="2308"/>
      <c r="Z146" s="2307"/>
      <c r="AA146" s="2308"/>
      <c r="AB146" s="3558"/>
      <c r="AC146" s="2308"/>
      <c r="AD146" s="2308"/>
      <c r="AE146" s="2308"/>
      <c r="AF146" s="2336"/>
      <c r="AG146" s="2308"/>
      <c r="AH146" s="2308"/>
    </row>
    <row r="147" spans="1:34" s="33" customFormat="1" ht="15" customHeight="1" x14ac:dyDescent="0.35">
      <c r="A147" s="144"/>
      <c r="B147" s="3565" t="s">
        <v>514</v>
      </c>
      <c r="C147" s="3566"/>
      <c r="D147" s="3566"/>
      <c r="E147" s="3567"/>
      <c r="F147" s="659">
        <f>'FAK(PAP-02)'!D41</f>
        <v>-1622806032</v>
      </c>
      <c r="G147" s="659">
        <f>'FAK(PAP-02)'!E41</f>
        <v>-1765717437.1500001</v>
      </c>
      <c r="H147" s="659">
        <f>'FAK(PAP-02)'!F41</f>
        <v>-1008209102.88</v>
      </c>
      <c r="I147" s="660">
        <f>'FAK(PAP-02)'!H41</f>
        <v>-0.42900880873254282</v>
      </c>
      <c r="J147" s="3592"/>
      <c r="K147" s="3593"/>
      <c r="L147" s="3594"/>
      <c r="M147" s="3497"/>
      <c r="N147" s="3497"/>
      <c r="O147" s="3497"/>
      <c r="P147" s="3497"/>
      <c r="Q147" s="3497"/>
      <c r="R147" s="398"/>
      <c r="S147" s="398"/>
      <c r="T147" s="398"/>
      <c r="U147" s="398"/>
      <c r="V147" s="398"/>
      <c r="W147" s="398"/>
      <c r="X147" s="398"/>
      <c r="Y147" s="2308"/>
      <c r="Z147" s="2307"/>
      <c r="AA147" s="2308"/>
      <c r="AB147" s="3558"/>
      <c r="AC147" s="2308"/>
      <c r="AD147" s="2308"/>
      <c r="AE147" s="2308"/>
      <c r="AF147" s="2336"/>
      <c r="AG147" s="2308"/>
      <c r="AH147" s="2308"/>
    </row>
    <row r="148" spans="1:34" s="33" customFormat="1" ht="15" customHeight="1" x14ac:dyDescent="0.35">
      <c r="A148" s="144"/>
      <c r="B148" s="3581" t="s">
        <v>515</v>
      </c>
      <c r="C148" s="3582"/>
      <c r="D148" s="3582"/>
      <c r="E148" s="3583"/>
      <c r="F148" s="662">
        <f>SUM(F144:F147)</f>
        <v>-8795667678</v>
      </c>
      <c r="G148" s="663">
        <f>SUM(G144:G147)</f>
        <v>-10057268620.74</v>
      </c>
      <c r="H148" s="663">
        <f>SUM(H144:H147)</f>
        <v>-5274733429.3000002</v>
      </c>
      <c r="I148" s="661">
        <f>'FAK(PAP-02)'!H42:J42</f>
        <v>0</v>
      </c>
      <c r="J148" s="3592"/>
      <c r="K148" s="3593"/>
      <c r="L148" s="3594"/>
      <c r="M148" s="3497"/>
      <c r="N148" s="3497"/>
      <c r="O148" s="3497"/>
      <c r="P148" s="3497"/>
      <c r="Q148" s="3497"/>
      <c r="R148" s="398"/>
      <c r="S148" s="398"/>
      <c r="T148" s="398"/>
      <c r="U148" s="398"/>
      <c r="V148" s="398"/>
      <c r="W148" s="398"/>
      <c r="X148" s="398"/>
      <c r="Y148" s="2308"/>
      <c r="Z148" s="2307"/>
      <c r="AA148" s="2308"/>
      <c r="AB148" s="3558"/>
      <c r="AC148" s="2308"/>
      <c r="AD148" s="2308"/>
      <c r="AE148" s="2308"/>
      <c r="AF148" s="2336"/>
      <c r="AG148" s="2308"/>
      <c r="AH148" s="2308"/>
    </row>
    <row r="149" spans="1:34" s="33" customFormat="1" ht="15" customHeight="1" x14ac:dyDescent="0.35">
      <c r="A149" s="144"/>
      <c r="B149" s="3565"/>
      <c r="C149" s="3566"/>
      <c r="D149" s="3566"/>
      <c r="E149" s="3567"/>
      <c r="F149" s="549"/>
      <c r="G149" s="551"/>
      <c r="H149" s="551"/>
      <c r="I149" s="550"/>
      <c r="J149" s="3592"/>
      <c r="K149" s="3593"/>
      <c r="L149" s="3594"/>
      <c r="M149" s="3497"/>
      <c r="N149" s="3497"/>
      <c r="O149" s="3497"/>
      <c r="P149" s="3497"/>
      <c r="Q149" s="3497"/>
      <c r="R149" s="398"/>
      <c r="S149" s="398"/>
      <c r="T149" s="398"/>
      <c r="U149" s="398"/>
      <c r="V149" s="398"/>
      <c r="W149" s="398"/>
      <c r="X149" s="398"/>
      <c r="Y149" s="2308"/>
      <c r="Z149" s="2307"/>
      <c r="AA149" s="2308"/>
      <c r="AB149" s="3558"/>
      <c r="AC149" s="2308"/>
      <c r="AD149" s="2308"/>
      <c r="AE149" s="2308"/>
      <c r="AF149" s="2336"/>
      <c r="AG149" s="2308"/>
      <c r="AH149" s="2308"/>
    </row>
    <row r="150" spans="1:34" s="33" customFormat="1" ht="15" customHeight="1" x14ac:dyDescent="0.25">
      <c r="A150" s="378"/>
      <c r="B150" s="3581" t="s">
        <v>516</v>
      </c>
      <c r="C150" s="3582"/>
      <c r="D150" s="3582"/>
      <c r="E150" s="3583"/>
      <c r="F150" s="639">
        <f>F142-F148</f>
        <v>24461848006</v>
      </c>
      <c r="G150" s="640">
        <f>G142-G148</f>
        <v>26544853414.629997</v>
      </c>
      <c r="H150" s="640">
        <f>H142-H148</f>
        <v>13739707686.450001</v>
      </c>
      <c r="I150" s="661">
        <f>'FAK(PAP-02)'!H44:J44</f>
        <v>0</v>
      </c>
      <c r="J150" s="3592"/>
      <c r="K150" s="3593"/>
      <c r="L150" s="3594"/>
      <c r="M150" s="3497"/>
      <c r="N150" s="3497"/>
      <c r="O150" s="3497"/>
      <c r="P150" s="3497"/>
      <c r="Q150" s="3497"/>
      <c r="R150" s="398"/>
      <c r="S150" s="398"/>
      <c r="T150" s="398"/>
      <c r="U150" s="398"/>
      <c r="V150" s="398"/>
      <c r="W150" s="398"/>
      <c r="X150" s="398"/>
      <c r="Y150" s="2308"/>
      <c r="Z150" s="2307"/>
      <c r="AA150" s="2308"/>
      <c r="AB150" s="3558"/>
      <c r="AC150" s="2308"/>
      <c r="AD150" s="2308"/>
      <c r="AE150" s="2308"/>
      <c r="AF150" s="2336"/>
      <c r="AG150" s="2308"/>
      <c r="AH150" s="2308"/>
    </row>
    <row r="151" spans="1:34" s="33" customFormat="1" ht="15" customHeight="1" x14ac:dyDescent="0.25">
      <c r="A151" s="378"/>
      <c r="B151" s="3565" t="s">
        <v>517</v>
      </c>
      <c r="C151" s="3566"/>
      <c r="D151" s="3566"/>
      <c r="E151" s="3567"/>
      <c r="F151" s="659">
        <f>'FAK(PAP-02)'!D45</f>
        <v>96917640</v>
      </c>
      <c r="G151" s="659">
        <f>'FAK(PAP-02)'!E45</f>
        <v>84313866.25</v>
      </c>
      <c r="H151" s="659">
        <f>'FAK(PAP-02)'!F45</f>
        <v>62751533.18</v>
      </c>
      <c r="I151" s="660">
        <f>'FAK(PAP-02)'!H45</f>
        <v>-0.2557388722522258</v>
      </c>
      <c r="J151" s="3592"/>
      <c r="K151" s="3593"/>
      <c r="L151" s="3594"/>
      <c r="M151" s="3497"/>
      <c r="N151" s="3497"/>
      <c r="O151" s="3497"/>
      <c r="P151" s="3497"/>
      <c r="Q151" s="3497"/>
      <c r="R151" s="398"/>
      <c r="S151" s="398"/>
      <c r="T151" s="398"/>
      <c r="U151" s="398"/>
      <c r="V151" s="398"/>
      <c r="W151" s="398"/>
      <c r="X151" s="398"/>
      <c r="Y151" s="2308"/>
      <c r="Z151" s="2307"/>
      <c r="AA151" s="2308"/>
      <c r="AB151" s="3558"/>
      <c r="AC151" s="2308"/>
      <c r="AD151" s="2308"/>
      <c r="AE151" s="2308"/>
      <c r="AF151" s="2336"/>
      <c r="AG151" s="2308"/>
      <c r="AH151" s="2308"/>
    </row>
    <row r="152" spans="1:34" s="33" customFormat="1" ht="15" customHeight="1" x14ac:dyDescent="0.25">
      <c r="A152" s="378"/>
      <c r="B152" s="3565" t="s">
        <v>518</v>
      </c>
      <c r="C152" s="3566"/>
      <c r="D152" s="3566"/>
      <c r="E152" s="3567"/>
      <c r="F152" s="659">
        <f>'FAK(PAP-02)'!D46</f>
        <v>-187118786</v>
      </c>
      <c r="G152" s="659">
        <f>'FAK(PAP-02)'!E46</f>
        <v>-103275758</v>
      </c>
      <c r="H152" s="659">
        <f>'FAK(PAP-02)'!F46</f>
        <v>-27229692</v>
      </c>
      <c r="I152" s="660">
        <f>'FAK(PAP-02)'!H46</f>
        <v>-0.73633994533354086</v>
      </c>
      <c r="J152" s="3592"/>
      <c r="K152" s="3593"/>
      <c r="L152" s="3594"/>
      <c r="M152" s="3497"/>
      <c r="N152" s="3497"/>
      <c r="O152" s="3497"/>
      <c r="P152" s="3497"/>
      <c r="Q152" s="3497"/>
      <c r="R152" s="398"/>
      <c r="S152" s="398"/>
      <c r="T152" s="398"/>
      <c r="U152" s="398"/>
      <c r="V152" s="398"/>
      <c r="W152" s="398"/>
      <c r="X152" s="398"/>
      <c r="Y152" s="2308"/>
      <c r="Z152" s="2307"/>
      <c r="AA152" s="2308"/>
      <c r="AB152" s="3558"/>
      <c r="AC152" s="2308"/>
      <c r="AD152" s="2308"/>
      <c r="AE152" s="2308"/>
      <c r="AF152" s="2336"/>
      <c r="AG152" s="2308"/>
      <c r="AH152" s="2308"/>
    </row>
    <row r="153" spans="1:34" s="33" customFormat="1" ht="15" customHeight="1" x14ac:dyDescent="0.35">
      <c r="A153" s="378"/>
      <c r="B153" s="3581" t="s">
        <v>519</v>
      </c>
      <c r="C153" s="3582"/>
      <c r="D153" s="3582"/>
      <c r="E153" s="3583"/>
      <c r="F153" s="662">
        <f>F151+F152</f>
        <v>-90201146</v>
      </c>
      <c r="G153" s="663">
        <f>G151+G152</f>
        <v>-18961891.75</v>
      </c>
      <c r="H153" s="663">
        <f>H151+H152</f>
        <v>35521841.18</v>
      </c>
      <c r="I153" s="661">
        <f>'FAK(PAP-02)'!H47:J47</f>
        <v>0</v>
      </c>
      <c r="J153" s="3592"/>
      <c r="K153" s="3593"/>
      <c r="L153" s="3594"/>
      <c r="M153" s="3497"/>
      <c r="N153" s="3497"/>
      <c r="O153" s="3497"/>
      <c r="P153" s="3497"/>
      <c r="Q153" s="3497"/>
      <c r="R153" s="398"/>
      <c r="S153" s="398"/>
      <c r="T153" s="398"/>
      <c r="U153" s="398"/>
      <c r="V153" s="398"/>
      <c r="W153" s="398"/>
      <c r="X153" s="398"/>
      <c r="Y153" s="2308"/>
      <c r="Z153" s="2307"/>
      <c r="AA153" s="2308"/>
      <c r="AB153" s="3558"/>
      <c r="AC153" s="2308"/>
      <c r="AD153" s="2308"/>
      <c r="AE153" s="2308"/>
      <c r="AF153" s="2336"/>
      <c r="AG153" s="2308"/>
      <c r="AH153" s="2308"/>
    </row>
    <row r="154" spans="1:34" s="33" customFormat="1" ht="15" customHeight="1" x14ac:dyDescent="0.25">
      <c r="A154" s="378"/>
      <c r="B154" s="3565" t="s">
        <v>1574</v>
      </c>
      <c r="C154" s="3566"/>
      <c r="D154" s="3566"/>
      <c r="E154" s="3567"/>
      <c r="F154" s="659">
        <f>'FAK(PAP-02)'!D48</f>
        <v>6780311504</v>
      </c>
      <c r="G154" s="659">
        <f>'FAK(PAP-02)'!E48</f>
        <v>6411354281.3999996</v>
      </c>
      <c r="H154" s="659">
        <f>'FAK(PAP-02)'!F48</f>
        <v>3225762669.0299993</v>
      </c>
      <c r="I154" s="660">
        <f>'FAK(PAP-02)'!H48</f>
        <v>-0.49686719412959762</v>
      </c>
      <c r="J154" s="3592"/>
      <c r="K154" s="3593"/>
      <c r="L154" s="3594"/>
      <c r="M154" s="3497"/>
      <c r="N154" s="3497"/>
      <c r="O154" s="3497"/>
      <c r="P154" s="3497"/>
      <c r="Q154" s="3497"/>
      <c r="R154" s="398"/>
      <c r="S154" s="398"/>
      <c r="T154" s="398"/>
      <c r="U154" s="398"/>
      <c r="V154" s="398"/>
      <c r="W154" s="398"/>
      <c r="X154" s="398"/>
      <c r="Y154" s="2308"/>
      <c r="Z154" s="2307"/>
      <c r="AA154" s="2308"/>
      <c r="AB154" s="3558"/>
      <c r="AC154" s="2308"/>
      <c r="AD154" s="2308"/>
      <c r="AE154" s="2308"/>
      <c r="AF154" s="2336"/>
      <c r="AG154" s="2308"/>
      <c r="AH154" s="2308"/>
    </row>
    <row r="155" spans="1:34" s="33" customFormat="1" ht="15" customHeight="1" x14ac:dyDescent="0.25">
      <c r="A155" s="378"/>
      <c r="B155" s="3565" t="s">
        <v>1575</v>
      </c>
      <c r="C155" s="3566"/>
      <c r="D155" s="3566"/>
      <c r="E155" s="3567"/>
      <c r="F155" s="664">
        <f>'FAK(PAP-02)'!D49</f>
        <v>0</v>
      </c>
      <c r="G155" s="664">
        <f>'FAK(PAP-02)'!E49</f>
        <v>0</v>
      </c>
      <c r="H155" s="664">
        <f>'FAK(PAP-02)'!F49</f>
        <v>0</v>
      </c>
      <c r="I155" s="660">
        <f>'FAK(PAP-02)'!H49</f>
        <v>0</v>
      </c>
      <c r="J155" s="3592"/>
      <c r="K155" s="3593"/>
      <c r="L155" s="3594"/>
      <c r="M155" s="3497"/>
      <c r="N155" s="3497"/>
      <c r="O155" s="3497"/>
      <c r="P155" s="3497"/>
      <c r="Q155" s="3497"/>
      <c r="R155" s="398"/>
      <c r="S155" s="398"/>
      <c r="T155" s="398"/>
      <c r="U155" s="398"/>
      <c r="V155" s="398"/>
      <c r="W155" s="398"/>
      <c r="X155" s="398"/>
      <c r="Y155" s="2308"/>
      <c r="Z155" s="2307"/>
      <c r="AA155" s="2308"/>
      <c r="AB155" s="3558"/>
      <c r="AC155" s="2308"/>
      <c r="AD155" s="2308"/>
      <c r="AE155" s="2308"/>
      <c r="AF155" s="2336"/>
      <c r="AG155" s="2308"/>
      <c r="AH155" s="2308"/>
    </row>
    <row r="156" spans="1:34" s="33" customFormat="1" ht="15" customHeight="1" x14ac:dyDescent="0.25">
      <c r="A156" s="378"/>
      <c r="B156" s="3565" t="s">
        <v>522</v>
      </c>
      <c r="C156" s="3566"/>
      <c r="D156" s="3566"/>
      <c r="E156" s="3567"/>
      <c r="F156" s="664">
        <f>'FAK(PAP-02)'!D50</f>
        <v>-1471755258</v>
      </c>
      <c r="G156" s="664">
        <f>'FAK(PAP-02)'!E50</f>
        <v>-1397025442.96</v>
      </c>
      <c r="H156" s="664">
        <f>'FAK(PAP-02)'!F50</f>
        <v>-761315576</v>
      </c>
      <c r="I156" s="660">
        <f>'FAK(PAP-02)'!H50</f>
        <v>-0.45504530369401569</v>
      </c>
      <c r="J156" s="3592"/>
      <c r="K156" s="3593"/>
      <c r="L156" s="3594"/>
      <c r="M156" s="3497"/>
      <c r="N156" s="3497"/>
      <c r="O156" s="3497"/>
      <c r="P156" s="3497"/>
      <c r="Q156" s="3497"/>
      <c r="R156" s="398"/>
      <c r="S156" s="398"/>
      <c r="T156" s="398"/>
      <c r="U156" s="398"/>
      <c r="V156" s="398"/>
      <c r="W156" s="398"/>
      <c r="X156" s="398"/>
      <c r="Y156" s="2308"/>
      <c r="Z156" s="2307"/>
      <c r="AA156" s="2308"/>
      <c r="AB156" s="3558"/>
      <c r="AC156" s="2308"/>
      <c r="AD156" s="2308"/>
      <c r="AE156" s="2308"/>
      <c r="AF156" s="2336"/>
      <c r="AG156" s="2308"/>
      <c r="AH156" s="2308"/>
    </row>
    <row r="157" spans="1:34" s="33" customFormat="1" ht="15" customHeight="1" x14ac:dyDescent="0.25">
      <c r="A157" s="378"/>
      <c r="B157" s="3565"/>
      <c r="C157" s="3566"/>
      <c r="D157" s="3566"/>
      <c r="E157" s="3567"/>
      <c r="F157" s="552"/>
      <c r="G157" s="553"/>
      <c r="H157" s="554"/>
      <c r="I157" s="555"/>
      <c r="J157" s="3592"/>
      <c r="K157" s="3593"/>
      <c r="L157" s="3594"/>
      <c r="M157" s="3497"/>
      <c r="N157" s="3497"/>
      <c r="O157" s="3497"/>
      <c r="P157" s="3497"/>
      <c r="Q157" s="3497"/>
      <c r="R157" s="398"/>
      <c r="S157" s="398"/>
      <c r="T157" s="398"/>
      <c r="U157" s="398"/>
      <c r="V157" s="398"/>
      <c r="W157" s="398"/>
      <c r="X157" s="398"/>
      <c r="Y157" s="2308"/>
      <c r="Z157" s="2307"/>
      <c r="AA157" s="2308"/>
      <c r="AB157" s="3558"/>
      <c r="AC157" s="2308"/>
      <c r="AD157" s="2308"/>
      <c r="AE157" s="2308"/>
      <c r="AF157" s="2336"/>
      <c r="AG157" s="2308"/>
      <c r="AH157" s="2308"/>
    </row>
    <row r="158" spans="1:34" s="33" customFormat="1" ht="15" customHeight="1" thickBot="1" x14ac:dyDescent="0.4">
      <c r="A158" s="378"/>
      <c r="B158" s="3824" t="s">
        <v>1576</v>
      </c>
      <c r="C158" s="3825"/>
      <c r="D158" s="3825"/>
      <c r="E158" s="3826"/>
      <c r="F158" s="665">
        <f>F154+F155+F156</f>
        <v>5308556246</v>
      </c>
      <c r="G158" s="666">
        <f>G154+G155+G156</f>
        <v>5014328838.4399996</v>
      </c>
      <c r="H158" s="666">
        <f>H154+H155+H156</f>
        <v>2464447093.0299993</v>
      </c>
      <c r="I158" s="667">
        <f>'FAK(PAP-02)'!H52</f>
        <v>-0.50851905161514899</v>
      </c>
      <c r="J158" s="3595"/>
      <c r="K158" s="3596"/>
      <c r="L158" s="3597"/>
      <c r="M158" s="3497"/>
      <c r="N158" s="3497"/>
      <c r="O158" s="3497"/>
      <c r="P158" s="3497"/>
      <c r="Q158" s="3497"/>
      <c r="R158" s="398"/>
      <c r="S158" s="398"/>
      <c r="T158" s="398"/>
      <c r="U158" s="398"/>
      <c r="V158" s="398"/>
      <c r="W158" s="398"/>
      <c r="X158" s="398"/>
      <c r="Y158" s="2308"/>
      <c r="Z158" s="2307"/>
      <c r="AA158" s="2308"/>
      <c r="AB158" s="3558"/>
      <c r="AC158" s="2308"/>
      <c r="AD158" s="2308"/>
      <c r="AE158" s="2308"/>
      <c r="AF158" s="2336"/>
      <c r="AG158" s="2308"/>
      <c r="AH158" s="2308"/>
    </row>
    <row r="159" spans="1:34" s="33" customFormat="1" ht="27.75" customHeight="1" x14ac:dyDescent="0.35">
      <c r="A159" s="481"/>
      <c r="B159" s="3559" t="s">
        <v>1796</v>
      </c>
      <c r="C159" s="3559"/>
      <c r="D159" s="3559"/>
      <c r="E159" s="3559"/>
      <c r="F159" s="3560"/>
      <c r="G159" s="3560"/>
      <c r="H159" s="3560"/>
      <c r="I159" s="3559"/>
      <c r="J159" s="3561" t="s">
        <v>184</v>
      </c>
      <c r="K159" s="3561"/>
      <c r="L159" s="3561"/>
      <c r="M159" s="1469">
        <f>COUNTIF(AB136,"1")*M135</f>
        <v>0</v>
      </c>
      <c r="N159" s="650">
        <f>COUNTIF(AB136,"2")*N135</f>
        <v>0</v>
      </c>
      <c r="O159" s="1469">
        <f>COUNTIF(AB136,"3")*O135</f>
        <v>0</v>
      </c>
      <c r="P159" s="1469">
        <f>COUNTIF(AB136,"4")*139</f>
        <v>139</v>
      </c>
      <c r="Q159" s="1469">
        <f>COUNTIF(AB136,"5")*Q135</f>
        <v>0</v>
      </c>
      <c r="R159" s="433"/>
      <c r="S159" s="433"/>
      <c r="T159" s="433"/>
      <c r="U159" s="433"/>
      <c r="V159" s="433"/>
      <c r="W159" s="433"/>
      <c r="X159" s="433"/>
      <c r="Y159" s="2309"/>
      <c r="Z159" s="2309"/>
      <c r="AA159" s="2309"/>
      <c r="AB159" s="2309"/>
      <c r="AC159" s="2309"/>
      <c r="AD159" s="2309"/>
      <c r="AE159" s="2308"/>
      <c r="AF159" s="2336"/>
      <c r="AG159" s="2308"/>
      <c r="AH159" s="2308"/>
    </row>
    <row r="160" spans="1:34" s="33" customFormat="1" ht="44.25" customHeight="1" x14ac:dyDescent="0.35">
      <c r="A160" s="481"/>
      <c r="B160" s="3560"/>
      <c r="C160" s="3560"/>
      <c r="D160" s="3560"/>
      <c r="E160" s="3560"/>
      <c r="F160" s="3560"/>
      <c r="G160" s="3560"/>
      <c r="H160" s="3560"/>
      <c r="I160" s="3560"/>
      <c r="J160" s="3561"/>
      <c r="K160" s="3561"/>
      <c r="L160" s="3561"/>
      <c r="M160" s="3240">
        <f>SUM(M159:Q159)</f>
        <v>139</v>
      </c>
      <c r="N160" s="3241"/>
      <c r="O160" s="3241"/>
      <c r="P160" s="3241"/>
      <c r="Q160" s="3242"/>
      <c r="R160" s="433"/>
      <c r="S160" s="433"/>
      <c r="T160" s="433"/>
      <c r="U160" s="433"/>
      <c r="V160" s="433"/>
      <c r="W160" s="433"/>
      <c r="X160" s="433"/>
      <c r="Y160" s="2309"/>
      <c r="Z160" s="2309"/>
      <c r="AA160" s="2309"/>
      <c r="AB160" s="2309"/>
      <c r="AC160" s="2309"/>
      <c r="AD160" s="2309"/>
      <c r="AE160" s="2308"/>
      <c r="AF160" s="2336"/>
      <c r="AG160" s="2308"/>
      <c r="AH160" s="2308"/>
    </row>
    <row r="161" spans="1:34" s="33" customFormat="1" ht="83.25" customHeight="1" x14ac:dyDescent="0.35">
      <c r="A161" s="481"/>
      <c r="B161" s="3560"/>
      <c r="C161" s="3560"/>
      <c r="D161" s="3560"/>
      <c r="E161" s="3560"/>
      <c r="F161" s="3560"/>
      <c r="G161" s="3560"/>
      <c r="H161" s="3560"/>
      <c r="I161" s="3560"/>
      <c r="J161" s="3561"/>
      <c r="K161" s="3561"/>
      <c r="L161" s="3561"/>
      <c r="M161" s="3361">
        <f>IFERROR((M160/AF161),"0")</f>
        <v>139</v>
      </c>
      <c r="N161" s="3362"/>
      <c r="O161" s="2995" t="str">
        <f>IF(ROUND(M161,0)=1,"Sangat Tidak Memenuhi Syarat",IF(ROUND(M161,0)=2,"Tidak Memenuhi Syarat",IF(ROUND(M161,0)=3,"Cukup Memenuhi Syarat",IF(ROUND(M161,0)=4,"Memenuhi Syarat",IF(ROUND(M161,0)&gt;=5,"Sangat Memenuhi Syarat")))))</f>
        <v>Sangat Memenuhi Syarat</v>
      </c>
      <c r="P161" s="2995"/>
      <c r="Q161" s="2995"/>
      <c r="R161" s="433"/>
      <c r="S161" s="433"/>
      <c r="T161" s="433"/>
      <c r="U161" s="433"/>
      <c r="V161" s="433"/>
      <c r="W161" s="433"/>
      <c r="X161" s="433"/>
      <c r="Y161" s="2309"/>
      <c r="Z161" s="2309"/>
      <c r="AA161" s="2309"/>
      <c r="AB161" s="2309"/>
      <c r="AC161" s="2309"/>
      <c r="AD161" s="2308"/>
      <c r="AE161" s="2308"/>
      <c r="AF161" s="2337">
        <f>COUNTIF(AB136,"&gt;0")</f>
        <v>1</v>
      </c>
      <c r="AG161" s="2308"/>
      <c r="AH161" s="2308"/>
    </row>
    <row r="162" spans="1:34" s="33" customFormat="1" ht="15" customHeight="1" x14ac:dyDescent="0.25">
      <c r="A162" s="481"/>
      <c r="B162" s="481"/>
      <c r="C162" s="481"/>
      <c r="D162" s="481"/>
      <c r="E162" s="481"/>
      <c r="F162" s="481"/>
      <c r="G162" s="481"/>
      <c r="H162" s="478"/>
      <c r="I162" s="479"/>
      <c r="J162" s="477"/>
      <c r="K162" s="478"/>
      <c r="L162" s="479"/>
      <c r="M162" s="477"/>
      <c r="N162" s="478"/>
      <c r="O162" s="482"/>
      <c r="P162" s="398"/>
      <c r="Q162" s="398"/>
      <c r="R162" s="398"/>
      <c r="S162" s="398"/>
      <c r="T162" s="398"/>
      <c r="U162" s="398"/>
      <c r="V162" s="398"/>
      <c r="W162" s="398"/>
      <c r="X162" s="398"/>
      <c r="Y162" s="2308"/>
      <c r="Z162" s="2307"/>
      <c r="AA162" s="2308"/>
      <c r="AB162" s="2307"/>
      <c r="AC162" s="2308"/>
      <c r="AD162" s="2308"/>
      <c r="AE162" s="2308"/>
      <c r="AF162" s="2336"/>
      <c r="AG162" s="2308"/>
      <c r="AH162" s="2308"/>
    </row>
    <row r="163" spans="1:34" s="33" customFormat="1" ht="15" customHeight="1" x14ac:dyDescent="0.25">
      <c r="A163" s="481"/>
      <c r="B163" s="481"/>
      <c r="C163" s="481"/>
      <c r="D163" s="481"/>
      <c r="E163" s="481"/>
      <c r="F163" s="481"/>
      <c r="G163" s="481"/>
      <c r="H163" s="478"/>
      <c r="I163" s="479"/>
      <c r="J163" s="477"/>
      <c r="K163" s="478"/>
      <c r="L163" s="479"/>
      <c r="M163" s="477"/>
      <c r="N163" s="478"/>
      <c r="O163" s="483"/>
      <c r="P163" s="398"/>
      <c r="Q163" s="398"/>
      <c r="R163" s="398"/>
      <c r="S163" s="398"/>
      <c r="T163" s="398"/>
      <c r="U163" s="398"/>
      <c r="V163" s="398"/>
      <c r="W163" s="398"/>
      <c r="X163" s="398"/>
      <c r="Y163" s="2308"/>
      <c r="Z163" s="2307"/>
      <c r="AA163" s="2308"/>
      <c r="AB163" s="2307"/>
      <c r="AC163" s="2308"/>
      <c r="AD163" s="2308"/>
      <c r="AE163" s="2308"/>
      <c r="AF163" s="2336"/>
      <c r="AG163" s="2308"/>
      <c r="AH163" s="2308"/>
    </row>
    <row r="164" spans="1:34" s="16" customFormat="1" ht="14.25" customHeight="1" x14ac:dyDescent="0.35">
      <c r="A164" s="2164"/>
      <c r="B164" s="600" t="s">
        <v>49</v>
      </c>
      <c r="C164" s="600"/>
      <c r="D164" s="600"/>
      <c r="E164" s="600"/>
      <c r="F164" s="600"/>
      <c r="G164" s="600"/>
      <c r="H164" s="600"/>
      <c r="I164" s="600"/>
      <c r="J164" s="600"/>
      <c r="K164" s="600"/>
      <c r="L164" s="600"/>
      <c r="M164" s="2356"/>
      <c r="N164" s="2356"/>
      <c r="O164" s="2356"/>
      <c r="P164" s="2356"/>
      <c r="Q164" s="2356"/>
      <c r="R164" s="471"/>
      <c r="S164" s="471"/>
      <c r="T164" s="471"/>
      <c r="U164" s="471"/>
      <c r="V164" s="471"/>
      <c r="W164" s="471"/>
      <c r="X164" s="471"/>
      <c r="Y164" s="2303"/>
      <c r="Z164" s="2301"/>
      <c r="AA164" s="2302"/>
      <c r="AB164" s="2301"/>
      <c r="AC164" s="2302"/>
      <c r="AD164" s="2302"/>
      <c r="AE164" s="2302"/>
      <c r="AF164" s="2334"/>
      <c r="AG164" s="2302"/>
      <c r="AH164" s="2302"/>
    </row>
    <row r="165" spans="1:34" s="16" customFormat="1" ht="15" x14ac:dyDescent="0.35">
      <c r="A165" s="600"/>
      <c r="B165" s="3544" t="s">
        <v>337</v>
      </c>
      <c r="C165" s="3544"/>
      <c r="D165" s="3544"/>
      <c r="E165" s="3544"/>
      <c r="F165" s="3544"/>
      <c r="G165" s="3544"/>
      <c r="H165" s="3544"/>
      <c r="I165" s="3544"/>
      <c r="J165" s="3544"/>
      <c r="K165" s="600"/>
      <c r="L165" s="600"/>
      <c r="M165" s="2356"/>
      <c r="N165" s="2356"/>
      <c r="O165" s="2356"/>
      <c r="P165" s="2356"/>
      <c r="Q165" s="2356"/>
      <c r="R165" s="471"/>
      <c r="S165" s="471"/>
      <c r="T165" s="471"/>
      <c r="U165" s="471"/>
      <c r="V165" s="471"/>
      <c r="W165" s="471"/>
      <c r="X165" s="471"/>
      <c r="Y165" s="2310"/>
      <c r="Z165" s="2301"/>
      <c r="AA165" s="2302"/>
      <c r="AB165" s="2301"/>
      <c r="AC165" s="2302"/>
      <c r="AD165" s="2302"/>
      <c r="AE165" s="2302"/>
      <c r="AF165" s="2334"/>
      <c r="AG165" s="2302"/>
      <c r="AH165" s="2302"/>
    </row>
    <row r="166" spans="1:34" s="16" customFormat="1" ht="16.5" customHeight="1" x14ac:dyDescent="0.35">
      <c r="A166" s="601"/>
      <c r="B166" s="601"/>
      <c r="C166" s="601"/>
      <c r="D166" s="601"/>
      <c r="E166" s="601"/>
      <c r="F166" s="1528"/>
      <c r="G166" s="1528"/>
      <c r="H166" s="2357"/>
      <c r="I166" s="2358"/>
      <c r="J166" s="2358"/>
      <c r="K166" s="2358"/>
      <c r="L166" s="2358"/>
      <c r="M166" s="2358"/>
      <c r="N166" s="2358"/>
      <c r="O166" s="1528"/>
      <c r="P166" s="2359"/>
      <c r="Q166" s="2359"/>
      <c r="R166" s="484"/>
      <c r="S166" s="484"/>
      <c r="T166" s="484"/>
      <c r="U166" s="484"/>
      <c r="V166" s="484"/>
      <c r="W166" s="484"/>
      <c r="X166" s="484"/>
      <c r="Y166" s="2310"/>
      <c r="Z166" s="2301"/>
      <c r="AA166" s="2302"/>
      <c r="AB166" s="2301"/>
      <c r="AC166" s="2302"/>
      <c r="AD166" s="2302"/>
      <c r="AE166" s="2302"/>
      <c r="AF166" s="2334"/>
      <c r="AG166" s="2302"/>
      <c r="AH166" s="2302"/>
    </row>
    <row r="167" spans="1:34" s="16" customFormat="1" ht="16.5" customHeight="1" x14ac:dyDescent="0.35">
      <c r="A167" s="601"/>
      <c r="B167" s="3832" t="s">
        <v>192</v>
      </c>
      <c r="C167" s="3833"/>
      <c r="D167" s="3833"/>
      <c r="E167" s="3834"/>
      <c r="F167" s="3365">
        <f>'CEKLIST 003 (LAPORAN KEUANGAN)'!C3</f>
        <v>42735</v>
      </c>
      <c r="G167" s="3365">
        <f>'CEKLIST 003 (LAPORAN KEUANGAN)'!D3</f>
        <v>43100</v>
      </c>
      <c r="H167" s="3365">
        <f>'CEKLIST 003 (LAPORAN KEUANGAN)'!E3</f>
        <v>43281</v>
      </c>
      <c r="I167" s="3364" t="s">
        <v>773</v>
      </c>
      <c r="J167" s="3364"/>
      <c r="K167" s="3669" t="s">
        <v>348</v>
      </c>
      <c r="L167" s="3670"/>
      <c r="M167" s="3364" t="s">
        <v>345</v>
      </c>
      <c r="N167" s="3364"/>
      <c r="O167" s="3364"/>
      <c r="P167" s="3364"/>
      <c r="Q167" s="3364"/>
      <c r="R167" s="484"/>
      <c r="S167" s="484"/>
      <c r="T167" s="484"/>
      <c r="U167" s="484"/>
      <c r="V167" s="484"/>
      <c r="W167" s="484"/>
      <c r="X167" s="484"/>
      <c r="Y167" s="2311"/>
      <c r="Z167" s="2301"/>
      <c r="AA167" s="2302"/>
      <c r="AB167" s="2301"/>
      <c r="AC167" s="2302"/>
      <c r="AD167" s="2302"/>
      <c r="AE167" s="2302"/>
      <c r="AF167" s="2334"/>
      <c r="AG167" s="2302"/>
      <c r="AH167" s="2302"/>
    </row>
    <row r="168" spans="1:34" s="16" customFormat="1" ht="16.5" customHeight="1" x14ac:dyDescent="0.35">
      <c r="A168" s="601"/>
      <c r="B168" s="3349"/>
      <c r="C168" s="3340"/>
      <c r="D168" s="3340"/>
      <c r="E168" s="3341"/>
      <c r="F168" s="3365"/>
      <c r="G168" s="3365"/>
      <c r="H168" s="3365"/>
      <c r="I168" s="3364"/>
      <c r="J168" s="3364"/>
      <c r="K168" s="3671"/>
      <c r="L168" s="3672"/>
      <c r="M168" s="2152">
        <v>1</v>
      </c>
      <c r="N168" s="2152">
        <v>2</v>
      </c>
      <c r="O168" s="2152">
        <v>3</v>
      </c>
      <c r="P168" s="2152">
        <v>4</v>
      </c>
      <c r="Q168" s="2152">
        <v>5</v>
      </c>
      <c r="R168" s="485"/>
      <c r="S168" s="485"/>
      <c r="T168" s="485"/>
      <c r="U168" s="486"/>
      <c r="V168" s="486"/>
      <c r="W168" s="486"/>
      <c r="X168" s="486"/>
      <c r="Y168" s="2311"/>
      <c r="Z168" s="2301"/>
      <c r="AA168" s="2302"/>
      <c r="AB168" s="2301"/>
      <c r="AC168" s="2302"/>
      <c r="AD168" s="2302"/>
      <c r="AE168" s="2302"/>
      <c r="AF168" s="2334"/>
      <c r="AG168" s="2302"/>
      <c r="AH168" s="2302"/>
    </row>
    <row r="169" spans="1:34" s="16" customFormat="1" ht="16.5" customHeight="1" x14ac:dyDescent="0.35">
      <c r="A169" s="601"/>
      <c r="B169" s="2992" t="s">
        <v>374</v>
      </c>
      <c r="C169" s="2992"/>
      <c r="D169" s="2992"/>
      <c r="E169" s="2992"/>
      <c r="F169" s="2992"/>
      <c r="G169" s="2992"/>
      <c r="H169" s="2992"/>
      <c r="I169" s="2992"/>
      <c r="J169" s="2992"/>
      <c r="K169" s="2992"/>
      <c r="L169" s="2992"/>
      <c r="M169" s="2992"/>
      <c r="N169" s="2992"/>
      <c r="O169" s="2992"/>
      <c r="P169" s="2992"/>
      <c r="Q169" s="2992"/>
      <c r="R169" s="487"/>
      <c r="S169" s="487"/>
      <c r="T169" s="487"/>
      <c r="U169" s="486"/>
      <c r="V169" s="486"/>
      <c r="W169" s="486"/>
      <c r="X169" s="486"/>
      <c r="Y169" s="2311"/>
      <c r="Z169" s="2301"/>
      <c r="AA169" s="2302"/>
      <c r="AB169" s="2301"/>
      <c r="AC169" s="2302"/>
      <c r="AD169" s="2302"/>
      <c r="AE169" s="2302"/>
      <c r="AF169" s="2334"/>
      <c r="AG169" s="2302"/>
      <c r="AH169" s="2302"/>
    </row>
    <row r="170" spans="1:34" s="16" customFormat="1" ht="89.25" customHeight="1" x14ac:dyDescent="0.35">
      <c r="A170" s="601"/>
      <c r="B170" s="1453">
        <v>1</v>
      </c>
      <c r="C170" s="3665" t="s">
        <v>596</v>
      </c>
      <c r="D170" s="3666"/>
      <c r="E170" s="3667"/>
      <c r="F170" s="668">
        <f>'FAK(PAP-02)'!D11</f>
        <v>0.47521174755009782</v>
      </c>
      <c r="G170" s="668">
        <f>'FAK(PAP-02)'!E11</f>
        <v>0.51727403949653283</v>
      </c>
      <c r="H170" s="668">
        <f>'FAK(PAP-02)'!F11</f>
        <v>0.5835159746465115</v>
      </c>
      <c r="I170" s="3505" t="s">
        <v>774</v>
      </c>
      <c r="J170" s="3506"/>
      <c r="K170" s="2996" t="s">
        <v>349</v>
      </c>
      <c r="L170" s="2997"/>
      <c r="M170" s="1467"/>
      <c r="N170" s="1474"/>
      <c r="O170" s="1474"/>
      <c r="P170" s="1474"/>
      <c r="Q170" s="1474"/>
      <c r="R170" s="380"/>
      <c r="S170" s="380"/>
      <c r="T170" s="380"/>
      <c r="U170" s="486"/>
      <c r="V170" s="486"/>
      <c r="W170" s="486"/>
      <c r="X170" s="486"/>
      <c r="Y170" s="2311"/>
      <c r="Z170" s="2301"/>
      <c r="AA170" s="2302"/>
      <c r="AB170" s="2109">
        <v>5</v>
      </c>
      <c r="AC170" s="2302"/>
      <c r="AD170" s="2302"/>
      <c r="AE170" s="2302"/>
      <c r="AF170" s="2334"/>
      <c r="AG170" s="2302"/>
      <c r="AH170" s="2302"/>
    </row>
    <row r="171" spans="1:34" s="16" customFormat="1" ht="89.25" customHeight="1" x14ac:dyDescent="0.35">
      <c r="A171" s="601"/>
      <c r="B171" s="1453">
        <v>2</v>
      </c>
      <c r="C171" s="3665" t="s">
        <v>597</v>
      </c>
      <c r="D171" s="3666"/>
      <c r="E171" s="3667"/>
      <c r="F171" s="668">
        <f>'FAK(PAP-02)'!D12</f>
        <v>4.2400980326496238E-2</v>
      </c>
      <c r="G171" s="668">
        <f>'FAK(PAP-02)'!E12</f>
        <v>4.1344267627321955E-2</v>
      </c>
      <c r="H171" s="668">
        <f>'FAK(PAP-02)'!F12</f>
        <v>4.3786250970971143E-2</v>
      </c>
      <c r="I171" s="3505" t="s">
        <v>775</v>
      </c>
      <c r="J171" s="3506"/>
      <c r="K171" s="2996" t="s">
        <v>349</v>
      </c>
      <c r="L171" s="2997"/>
      <c r="M171" s="1467"/>
      <c r="N171" s="1474"/>
      <c r="O171" s="1474"/>
      <c r="P171" s="1474"/>
      <c r="Q171" s="1474"/>
      <c r="R171" s="380"/>
      <c r="S171" s="380"/>
      <c r="T171" s="380"/>
      <c r="U171" s="486"/>
      <c r="V171" s="486"/>
      <c r="W171" s="486"/>
      <c r="X171" s="486"/>
      <c r="Y171" s="2302"/>
      <c r="Z171" s="2312"/>
      <c r="AA171" s="2313"/>
      <c r="AB171" s="2109">
        <v>4</v>
      </c>
      <c r="AC171" s="2302"/>
      <c r="AD171" s="2302"/>
      <c r="AE171" s="2302"/>
      <c r="AF171" s="2334"/>
      <c r="AG171" s="2302"/>
      <c r="AH171" s="2302"/>
    </row>
    <row r="172" spans="1:34" s="16" customFormat="1" ht="89.25" customHeight="1" x14ac:dyDescent="0.35">
      <c r="A172" s="601"/>
      <c r="B172" s="1453">
        <v>3</v>
      </c>
      <c r="C172" s="3665" t="s">
        <v>598</v>
      </c>
      <c r="D172" s="3666"/>
      <c r="E172" s="3667"/>
      <c r="F172" s="668">
        <f>'FAK(PAP-02)'!D13</f>
        <v>0.51340196892361489</v>
      </c>
      <c r="G172" s="668">
        <f>'FAK(PAP-02)'!E13</f>
        <v>0.56374702821365663</v>
      </c>
      <c r="H172" s="668">
        <f>'FAK(PAP-02)'!F13</f>
        <v>0.57255173506880719</v>
      </c>
      <c r="I172" s="3505" t="s">
        <v>776</v>
      </c>
      <c r="J172" s="3506"/>
      <c r="K172" s="2996" t="s">
        <v>349</v>
      </c>
      <c r="L172" s="2997"/>
      <c r="M172" s="1467"/>
      <c r="N172" s="1474"/>
      <c r="O172" s="1474"/>
      <c r="P172" s="1474"/>
      <c r="Q172" s="1474"/>
      <c r="R172" s="380"/>
      <c r="S172" s="380"/>
      <c r="T172" s="380"/>
      <c r="U172" s="1541"/>
      <c r="V172" s="1541"/>
      <c r="W172" s="1541"/>
      <c r="X172" s="464"/>
      <c r="Y172" s="2313"/>
      <c r="Z172" s="2312"/>
      <c r="AA172" s="2313"/>
      <c r="AB172" s="2109">
        <v>5</v>
      </c>
      <c r="AC172" s="2302"/>
      <c r="AD172" s="2302"/>
      <c r="AE172" s="2302"/>
      <c r="AF172" s="2334"/>
      <c r="AG172" s="2302"/>
      <c r="AH172" s="2302"/>
    </row>
    <row r="173" spans="1:34" s="39" customFormat="1" ht="89.25" customHeight="1" x14ac:dyDescent="0.35">
      <c r="A173" s="2184"/>
      <c r="B173" s="1453">
        <v>4</v>
      </c>
      <c r="C173" s="3662" t="s">
        <v>599</v>
      </c>
      <c r="D173" s="3663"/>
      <c r="E173" s="3664"/>
      <c r="F173" s="668">
        <f>'FAK(PAP-02)'!D14</f>
        <v>0.25244861801989488</v>
      </c>
      <c r="G173" s="668">
        <f>'FAK(PAP-02)'!E14</f>
        <v>0.23965797972239317</v>
      </c>
      <c r="H173" s="668">
        <f>'FAK(PAP-02)'!F14</f>
        <v>0.41972357675350841</v>
      </c>
      <c r="I173" s="3505" t="s">
        <v>777</v>
      </c>
      <c r="J173" s="3506"/>
      <c r="K173" s="2996" t="s">
        <v>349</v>
      </c>
      <c r="L173" s="2997"/>
      <c r="M173" s="1467"/>
      <c r="N173" s="1467"/>
      <c r="O173" s="1474"/>
      <c r="P173" s="1474"/>
      <c r="Q173" s="488"/>
      <c r="R173" s="489"/>
      <c r="S173" s="489"/>
      <c r="T173" s="489"/>
      <c r="U173" s="489"/>
      <c r="V173" s="489"/>
      <c r="W173" s="489"/>
      <c r="X173" s="490"/>
      <c r="Y173" s="2314"/>
      <c r="Z173" s="2315"/>
      <c r="AA173" s="2316"/>
      <c r="AB173" s="2109">
        <v>2</v>
      </c>
      <c r="AC173" s="2316"/>
      <c r="AD173" s="2316"/>
      <c r="AE173" s="2316"/>
      <c r="AF173" s="2338"/>
      <c r="AG173" s="2316"/>
      <c r="AH173" s="2316"/>
    </row>
    <row r="174" spans="1:34" s="16" customFormat="1" ht="89.25" customHeight="1" x14ac:dyDescent="0.35">
      <c r="A174" s="601"/>
      <c r="B174" s="1453">
        <v>5</v>
      </c>
      <c r="C174" s="3347" t="s">
        <v>600</v>
      </c>
      <c r="D174" s="3668"/>
      <c r="E174" s="3348"/>
      <c r="F174" s="668">
        <f>'FAK(PAP-02)'!D15</f>
        <v>0.90615869064025045</v>
      </c>
      <c r="G174" s="668">
        <f>'FAK(PAP-02)'!E15</f>
        <v>0.90012782033898031</v>
      </c>
      <c r="H174" s="668">
        <f>'FAK(PAP-02)'!F15</f>
        <v>0.79167742091493443</v>
      </c>
      <c r="I174" s="3505" t="s">
        <v>777</v>
      </c>
      <c r="J174" s="3506"/>
      <c r="K174" s="2996" t="s">
        <v>349</v>
      </c>
      <c r="L174" s="2997"/>
      <c r="M174" s="1467"/>
      <c r="N174" s="1467"/>
      <c r="O174" s="1474"/>
      <c r="P174" s="1474"/>
      <c r="Q174" s="488"/>
      <c r="R174" s="464"/>
      <c r="S174" s="464"/>
      <c r="T174" s="464"/>
      <c r="U174" s="464"/>
      <c r="V174" s="464"/>
      <c r="W174" s="464"/>
      <c r="X174" s="464"/>
      <c r="Y174" s="2303"/>
      <c r="Z174" s="2301"/>
      <c r="AA174" s="2302"/>
      <c r="AB174" s="2109">
        <v>2</v>
      </c>
      <c r="AC174" s="2302"/>
      <c r="AD174" s="2302"/>
      <c r="AE174" s="2302"/>
      <c r="AF174" s="2334"/>
      <c r="AG174" s="2302"/>
      <c r="AH174" s="2302"/>
    </row>
    <row r="175" spans="1:34" s="16" customFormat="1" ht="89.25" customHeight="1" x14ac:dyDescent="0.35">
      <c r="A175" s="600"/>
      <c r="B175" s="1453">
        <v>6</v>
      </c>
      <c r="C175" s="3347" t="s">
        <v>934</v>
      </c>
      <c r="D175" s="3668"/>
      <c r="E175" s="3348"/>
      <c r="F175" s="668">
        <f>'FAK(PAP-02)'!D16</f>
        <v>3.2359686054148816E-2</v>
      </c>
      <c r="G175" s="668">
        <f>'FAK(PAP-02)'!E16</f>
        <v>2.8033327647019129E-2</v>
      </c>
      <c r="H175" s="668">
        <f>'FAK(PAP-02)'!F16</f>
        <v>1.1873597427415847E-2</v>
      </c>
      <c r="I175" s="3505" t="s">
        <v>778</v>
      </c>
      <c r="J175" s="3506"/>
      <c r="K175" s="2996" t="s">
        <v>349</v>
      </c>
      <c r="L175" s="2997"/>
      <c r="M175" s="1467"/>
      <c r="N175" s="1467"/>
      <c r="O175" s="1474"/>
      <c r="P175" s="1474"/>
      <c r="Q175" s="491"/>
      <c r="R175" s="471"/>
      <c r="S175" s="471"/>
      <c r="T175" s="471"/>
      <c r="U175" s="471"/>
      <c r="V175" s="471"/>
      <c r="W175" s="471"/>
      <c r="X175" s="471"/>
      <c r="Y175" s="2302"/>
      <c r="Z175" s="2301"/>
      <c r="AA175" s="2302"/>
      <c r="AB175" s="2109">
        <v>5</v>
      </c>
      <c r="AC175" s="2302"/>
      <c r="AD175" s="2302"/>
      <c r="AE175" s="2302"/>
      <c r="AF175" s="2334"/>
      <c r="AG175" s="2302"/>
      <c r="AH175" s="2302"/>
    </row>
    <row r="176" spans="1:34" s="16" customFormat="1" ht="89.25" customHeight="1" x14ac:dyDescent="0.35">
      <c r="A176" s="2360"/>
      <c r="B176" s="1453">
        <v>7</v>
      </c>
      <c r="C176" s="3662" t="s">
        <v>601</v>
      </c>
      <c r="D176" s="3663"/>
      <c r="E176" s="3664"/>
      <c r="F176" s="668">
        <f>'FAK(PAP-02)'!D17</f>
        <v>0.13158196611093417</v>
      </c>
      <c r="G176" s="668">
        <f>'FAK(PAP-02)'!E17</f>
        <v>0.11096678004096741</v>
      </c>
      <c r="H176" s="668">
        <f>'FAK(PAP-02)'!F17</f>
        <v>4.4308090235220053E-2</v>
      </c>
      <c r="I176" s="3546" t="s">
        <v>779</v>
      </c>
      <c r="J176" s="3546"/>
      <c r="K176" s="2996" t="s">
        <v>349</v>
      </c>
      <c r="L176" s="2997"/>
      <c r="M176" s="1467"/>
      <c r="N176" s="1467"/>
      <c r="O176" s="1467"/>
      <c r="P176" s="1474"/>
      <c r="Q176" s="1474"/>
      <c r="R176" s="484"/>
      <c r="S176" s="484"/>
      <c r="T176" s="464"/>
      <c r="U176" s="464"/>
      <c r="V176" s="464"/>
      <c r="W176" s="1543"/>
      <c r="X176" s="1543"/>
      <c r="Y176" s="2302"/>
      <c r="Z176" s="2301"/>
      <c r="AA176" s="2302"/>
      <c r="AB176" s="2109">
        <v>5</v>
      </c>
      <c r="AC176" s="2302"/>
      <c r="AD176" s="2302"/>
      <c r="AE176" s="2302"/>
      <c r="AF176" s="2334"/>
      <c r="AG176" s="2302"/>
      <c r="AH176" s="2302"/>
    </row>
    <row r="177" spans="1:34" s="16" customFormat="1" ht="89.25" customHeight="1" x14ac:dyDescent="0.35">
      <c r="A177" s="2360"/>
      <c r="B177" s="1453">
        <v>8</v>
      </c>
      <c r="C177" s="3662" t="s">
        <v>933</v>
      </c>
      <c r="D177" s="3663"/>
      <c r="E177" s="3664"/>
      <c r="F177" s="668">
        <f>'FAK(PAP-02)'!D18</f>
        <v>0.46758540129751086</v>
      </c>
      <c r="G177" s="668">
        <f>'FAK(PAP-02)'!E18</f>
        <v>0.49827558833005642</v>
      </c>
      <c r="H177" s="668">
        <f>'FAK(PAP-02)'!F18</f>
        <v>0.50380627366848352</v>
      </c>
      <c r="I177" s="3546" t="s">
        <v>780</v>
      </c>
      <c r="J177" s="3546"/>
      <c r="K177" s="2996" t="s">
        <v>349</v>
      </c>
      <c r="L177" s="2997"/>
      <c r="M177" s="1467"/>
      <c r="N177" s="1467"/>
      <c r="O177" s="1467"/>
      <c r="P177" s="1474"/>
      <c r="Q177" s="1474"/>
      <c r="R177" s="492"/>
      <c r="S177" s="492"/>
      <c r="T177" s="493"/>
      <c r="U177" s="493"/>
      <c r="V177" s="493"/>
      <c r="W177" s="1543"/>
      <c r="X177" s="1543"/>
      <c r="Y177" s="2302"/>
      <c r="Z177" s="2301"/>
      <c r="AA177" s="2302"/>
      <c r="AB177" s="2110">
        <v>5</v>
      </c>
      <c r="AC177" s="2302"/>
      <c r="AD177" s="2302"/>
      <c r="AE177" s="2302"/>
      <c r="AF177" s="2334"/>
      <c r="AG177" s="2302"/>
      <c r="AH177" s="2302"/>
    </row>
    <row r="178" spans="1:34" s="16" customFormat="1" ht="89.25" customHeight="1" x14ac:dyDescent="0.35">
      <c r="A178" s="2360"/>
      <c r="B178" s="1453">
        <v>9</v>
      </c>
      <c r="C178" s="3662" t="s">
        <v>602</v>
      </c>
      <c r="D178" s="3663"/>
      <c r="E178" s="3664"/>
      <c r="F178" s="669">
        <f>'FAK(PAP-02)'!D19</f>
        <v>1.1386467524971537</v>
      </c>
      <c r="G178" s="669">
        <f>'FAK(PAP-02)'!E19</f>
        <v>1.0069215177718134</v>
      </c>
      <c r="H178" s="669">
        <f>'FAK(PAP-02)'!F19</f>
        <v>0.98488993143825687</v>
      </c>
      <c r="I178" s="3546" t="s">
        <v>781</v>
      </c>
      <c r="J178" s="3546"/>
      <c r="K178" s="2996" t="s">
        <v>349</v>
      </c>
      <c r="L178" s="2997"/>
      <c r="M178" s="1467"/>
      <c r="N178" s="1474"/>
      <c r="O178" s="1474"/>
      <c r="P178" s="1467"/>
      <c r="Q178" s="494"/>
      <c r="R178" s="492"/>
      <c r="S178" s="492"/>
      <c r="T178" s="493"/>
      <c r="U178" s="493"/>
      <c r="V178" s="493"/>
      <c r="W178" s="1543"/>
      <c r="X178" s="1543"/>
      <c r="Y178" s="2302"/>
      <c r="Z178" s="2301"/>
      <c r="AA178" s="2302"/>
      <c r="AB178" s="2109">
        <v>4</v>
      </c>
      <c r="AC178" s="2302"/>
      <c r="AD178" s="2302"/>
      <c r="AE178" s="2302"/>
      <c r="AF178" s="2334"/>
      <c r="AG178" s="2302"/>
      <c r="AH178" s="2302"/>
    </row>
    <row r="179" spans="1:34" s="16" customFormat="1" ht="89.25" customHeight="1" x14ac:dyDescent="0.35">
      <c r="A179" s="2360"/>
      <c r="B179" s="2361">
        <v>10</v>
      </c>
      <c r="C179" s="3662" t="s">
        <v>657</v>
      </c>
      <c r="D179" s="3663"/>
      <c r="E179" s="3664"/>
      <c r="F179" s="668">
        <f>'FAK(PAP-02)'!D20</f>
        <v>0.21979059779139692</v>
      </c>
      <c r="G179" s="668">
        <f>'FAK(PAP-02)'!E20</f>
        <v>0.2151603872826251</v>
      </c>
      <c r="H179" s="668">
        <f>'FAK(PAP-02)'!F20</f>
        <v>0.10812737229624191</v>
      </c>
      <c r="I179" s="3830" t="s">
        <v>782</v>
      </c>
      <c r="J179" s="3830"/>
      <c r="K179" s="3472" t="s">
        <v>349</v>
      </c>
      <c r="L179" s="3473"/>
      <c r="M179" s="1467"/>
      <c r="N179" s="1474"/>
      <c r="O179" s="1474"/>
      <c r="P179" s="1467"/>
      <c r="Q179" s="494"/>
      <c r="R179" s="492"/>
      <c r="S179" s="492"/>
      <c r="T179" s="493"/>
      <c r="U179" s="493"/>
      <c r="V179" s="493"/>
      <c r="W179" s="1543"/>
      <c r="X179" s="1543"/>
      <c r="Y179" s="2302"/>
      <c r="Z179" s="2301"/>
      <c r="AA179" s="2302"/>
      <c r="AB179" s="2109">
        <v>5</v>
      </c>
      <c r="AC179" s="2302"/>
      <c r="AD179" s="2302"/>
      <c r="AE179" s="2302"/>
      <c r="AF179" s="2334"/>
      <c r="AG179" s="2302"/>
      <c r="AH179" s="2302"/>
    </row>
    <row r="180" spans="1:34" s="16" customFormat="1" ht="24.75" customHeight="1" x14ac:dyDescent="0.35">
      <c r="A180" s="495"/>
      <c r="B180" s="3677" t="s">
        <v>1797</v>
      </c>
      <c r="C180" s="3678"/>
      <c r="D180" s="3678"/>
      <c r="E180" s="3678"/>
      <c r="F180" s="3678"/>
      <c r="G180" s="3678"/>
      <c r="H180" s="3678"/>
      <c r="I180" s="3678"/>
      <c r="J180" s="3679"/>
      <c r="K180" s="3210" t="s">
        <v>184</v>
      </c>
      <c r="L180" s="3223"/>
      <c r="M180" s="1469">
        <f>COUNTIF(AB170:AB179,"1")*M168</f>
        <v>0</v>
      </c>
      <c r="N180" s="1469">
        <f>COUNTIF(AB170:AB179,"2")*N168</f>
        <v>4</v>
      </c>
      <c r="O180" s="1469">
        <f>COUNTIF(AB170:AB179,"3")*O168</f>
        <v>0</v>
      </c>
      <c r="P180" s="1469">
        <f>COUNTIF(AB170:AB179,"4")*P168</f>
        <v>8</v>
      </c>
      <c r="Q180" s="1469">
        <f>COUNTIF(AB170:AB179,"5")*Q168</f>
        <v>30</v>
      </c>
      <c r="R180" s="1543"/>
      <c r="S180" s="1543"/>
      <c r="T180" s="1543"/>
      <c r="U180" s="1543"/>
      <c r="V180" s="1543"/>
      <c r="W180" s="1543"/>
      <c r="X180" s="1543"/>
      <c r="Y180" s="2302"/>
      <c r="Z180" s="2317"/>
      <c r="AA180" s="2318"/>
      <c r="AB180" s="2301"/>
      <c r="AC180" s="2302"/>
      <c r="AD180" s="2302"/>
      <c r="AE180" s="2302"/>
      <c r="AF180" s="2334"/>
      <c r="AG180" s="2302"/>
      <c r="AH180" s="2302"/>
    </row>
    <row r="181" spans="1:34" s="16" customFormat="1" ht="63" customHeight="1" x14ac:dyDescent="0.35">
      <c r="A181" s="135"/>
      <c r="B181" s="3680"/>
      <c r="C181" s="3681"/>
      <c r="D181" s="3681"/>
      <c r="E181" s="3681"/>
      <c r="F181" s="3681"/>
      <c r="G181" s="3681"/>
      <c r="H181" s="3681"/>
      <c r="I181" s="3681"/>
      <c r="J181" s="3682"/>
      <c r="K181" s="3212"/>
      <c r="L181" s="3224"/>
      <c r="M181" s="3124">
        <f>SUM(M180:Q180)</f>
        <v>42</v>
      </c>
      <c r="N181" s="3241"/>
      <c r="O181" s="3241"/>
      <c r="P181" s="3241"/>
      <c r="Q181" s="3242"/>
      <c r="R181" s="1541"/>
      <c r="S181" s="1541"/>
      <c r="T181" s="1541"/>
      <c r="U181" s="1541"/>
      <c r="V181" s="1541"/>
      <c r="W181" s="1541"/>
      <c r="X181" s="496"/>
      <c r="Y181" s="2318"/>
      <c r="Z181" s="2317"/>
      <c r="AA181" s="2318"/>
      <c r="AB181" s="2301"/>
      <c r="AC181" s="2302"/>
      <c r="AD181" s="2302"/>
      <c r="AE181" s="2302"/>
      <c r="AF181" s="2334"/>
      <c r="AG181" s="2302"/>
      <c r="AH181" s="2302"/>
    </row>
    <row r="182" spans="1:34" s="16" customFormat="1" ht="99.75" customHeight="1" x14ac:dyDescent="0.35">
      <c r="A182" s="135"/>
      <c r="B182" s="3683"/>
      <c r="C182" s="3684"/>
      <c r="D182" s="3684"/>
      <c r="E182" s="3684"/>
      <c r="F182" s="3684"/>
      <c r="G182" s="3684"/>
      <c r="H182" s="3684"/>
      <c r="I182" s="3684"/>
      <c r="J182" s="3685"/>
      <c r="K182" s="3207" t="s">
        <v>182</v>
      </c>
      <c r="L182" s="3209"/>
      <c r="M182" s="3361">
        <f>IFERROR((M181/AF182),"0")</f>
        <v>4.2</v>
      </c>
      <c r="N182" s="3362"/>
      <c r="O182" s="3030" t="str">
        <f>IF(ROUND(M182,0)=1,"Sangat Tidak Memenuhi Syarat",IF(ROUND(M182,0)=2,"Tidak Memenuhi Syarat",IF(ROUND(M182,0)=3,"Cukup Memenuhi Syarat",IF(ROUND(M182,0)=4,"Memenuhi Syarat",IF(ROUND(M182,0)&gt;=5,"Sangat Memenuhi Syarat")))))</f>
        <v>Memenuhi Syarat</v>
      </c>
      <c r="P182" s="3031"/>
      <c r="Q182" s="3032"/>
      <c r="R182" s="1541"/>
      <c r="S182" s="1541"/>
      <c r="T182" s="1541"/>
      <c r="U182" s="1541"/>
      <c r="V182" s="1541"/>
      <c r="W182" s="1541"/>
      <c r="X182" s="496"/>
      <c r="Y182" s="2318"/>
      <c r="Z182" s="2312"/>
      <c r="AA182" s="2313"/>
      <c r="AB182" s="2301"/>
      <c r="AC182" s="2302"/>
      <c r="AD182" s="2302"/>
      <c r="AE182" s="2302"/>
      <c r="AF182" s="2339">
        <f>COUNTIF(AB170:AB179,"&gt;0")</f>
        <v>10</v>
      </c>
      <c r="AG182" s="2302"/>
      <c r="AH182" s="2302"/>
    </row>
    <row r="183" spans="1:34" s="16" customFormat="1" ht="16.5" customHeight="1" x14ac:dyDescent="0.35">
      <c r="A183" s="144"/>
      <c r="B183" s="497"/>
      <c r="C183" s="498"/>
      <c r="D183" s="498"/>
      <c r="E183" s="498"/>
      <c r="F183" s="499"/>
      <c r="G183" s="499"/>
      <c r="H183" s="499"/>
      <c r="I183" s="499"/>
      <c r="J183" s="499"/>
      <c r="K183" s="498"/>
      <c r="L183" s="498"/>
      <c r="M183" s="498"/>
      <c r="N183" s="498"/>
      <c r="O183" s="498"/>
      <c r="P183" s="489"/>
      <c r="Q183" s="489"/>
      <c r="R183" s="1541"/>
      <c r="S183" s="1541"/>
      <c r="T183" s="1541"/>
      <c r="U183" s="1541"/>
      <c r="V183" s="1541"/>
      <c r="W183" s="1541"/>
      <c r="X183" s="496"/>
      <c r="Y183" s="2318"/>
      <c r="Z183" s="2312"/>
      <c r="AA183" s="2313"/>
      <c r="AB183" s="2302"/>
      <c r="AC183" s="2302"/>
      <c r="AD183" s="2302"/>
      <c r="AE183" s="2302"/>
      <c r="AF183" s="2334"/>
      <c r="AG183" s="2302"/>
      <c r="AH183" s="2302"/>
    </row>
    <row r="184" spans="1:34" s="7" customFormat="1" ht="15" x14ac:dyDescent="0.35">
      <c r="A184" s="601"/>
      <c r="B184" s="560"/>
      <c r="C184" s="560"/>
      <c r="D184" s="560"/>
      <c r="E184" s="560"/>
      <c r="F184" s="560"/>
      <c r="G184" s="560"/>
      <c r="H184" s="560"/>
      <c r="I184" s="560"/>
      <c r="J184" s="560"/>
      <c r="K184" s="560"/>
      <c r="L184" s="560"/>
      <c r="M184" s="560"/>
      <c r="N184" s="560"/>
      <c r="O184" s="560"/>
      <c r="P184" s="560"/>
      <c r="Q184" s="560"/>
      <c r="R184" s="560"/>
      <c r="S184" s="560"/>
      <c r="T184" s="560"/>
      <c r="U184" s="560"/>
      <c r="V184" s="560"/>
      <c r="W184" s="560"/>
      <c r="X184" s="1537"/>
      <c r="Y184" s="60"/>
      <c r="Z184" s="65"/>
      <c r="AA184" s="60"/>
      <c r="AB184" s="65"/>
      <c r="AC184" s="60"/>
      <c r="AD184" s="60"/>
      <c r="AE184" s="60"/>
      <c r="AF184" s="2332"/>
      <c r="AG184" s="60"/>
      <c r="AH184" s="60"/>
    </row>
    <row r="185" spans="1:34" s="7" customFormat="1" ht="17.25" x14ac:dyDescent="0.35">
      <c r="A185" s="138"/>
      <c r="B185" s="1344">
        <v>1</v>
      </c>
      <c r="C185" s="2362" t="s">
        <v>296</v>
      </c>
      <c r="D185" s="2363"/>
      <c r="E185" s="2363"/>
      <c r="F185" s="2363"/>
      <c r="G185" s="2363"/>
      <c r="H185" s="2363"/>
      <c r="I185" s="2363"/>
      <c r="J185" s="2363"/>
      <c r="K185" s="2363"/>
      <c r="L185" s="2363"/>
      <c r="M185" s="2363"/>
      <c r="N185" s="2363"/>
      <c r="O185" s="2363"/>
      <c r="P185" s="2363"/>
      <c r="Q185" s="2363"/>
      <c r="R185" s="2363"/>
      <c r="S185" s="2363"/>
      <c r="T185" s="2363"/>
      <c r="U185" s="2363"/>
      <c r="V185" s="2363"/>
      <c r="W185" s="2363"/>
      <c r="X185" s="2363"/>
      <c r="Y185" s="2319"/>
      <c r="Z185" s="2320"/>
      <c r="AA185" s="60"/>
      <c r="AB185" s="65"/>
      <c r="AC185" s="60"/>
      <c r="AD185" s="60"/>
      <c r="AE185" s="60"/>
      <c r="AF185" s="2332"/>
      <c r="AG185" s="60"/>
      <c r="AH185" s="60"/>
    </row>
    <row r="186" spans="1:34" s="7" customFormat="1" ht="14.25" customHeight="1" x14ac:dyDescent="0.35">
      <c r="A186" s="601"/>
      <c r="B186" s="1531"/>
      <c r="C186" s="3042" t="s">
        <v>169</v>
      </c>
      <c r="D186" s="3043"/>
      <c r="E186" s="3043"/>
      <c r="F186" s="3044"/>
      <c r="G186" s="3601" t="s">
        <v>39</v>
      </c>
      <c r="H186" s="2992" t="s">
        <v>351</v>
      </c>
      <c r="I186" s="2992"/>
      <c r="J186" s="2992"/>
      <c r="K186" s="2992"/>
      <c r="L186" s="2992"/>
      <c r="M186" s="3028" t="s">
        <v>302</v>
      </c>
      <c r="N186" s="3028"/>
      <c r="O186" s="3028"/>
      <c r="P186" s="3028"/>
      <c r="Q186" s="3028"/>
      <c r="R186" s="3028"/>
      <c r="S186" s="3028"/>
      <c r="T186" s="3827" t="s">
        <v>345</v>
      </c>
      <c r="U186" s="3828"/>
      <c r="V186" s="3828"/>
      <c r="W186" s="3828"/>
      <c r="X186" s="3829"/>
      <c r="Y186" s="2321"/>
      <c r="Z186" s="68"/>
      <c r="AA186" s="2322"/>
      <c r="AB186" s="68"/>
      <c r="AC186" s="60"/>
      <c r="AD186" s="60"/>
      <c r="AE186" s="60"/>
      <c r="AF186" s="2332"/>
      <c r="AG186" s="60"/>
      <c r="AH186" s="60"/>
    </row>
    <row r="187" spans="1:34" s="7" customFormat="1" ht="16.350000000000001" customHeight="1" x14ac:dyDescent="0.35">
      <c r="A187" s="601"/>
      <c r="B187" s="1477"/>
      <c r="C187" s="3045"/>
      <c r="D187" s="3046"/>
      <c r="E187" s="3046"/>
      <c r="F187" s="3047"/>
      <c r="G187" s="3602"/>
      <c r="H187" s="2992"/>
      <c r="I187" s="2992"/>
      <c r="J187" s="2992"/>
      <c r="K187" s="2992"/>
      <c r="L187" s="2992"/>
      <c r="M187" s="3028"/>
      <c r="N187" s="3028"/>
      <c r="O187" s="3028"/>
      <c r="P187" s="3028"/>
      <c r="Q187" s="3028"/>
      <c r="R187" s="3028"/>
      <c r="S187" s="3028"/>
      <c r="T187" s="1461">
        <v>1</v>
      </c>
      <c r="U187" s="1461">
        <v>2</v>
      </c>
      <c r="V187" s="1461">
        <v>3</v>
      </c>
      <c r="W187" s="1461">
        <v>4</v>
      </c>
      <c r="X187" s="1461">
        <v>5</v>
      </c>
      <c r="Y187" s="2323"/>
      <c r="Z187" s="68"/>
      <c r="AA187" s="61"/>
      <c r="AB187" s="65"/>
      <c r="AC187" s="60"/>
      <c r="AD187" s="60"/>
      <c r="AE187" s="60"/>
      <c r="AF187" s="2332"/>
      <c r="AG187" s="60"/>
      <c r="AH187" s="60"/>
    </row>
    <row r="188" spans="1:34" s="7" customFormat="1" ht="24" customHeight="1" x14ac:dyDescent="0.35">
      <c r="A188" s="138"/>
      <c r="B188" s="138"/>
      <c r="C188" s="3021">
        <v>1</v>
      </c>
      <c r="D188" s="3645" t="str">
        <f>'FIP(PAP-01)'!D105:K105</f>
        <v>Pertumbuhan Kas</v>
      </c>
      <c r="E188" s="3645"/>
      <c r="F188" s="3645"/>
      <c r="G188" s="3645"/>
      <c r="H188" s="3645"/>
      <c r="I188" s="3645"/>
      <c r="J188" s="3645"/>
      <c r="K188" s="3645"/>
      <c r="L188" s="3645"/>
      <c r="M188" s="3080" t="str">
        <f>'FIP(PAP-01)'!L105</f>
        <v>Besarnya Pertumbuhan Kas 1 (satu) tahun buku terakhir</v>
      </c>
      <c r="N188" s="3080"/>
      <c r="O188" s="3080"/>
      <c r="P188" s="3080"/>
      <c r="Q188" s="3080"/>
      <c r="R188" s="3080"/>
      <c r="S188" s="3080"/>
      <c r="T188" s="2980"/>
      <c r="U188" s="2980"/>
      <c r="V188" s="2980"/>
      <c r="W188" s="2980"/>
      <c r="X188" s="2980"/>
      <c r="Y188" s="60"/>
      <c r="Z188" s="65"/>
      <c r="AA188" s="60"/>
      <c r="AB188" s="3673">
        <v>1</v>
      </c>
      <c r="AC188" s="60"/>
      <c r="AD188" s="60"/>
      <c r="AE188" s="60"/>
      <c r="AF188" s="2332"/>
      <c r="AG188" s="60"/>
      <c r="AH188" s="60"/>
    </row>
    <row r="189" spans="1:34" s="7" customFormat="1" ht="18" customHeight="1" x14ac:dyDescent="0.35">
      <c r="A189" s="138"/>
      <c r="B189" s="138"/>
      <c r="C189" s="3022"/>
      <c r="D189" s="3004" t="s">
        <v>277</v>
      </c>
      <c r="E189" s="3004"/>
      <c r="F189" s="3001"/>
      <c r="G189" s="670">
        <f>'FIP(PAP-01)'!F106</f>
        <v>526035000</v>
      </c>
      <c r="H189" s="3644">
        <f>'FIP(PAP-01)'!I106</f>
        <v>1.8335198101073897</v>
      </c>
      <c r="I189" s="3644"/>
      <c r="J189" s="3644"/>
      <c r="K189" s="3644"/>
      <c r="L189" s="3644"/>
      <c r="M189" s="3085" t="s">
        <v>349</v>
      </c>
      <c r="N189" s="3085"/>
      <c r="O189" s="3085"/>
      <c r="P189" s="3085"/>
      <c r="Q189" s="3085"/>
      <c r="R189" s="3085"/>
      <c r="S189" s="3085"/>
      <c r="T189" s="2981"/>
      <c r="U189" s="2981"/>
      <c r="V189" s="2981"/>
      <c r="W189" s="2981"/>
      <c r="X189" s="2981"/>
      <c r="Y189" s="60"/>
      <c r="Z189" s="65"/>
      <c r="AA189" s="60"/>
      <c r="AB189" s="3673"/>
      <c r="AC189" s="60"/>
      <c r="AD189" s="60"/>
      <c r="AE189" s="60"/>
      <c r="AF189" s="2332"/>
      <c r="AG189" s="60"/>
      <c r="AH189" s="60"/>
    </row>
    <row r="190" spans="1:34" s="7" customFormat="1" ht="24" customHeight="1" x14ac:dyDescent="0.35">
      <c r="A190" s="138"/>
      <c r="B190" s="138"/>
      <c r="C190" s="3021">
        <v>2</v>
      </c>
      <c r="D190" s="3645" t="str">
        <f>'FIP(PAP-01)'!D107:K107</f>
        <v>Pertumbuhan Piutang (KYD)</v>
      </c>
      <c r="E190" s="3645"/>
      <c r="F190" s="3645"/>
      <c r="G190" s="3645"/>
      <c r="H190" s="3645"/>
      <c r="I190" s="3645"/>
      <c r="J190" s="3645"/>
      <c r="K190" s="3645"/>
      <c r="L190" s="3645"/>
      <c r="M190" s="3080" t="str">
        <f>'FIP(PAP-01)'!L107</f>
        <v>Besarnya Pertumbuhan Piutang KYD  1 (satu) tahun buku terakhir</v>
      </c>
      <c r="N190" s="3080"/>
      <c r="O190" s="3080"/>
      <c r="P190" s="3080"/>
      <c r="Q190" s="3080"/>
      <c r="R190" s="3080"/>
      <c r="S190" s="3080"/>
      <c r="T190" s="2980"/>
      <c r="U190" s="2980"/>
      <c r="V190" s="2980"/>
      <c r="W190" s="2980"/>
      <c r="X190" s="2980"/>
      <c r="Y190" s="60"/>
      <c r="Z190" s="65"/>
      <c r="AA190" s="60"/>
      <c r="AB190" s="3673">
        <v>4</v>
      </c>
      <c r="AC190" s="60"/>
      <c r="AD190" s="60"/>
      <c r="AE190" s="60"/>
      <c r="AF190" s="2332"/>
      <c r="AG190" s="60"/>
      <c r="AH190" s="60"/>
    </row>
    <row r="191" spans="1:34" s="7" customFormat="1" ht="18" customHeight="1" x14ac:dyDescent="0.35">
      <c r="A191" s="138"/>
      <c r="B191" s="138"/>
      <c r="C191" s="3022"/>
      <c r="D191" s="3004" t="s">
        <v>278</v>
      </c>
      <c r="E191" s="3004"/>
      <c r="F191" s="3001"/>
      <c r="G191" s="670">
        <f>'FIP(PAP-01)'!F108</f>
        <v>4784506265.8399963</v>
      </c>
      <c r="H191" s="3835">
        <f>'FIP(PAP-01)'!I108</f>
        <v>9.4536196472329359E-2</v>
      </c>
      <c r="I191" s="3537"/>
      <c r="J191" s="3537"/>
      <c r="K191" s="3537"/>
      <c r="L191" s="3537"/>
      <c r="M191" s="3085" t="s">
        <v>349</v>
      </c>
      <c r="N191" s="3085"/>
      <c r="O191" s="3085"/>
      <c r="P191" s="3085"/>
      <c r="Q191" s="3085"/>
      <c r="R191" s="3085"/>
      <c r="S191" s="3085"/>
      <c r="T191" s="2981"/>
      <c r="U191" s="2981"/>
      <c r="V191" s="2981"/>
      <c r="W191" s="2981"/>
      <c r="X191" s="2981"/>
      <c r="Y191" s="60"/>
      <c r="Z191" s="65"/>
      <c r="AA191" s="60"/>
      <c r="AB191" s="3673"/>
      <c r="AC191" s="60"/>
      <c r="AD191" s="60"/>
      <c r="AE191" s="60"/>
      <c r="AF191" s="2332"/>
      <c r="AG191" s="60"/>
      <c r="AH191" s="60"/>
    </row>
    <row r="192" spans="1:34" s="7" customFormat="1" ht="24" customHeight="1" x14ac:dyDescent="0.35">
      <c r="A192" s="138"/>
      <c r="B192" s="138"/>
      <c r="C192" s="3021">
        <v>3</v>
      </c>
      <c r="D192" s="3646" t="str">
        <f>'FIP(PAP-01)'!D109:K109</f>
        <v>Pertumbuhan Tabungan/Simpanan</v>
      </c>
      <c r="E192" s="3647"/>
      <c r="F192" s="3647"/>
      <c r="G192" s="3647"/>
      <c r="H192" s="3647"/>
      <c r="I192" s="3647"/>
      <c r="J192" s="3647"/>
      <c r="K192" s="3647"/>
      <c r="L192" s="3648"/>
      <c r="M192" s="3080" t="str">
        <f>'FIP(PAP-01)'!L109</f>
        <v>Besarnya Pertumbuhan Tabungan/Simpanan 1 (satu) tahun buku terakhir</v>
      </c>
      <c r="N192" s="3080"/>
      <c r="O192" s="3080"/>
      <c r="P192" s="3080"/>
      <c r="Q192" s="3080"/>
      <c r="R192" s="3080"/>
      <c r="S192" s="3080"/>
      <c r="T192" s="2980"/>
      <c r="U192" s="2980"/>
      <c r="V192" s="2980"/>
      <c r="W192" s="2980"/>
      <c r="X192" s="2980"/>
      <c r="Y192" s="60"/>
      <c r="Z192" s="65"/>
      <c r="AA192" s="60"/>
      <c r="AB192" s="3673">
        <v>4</v>
      </c>
      <c r="AC192" s="60"/>
      <c r="AD192" s="60"/>
      <c r="AE192" s="60"/>
      <c r="AF192" s="2332"/>
      <c r="AG192" s="60"/>
      <c r="AH192" s="60"/>
    </row>
    <row r="193" spans="1:34" s="7" customFormat="1" ht="18" customHeight="1" x14ac:dyDescent="0.35">
      <c r="A193" s="138"/>
      <c r="B193" s="138"/>
      <c r="C193" s="3022"/>
      <c r="D193" s="3004" t="s">
        <v>54</v>
      </c>
      <c r="E193" s="3004"/>
      <c r="F193" s="3001"/>
      <c r="G193" s="670">
        <f>'FIP(PAP-01)'!F110</f>
        <v>4080684899.5999985</v>
      </c>
      <c r="H193" s="3644">
        <f>'FIP(PAP-01)'!I110</f>
        <v>0.17289041225167617</v>
      </c>
      <c r="I193" s="3644"/>
      <c r="J193" s="3644"/>
      <c r="K193" s="3644"/>
      <c r="L193" s="3644"/>
      <c r="M193" s="3085" t="s">
        <v>349</v>
      </c>
      <c r="N193" s="3085"/>
      <c r="O193" s="3085"/>
      <c r="P193" s="3085"/>
      <c r="Q193" s="3085"/>
      <c r="R193" s="3085"/>
      <c r="S193" s="3085"/>
      <c r="T193" s="2981"/>
      <c r="U193" s="2981"/>
      <c r="V193" s="2981"/>
      <c r="W193" s="2981"/>
      <c r="X193" s="2981"/>
      <c r="Y193" s="60"/>
      <c r="Z193" s="65"/>
      <c r="AA193" s="60"/>
      <c r="AB193" s="3673"/>
      <c r="AC193" s="60"/>
      <c r="AD193" s="60"/>
      <c r="AE193" s="60"/>
      <c r="AF193" s="2332"/>
      <c r="AG193" s="60"/>
      <c r="AH193" s="60"/>
    </row>
    <row r="194" spans="1:34" s="7" customFormat="1" ht="24" customHeight="1" x14ac:dyDescent="0.35">
      <c r="A194" s="138"/>
      <c r="B194" s="138"/>
      <c r="C194" s="3021">
        <v>4</v>
      </c>
      <c r="D194" s="3645" t="str">
        <f>'FIP(PAP-01)'!D111:K111</f>
        <v>Pertumbuhan Modal</v>
      </c>
      <c r="E194" s="3645"/>
      <c r="F194" s="3645"/>
      <c r="G194" s="3645"/>
      <c r="H194" s="3645"/>
      <c r="I194" s="3645"/>
      <c r="J194" s="3645"/>
      <c r="K194" s="3645"/>
      <c r="L194" s="3645"/>
      <c r="M194" s="3080" t="str">
        <f>'FIP(PAP-01)'!L111</f>
        <v>Besarnya Pertumbuhan Modal 1 (satu) tahun buku terakhir</v>
      </c>
      <c r="N194" s="3080"/>
      <c r="O194" s="3080"/>
      <c r="P194" s="3080"/>
      <c r="Q194" s="3080"/>
      <c r="R194" s="3080"/>
      <c r="S194" s="3080"/>
      <c r="T194" s="2980"/>
      <c r="U194" s="2980"/>
      <c r="V194" s="2980"/>
      <c r="W194" s="2980"/>
      <c r="X194" s="2980"/>
      <c r="Y194" s="60"/>
      <c r="Z194" s="65"/>
      <c r="AA194" s="60"/>
      <c r="AB194" s="3673">
        <v>3</v>
      </c>
      <c r="AC194" s="60"/>
      <c r="AD194" s="60"/>
      <c r="AE194" s="60"/>
      <c r="AF194" s="2332"/>
      <c r="AG194" s="60"/>
      <c r="AH194" s="60"/>
    </row>
    <row r="195" spans="1:34" s="7" customFormat="1" ht="18" customHeight="1" x14ac:dyDescent="0.35">
      <c r="A195" s="138"/>
      <c r="B195" s="138"/>
      <c r="C195" s="3022"/>
      <c r="D195" s="3004" t="s">
        <v>54</v>
      </c>
      <c r="E195" s="3004"/>
      <c r="F195" s="3001"/>
      <c r="G195" s="671">
        <f>'FIP(PAP-01)'!F112</f>
        <v>4548417566.4399986</v>
      </c>
      <c r="H195" s="3644">
        <f>'FIP(PAP-01)'!I112</f>
        <v>0.16175948690550959</v>
      </c>
      <c r="I195" s="3644"/>
      <c r="J195" s="3644"/>
      <c r="K195" s="3644"/>
      <c r="L195" s="3644"/>
      <c r="M195" s="3085" t="s">
        <v>349</v>
      </c>
      <c r="N195" s="3085"/>
      <c r="O195" s="3085"/>
      <c r="P195" s="3085"/>
      <c r="Q195" s="3085"/>
      <c r="R195" s="3085"/>
      <c r="S195" s="3085"/>
      <c r="T195" s="2981"/>
      <c r="U195" s="2981"/>
      <c r="V195" s="2981"/>
      <c r="W195" s="2981"/>
      <c r="X195" s="2981"/>
      <c r="Y195" s="60"/>
      <c r="Z195" s="65"/>
      <c r="AA195" s="60"/>
      <c r="AB195" s="3673"/>
      <c r="AC195" s="60"/>
      <c r="AD195" s="60"/>
      <c r="AE195" s="60"/>
      <c r="AF195" s="2332"/>
      <c r="AG195" s="60"/>
      <c r="AH195" s="60"/>
    </row>
    <row r="196" spans="1:34" s="7" customFormat="1" ht="36" customHeight="1" x14ac:dyDescent="0.35">
      <c r="A196" s="132"/>
      <c r="B196" s="132"/>
      <c r="C196" s="3677" t="s">
        <v>1781</v>
      </c>
      <c r="D196" s="3678"/>
      <c r="E196" s="3678"/>
      <c r="F196" s="3678"/>
      <c r="G196" s="3678"/>
      <c r="H196" s="3678"/>
      <c r="I196" s="3678"/>
      <c r="J196" s="3678"/>
      <c r="K196" s="3678"/>
      <c r="L196" s="3678"/>
      <c r="M196" s="3678"/>
      <c r="N196" s="3678"/>
      <c r="O196" s="3678"/>
      <c r="P196" s="3679"/>
      <c r="Q196" s="3006" t="s">
        <v>184</v>
      </c>
      <c r="R196" s="3007"/>
      <c r="S196" s="3008"/>
      <c r="T196" s="1510">
        <f>COUNTIF(AB188:AB195,"1")*T187</f>
        <v>1</v>
      </c>
      <c r="U196" s="1510">
        <f>COUNTIF(AB188:AB195,"2")*U187</f>
        <v>0</v>
      </c>
      <c r="V196" s="1510">
        <f>COUNTIF(AB188:AB195,"3")*V187</f>
        <v>3</v>
      </c>
      <c r="W196" s="1510">
        <f>COUNTIF(AB188:AB195,"4")*W187</f>
        <v>8</v>
      </c>
      <c r="X196" s="1510">
        <f>COUNTIF(AB188:AB195,"5")*X187</f>
        <v>0</v>
      </c>
      <c r="Y196" s="60"/>
      <c r="Z196" s="65"/>
      <c r="AA196" s="60"/>
      <c r="AB196" s="65"/>
      <c r="AC196" s="60"/>
      <c r="AD196" s="60"/>
      <c r="AE196" s="60"/>
      <c r="AF196" s="2332"/>
      <c r="AG196" s="60"/>
      <c r="AH196" s="60"/>
    </row>
    <row r="197" spans="1:34" s="7" customFormat="1" ht="63" customHeight="1" x14ac:dyDescent="0.35">
      <c r="A197" s="132"/>
      <c r="B197" s="132"/>
      <c r="C197" s="3680"/>
      <c r="D197" s="3681"/>
      <c r="E197" s="3681"/>
      <c r="F197" s="3681"/>
      <c r="G197" s="3681"/>
      <c r="H197" s="3681"/>
      <c r="I197" s="3681"/>
      <c r="J197" s="3681"/>
      <c r="K197" s="3681"/>
      <c r="L197" s="3681"/>
      <c r="M197" s="3681"/>
      <c r="N197" s="3681"/>
      <c r="O197" s="3681"/>
      <c r="P197" s="3682"/>
      <c r="Q197" s="3009"/>
      <c r="R197" s="3010"/>
      <c r="S197" s="3011"/>
      <c r="T197" s="3612">
        <f>SUM(T196:X196)</f>
        <v>12</v>
      </c>
      <c r="U197" s="3613"/>
      <c r="V197" s="3613"/>
      <c r="W197" s="3613"/>
      <c r="X197" s="3614"/>
      <c r="Y197" s="60"/>
      <c r="Z197" s="65"/>
      <c r="AA197" s="60"/>
      <c r="AB197" s="60"/>
      <c r="AC197" s="60"/>
      <c r="AD197" s="60"/>
      <c r="AE197" s="60"/>
      <c r="AF197" s="2332"/>
      <c r="AG197" s="60"/>
      <c r="AH197" s="60"/>
    </row>
    <row r="198" spans="1:34" s="7" customFormat="1" ht="134.25" customHeight="1" x14ac:dyDescent="0.35">
      <c r="A198" s="132"/>
      <c r="B198" s="132"/>
      <c r="C198" s="3683"/>
      <c r="D198" s="3684"/>
      <c r="E198" s="3684"/>
      <c r="F198" s="3684"/>
      <c r="G198" s="3684"/>
      <c r="H198" s="3684"/>
      <c r="I198" s="3684"/>
      <c r="J198" s="3684"/>
      <c r="K198" s="3684"/>
      <c r="L198" s="3684"/>
      <c r="M198" s="3684"/>
      <c r="N198" s="3684"/>
      <c r="O198" s="3684"/>
      <c r="P198" s="3685"/>
      <c r="Q198" s="3650" t="s">
        <v>182</v>
      </c>
      <c r="R198" s="3651"/>
      <c r="S198" s="3652"/>
      <c r="T198" s="3030">
        <f>T197/AF198</f>
        <v>3</v>
      </c>
      <c r="U198" s="3032"/>
      <c r="V198" s="3030" t="str">
        <f>IF(ROUND(T198,0)=1,"Sangat Tidak Memenuhi Syarat",IF(ROUND(T198,0)=2,"Tidak Memenuhi Syarat",IF(ROUND(T198,0)=3,"Cukup Memenuhi Syarat",IF(ROUND(T198,0)=4,"Memenuhi Syarat",IF(ROUND(T198,0)&gt;=5,"Sangat Memenuhi Syarat")))))</f>
        <v>Cukup Memenuhi Syarat</v>
      </c>
      <c r="W198" s="3031"/>
      <c r="X198" s="3032"/>
      <c r="Y198" s="60"/>
      <c r="Z198" s="65"/>
      <c r="AA198" s="60"/>
      <c r="AB198" s="65"/>
      <c r="AC198" s="60"/>
      <c r="AD198" s="60"/>
      <c r="AE198" s="60"/>
      <c r="AF198" s="2340">
        <f>COUNTIF(AB188:AB195,"&gt;0")</f>
        <v>4</v>
      </c>
      <c r="AG198" s="60"/>
      <c r="AH198" s="60"/>
    </row>
    <row r="199" spans="1:34" s="7" customFormat="1" ht="23.25" customHeight="1" x14ac:dyDescent="0.35">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60"/>
      <c r="Z199" s="65"/>
      <c r="AA199" s="60"/>
      <c r="AB199" s="65"/>
      <c r="AC199" s="60"/>
      <c r="AD199" s="60"/>
      <c r="AE199" s="60"/>
      <c r="AF199" s="2332"/>
      <c r="AG199" s="60"/>
      <c r="AH199" s="60"/>
    </row>
    <row r="200" spans="1:34" s="7" customFormat="1" ht="23.25" customHeight="1" x14ac:dyDescent="0.35">
      <c r="A200" s="2364" t="s">
        <v>48</v>
      </c>
      <c r="B200" s="3649" t="s">
        <v>241</v>
      </c>
      <c r="C200" s="3649"/>
      <c r="D200" s="3649"/>
      <c r="E200" s="3649"/>
      <c r="F200" s="3649"/>
      <c r="G200" s="3649"/>
      <c r="H200" s="3649"/>
      <c r="I200" s="138"/>
      <c r="J200" s="138"/>
      <c r="K200" s="138"/>
      <c r="L200" s="138"/>
      <c r="M200" s="138"/>
      <c r="N200" s="138"/>
      <c r="O200" s="138"/>
      <c r="P200" s="138"/>
      <c r="Q200" s="138"/>
      <c r="R200" s="138"/>
      <c r="S200" s="132"/>
      <c r="T200" s="132"/>
      <c r="U200" s="132"/>
      <c r="V200" s="132"/>
      <c r="W200" s="132"/>
      <c r="X200" s="132"/>
      <c r="Y200" s="60"/>
      <c r="Z200" s="65"/>
      <c r="AA200" s="60"/>
      <c r="AB200" s="65"/>
      <c r="AC200" s="60"/>
      <c r="AD200" s="60"/>
      <c r="AE200" s="60"/>
      <c r="AF200" s="2332"/>
      <c r="AG200" s="60"/>
      <c r="AH200" s="60"/>
    </row>
    <row r="201" spans="1:34" s="7" customFormat="1" ht="23.25" customHeight="1" x14ac:dyDescent="0.35">
      <c r="A201" s="2364"/>
      <c r="B201" s="2365" t="s">
        <v>447</v>
      </c>
      <c r="C201" s="2351"/>
      <c r="D201" s="2351"/>
      <c r="E201" s="2351"/>
      <c r="F201" s="2351"/>
      <c r="G201" s="2351"/>
      <c r="H201" s="2351"/>
      <c r="I201" s="138"/>
      <c r="J201" s="138"/>
      <c r="K201" s="138"/>
      <c r="L201" s="138"/>
      <c r="M201" s="138"/>
      <c r="N201" s="138"/>
      <c r="O201" s="138"/>
      <c r="P201" s="138"/>
      <c r="Q201" s="138"/>
      <c r="R201" s="138"/>
      <c r="S201" s="132"/>
      <c r="T201" s="132"/>
      <c r="U201" s="132"/>
      <c r="V201" s="132"/>
      <c r="W201" s="132"/>
      <c r="X201" s="132"/>
      <c r="Y201" s="60"/>
      <c r="Z201" s="65"/>
      <c r="AA201" s="60"/>
      <c r="AB201" s="65"/>
      <c r="AC201" s="60"/>
      <c r="AD201" s="60"/>
      <c r="AE201" s="60"/>
      <c r="AF201" s="2332"/>
      <c r="AG201" s="60"/>
      <c r="AH201" s="60"/>
    </row>
    <row r="202" spans="1:34" s="3" customFormat="1" ht="30" customHeight="1" x14ac:dyDescent="0.35">
      <c r="A202" s="2364"/>
      <c r="B202" s="2365"/>
      <c r="C202" s="3831" t="s">
        <v>836</v>
      </c>
      <c r="D202" s="3831"/>
      <c r="E202" s="3831"/>
      <c r="F202" s="3831"/>
      <c r="G202" s="3831"/>
      <c r="H202" s="3831"/>
      <c r="I202" s="3831"/>
      <c r="J202" s="3831"/>
      <c r="K202" s="3831"/>
      <c r="L202" s="3831"/>
      <c r="M202" s="138"/>
      <c r="N202" s="138"/>
      <c r="O202" s="138"/>
      <c r="P202" s="138"/>
      <c r="Q202" s="138"/>
      <c r="R202" s="138"/>
      <c r="S202" s="132"/>
      <c r="T202" s="132"/>
      <c r="U202" s="132"/>
      <c r="V202" s="132"/>
      <c r="W202" s="132"/>
      <c r="X202" s="132"/>
      <c r="Y202" s="65"/>
      <c r="Z202" s="60"/>
      <c r="AA202" s="65"/>
      <c r="AB202" s="60"/>
      <c r="AC202" s="60"/>
      <c r="AD202" s="61"/>
      <c r="AE202" s="61"/>
      <c r="AF202" s="2341"/>
      <c r="AG202" s="61"/>
      <c r="AH202" s="61"/>
    </row>
    <row r="203" spans="1:34" s="3" customFormat="1" ht="15" customHeight="1" x14ac:dyDescent="0.35">
      <c r="A203" s="2364"/>
      <c r="B203" s="2365"/>
      <c r="C203" s="3609" t="s">
        <v>103</v>
      </c>
      <c r="D203" s="3606" t="s">
        <v>214</v>
      </c>
      <c r="E203" s="3607"/>
      <c r="F203" s="3607"/>
      <c r="G203" s="3607"/>
      <c r="H203" s="3608"/>
      <c r="I203" s="3609" t="s">
        <v>364</v>
      </c>
      <c r="J203" s="3658" t="s">
        <v>448</v>
      </c>
      <c r="K203" s="3659"/>
      <c r="L203" s="3514" t="s">
        <v>449</v>
      </c>
      <c r="M203" s="3514"/>
      <c r="N203" s="3514"/>
      <c r="O203" s="3514"/>
      <c r="P203" s="3514"/>
      <c r="Q203" s="3140" t="s">
        <v>450</v>
      </c>
      <c r="R203" s="3603"/>
      <c r="S203" s="132"/>
      <c r="T203" s="132"/>
      <c r="U203" s="132"/>
      <c r="V203" s="132"/>
      <c r="W203" s="132"/>
      <c r="X203" s="132"/>
      <c r="Y203" s="65"/>
      <c r="Z203" s="60"/>
      <c r="AA203" s="65"/>
      <c r="AB203" s="60"/>
      <c r="AC203" s="60"/>
      <c r="AD203" s="61"/>
      <c r="AE203" s="61"/>
      <c r="AF203" s="2341"/>
      <c r="AG203" s="61"/>
      <c r="AH203" s="61"/>
    </row>
    <row r="204" spans="1:34" s="3" customFormat="1" ht="15" customHeight="1" x14ac:dyDescent="0.35">
      <c r="A204" s="2364"/>
      <c r="B204" s="2365"/>
      <c r="C204" s="3610"/>
      <c r="D204" s="3606" t="s">
        <v>964</v>
      </c>
      <c r="E204" s="3607"/>
      <c r="F204" s="3608"/>
      <c r="G204" s="120" t="s">
        <v>965</v>
      </c>
      <c r="H204" s="120" t="s">
        <v>39</v>
      </c>
      <c r="I204" s="3610"/>
      <c r="J204" s="3660"/>
      <c r="K204" s="3661"/>
      <c r="L204" s="1456">
        <v>1</v>
      </c>
      <c r="M204" s="1456">
        <v>2</v>
      </c>
      <c r="N204" s="1456">
        <v>3</v>
      </c>
      <c r="O204" s="1456">
        <v>4</v>
      </c>
      <c r="P204" s="1456">
        <v>5</v>
      </c>
      <c r="Q204" s="3604"/>
      <c r="R204" s="3605"/>
      <c r="S204" s="132"/>
      <c r="T204" s="132"/>
      <c r="U204" s="132"/>
      <c r="V204" s="132"/>
      <c r="W204" s="132"/>
      <c r="X204" s="132"/>
      <c r="Y204" s="65"/>
      <c r="Z204" s="60"/>
      <c r="AA204" s="65"/>
      <c r="AB204" s="60"/>
      <c r="AC204" s="60"/>
      <c r="AD204" s="61"/>
      <c r="AE204" s="61"/>
      <c r="AF204" s="2341"/>
      <c r="AG204" s="61"/>
      <c r="AH204" s="61"/>
    </row>
    <row r="205" spans="1:34" s="3" customFormat="1" ht="15" customHeight="1" x14ac:dyDescent="0.35">
      <c r="A205" s="2364"/>
      <c r="B205" s="2365"/>
      <c r="C205" s="3204" t="str">
        <f>+BATA!B113</f>
        <v>YANG DIJAMIN OLEH JAMKRIDA NTB BERSAING</v>
      </c>
      <c r="D205" s="3205"/>
      <c r="E205" s="3205"/>
      <c r="F205" s="3205"/>
      <c r="G205" s="3205"/>
      <c r="H205" s="3206"/>
      <c r="I205" s="121">
        <v>0.7</v>
      </c>
      <c r="J205" s="3621">
        <f>BATA!H113</f>
        <v>4900000000</v>
      </c>
      <c r="K205" s="3622"/>
      <c r="L205" s="3598"/>
      <c r="M205" s="3598"/>
      <c r="N205" s="3598"/>
      <c r="O205" s="3598"/>
      <c r="P205" s="3598"/>
      <c r="Q205" s="1538"/>
      <c r="R205" s="1539"/>
      <c r="S205" s="132"/>
      <c r="T205" s="132"/>
      <c r="U205" s="132"/>
      <c r="V205" s="132"/>
      <c r="W205" s="132"/>
      <c r="X205" s="132"/>
      <c r="Y205" s="65"/>
      <c r="Z205" s="60"/>
      <c r="AA205" s="65"/>
      <c r="AB205" s="60"/>
      <c r="AC205" s="60"/>
      <c r="AD205" s="61"/>
      <c r="AE205" s="61"/>
      <c r="AF205" s="2341"/>
      <c r="AG205" s="61"/>
      <c r="AH205" s="61"/>
    </row>
    <row r="206" spans="1:34" s="3" customFormat="1" ht="15" customHeight="1" x14ac:dyDescent="0.35">
      <c r="A206" s="2364"/>
      <c r="B206" s="2365"/>
      <c r="C206" s="3082" t="str">
        <f>+BATA!B114</f>
        <v>AGUNAN</v>
      </c>
      <c r="D206" s="3083"/>
      <c r="E206" s="3083"/>
      <c r="F206" s="3083"/>
      <c r="G206" s="3083"/>
      <c r="H206" s="3084"/>
      <c r="I206" s="122">
        <v>0.55000000000000004</v>
      </c>
      <c r="J206" s="3621">
        <f>BATA!H114</f>
        <v>3850000000.0000005</v>
      </c>
      <c r="K206" s="3622"/>
      <c r="L206" s="3599"/>
      <c r="M206" s="3599"/>
      <c r="N206" s="3599"/>
      <c r="O206" s="3599"/>
      <c r="P206" s="3599"/>
      <c r="Q206" s="133"/>
      <c r="R206" s="134"/>
      <c r="S206" s="132"/>
      <c r="T206" s="132"/>
      <c r="U206" s="132"/>
      <c r="V206" s="132"/>
      <c r="W206" s="132"/>
      <c r="X206" s="132"/>
      <c r="Y206" s="65"/>
      <c r="Z206" s="60"/>
      <c r="AA206" s="65"/>
      <c r="AB206" s="60"/>
      <c r="AC206" s="60"/>
      <c r="AD206" s="61"/>
      <c r="AE206" s="61"/>
      <c r="AF206" s="2341"/>
      <c r="AG206" s="61"/>
      <c r="AH206" s="61"/>
    </row>
    <row r="207" spans="1:34" s="3" customFormat="1" ht="15" customHeight="1" x14ac:dyDescent="0.35">
      <c r="A207" s="2364"/>
      <c r="B207" s="2365"/>
      <c r="C207" s="3082" t="s">
        <v>442</v>
      </c>
      <c r="D207" s="3083"/>
      <c r="E207" s="3083"/>
      <c r="F207" s="3083"/>
      <c r="G207" s="3083"/>
      <c r="H207" s="3084"/>
      <c r="I207" s="123">
        <f>SUM(I205:I206)</f>
        <v>1.25</v>
      </c>
      <c r="J207" s="3621">
        <f>SUM(J205:K206)</f>
        <v>8750000000</v>
      </c>
      <c r="K207" s="3622"/>
      <c r="L207" s="3599"/>
      <c r="M207" s="3599"/>
      <c r="N207" s="3599"/>
      <c r="O207" s="3599"/>
      <c r="P207" s="3599"/>
      <c r="Q207" s="133"/>
      <c r="R207" s="134"/>
      <c r="S207" s="132"/>
      <c r="T207" s="132"/>
      <c r="U207" s="132"/>
      <c r="V207" s="132"/>
      <c r="W207" s="132"/>
      <c r="X207" s="132"/>
      <c r="Y207" s="65"/>
      <c r="Z207" s="60"/>
      <c r="AA207" s="65"/>
      <c r="AB207" s="60"/>
      <c r="AC207" s="60"/>
      <c r="AD207" s="61"/>
      <c r="AE207" s="61"/>
      <c r="AF207" s="2341"/>
      <c r="AG207" s="61"/>
      <c r="AH207" s="61"/>
    </row>
    <row r="208" spans="1:34" s="3" customFormat="1" ht="15" customHeight="1" x14ac:dyDescent="0.35">
      <c r="A208" s="2364"/>
      <c r="B208" s="2365"/>
      <c r="C208" s="1463"/>
      <c r="D208" s="1464"/>
      <c r="E208" s="1464"/>
      <c r="F208" s="1464"/>
      <c r="G208" s="1464"/>
      <c r="H208" s="1465"/>
      <c r="I208" s="124"/>
      <c r="J208" s="125"/>
      <c r="K208" s="126"/>
      <c r="L208" s="3599"/>
      <c r="M208" s="3599"/>
      <c r="N208" s="3599"/>
      <c r="O208" s="3599"/>
      <c r="P208" s="3599"/>
      <c r="Q208" s="133"/>
      <c r="R208" s="134"/>
      <c r="S208" s="132"/>
      <c r="T208" s="132"/>
      <c r="U208" s="132"/>
      <c r="V208" s="132"/>
      <c r="W208" s="132"/>
      <c r="X208" s="132"/>
      <c r="Y208" s="65"/>
      <c r="Z208" s="60"/>
      <c r="AA208" s="65"/>
      <c r="AB208" s="60"/>
      <c r="AC208" s="60"/>
      <c r="AD208" s="61"/>
      <c r="AE208" s="61"/>
      <c r="AF208" s="2341"/>
      <c r="AG208" s="61"/>
      <c r="AH208" s="61"/>
    </row>
    <row r="209" spans="1:34" s="3" customFormat="1" ht="15" customHeight="1" x14ac:dyDescent="0.35">
      <c r="A209" s="2364"/>
      <c r="B209" s="2365"/>
      <c r="C209" s="1501"/>
      <c r="D209" s="3512" t="s">
        <v>964</v>
      </c>
      <c r="E209" s="3515"/>
      <c r="F209" s="3513"/>
      <c r="G209" s="127" t="s">
        <v>965</v>
      </c>
      <c r="H209" s="127" t="s">
        <v>39</v>
      </c>
      <c r="I209" s="128" t="s">
        <v>364</v>
      </c>
      <c r="J209" s="3512" t="s">
        <v>444</v>
      </c>
      <c r="K209" s="3513"/>
      <c r="L209" s="3599"/>
      <c r="M209" s="3599"/>
      <c r="N209" s="3599"/>
      <c r="O209" s="3599"/>
      <c r="P209" s="3599"/>
      <c r="Q209" s="133"/>
      <c r="R209" s="134"/>
      <c r="S209" s="132"/>
      <c r="T209" s="132"/>
      <c r="U209" s="132"/>
      <c r="V209" s="132"/>
      <c r="W209" s="132"/>
      <c r="X209" s="132"/>
      <c r="Y209" s="65"/>
      <c r="Z209" s="60"/>
      <c r="AA209" s="65"/>
      <c r="AB209" s="60"/>
      <c r="AC209" s="60"/>
      <c r="AD209" s="61"/>
      <c r="AE209" s="61"/>
      <c r="AF209" s="2341"/>
      <c r="AG209" s="61"/>
      <c r="AH209" s="61"/>
    </row>
    <row r="210" spans="1:34" s="3" customFormat="1" ht="15" customHeight="1" x14ac:dyDescent="0.35">
      <c r="A210" s="2364"/>
      <c r="B210" s="2365"/>
      <c r="C210" s="3674" t="s">
        <v>966</v>
      </c>
      <c r="D210" s="3675"/>
      <c r="E210" s="3675"/>
      <c r="F210" s="3675"/>
      <c r="G210" s="3675"/>
      <c r="H210" s="3676"/>
      <c r="I210" s="3654">
        <v>1</v>
      </c>
      <c r="J210" s="1461" t="s">
        <v>54</v>
      </c>
      <c r="K210" s="1461" t="s">
        <v>51</v>
      </c>
      <c r="L210" s="3600"/>
      <c r="M210" s="3600"/>
      <c r="N210" s="3600"/>
      <c r="O210" s="3600"/>
      <c r="P210" s="3600"/>
      <c r="Q210" s="133"/>
      <c r="R210" s="134"/>
      <c r="S210" s="132"/>
      <c r="T210" s="132"/>
      <c r="U210" s="132"/>
      <c r="V210" s="132"/>
      <c r="W210" s="132"/>
      <c r="X210" s="132"/>
      <c r="Y210" s="65"/>
      <c r="Z210" s="60"/>
      <c r="AA210" s="65"/>
      <c r="AB210" s="60"/>
      <c r="AC210" s="60"/>
      <c r="AD210" s="61"/>
      <c r="AE210" s="61"/>
      <c r="AF210" s="2341"/>
      <c r="AG210" s="61"/>
      <c r="AH210" s="61"/>
    </row>
    <row r="211" spans="1:34" s="3" customFormat="1" ht="30.75" customHeight="1" x14ac:dyDescent="0.35">
      <c r="A211" s="2364"/>
      <c r="B211" s="2365"/>
      <c r="C211" s="3452">
        <v>1</v>
      </c>
      <c r="D211" s="3509">
        <f>BATA!C119</f>
        <v>0</v>
      </c>
      <c r="E211" s="3510"/>
      <c r="F211" s="3511"/>
      <c r="G211" s="672">
        <f>BATA!E119</f>
        <v>0</v>
      </c>
      <c r="H211" s="673">
        <f>BATA!F119</f>
        <v>0</v>
      </c>
      <c r="I211" s="3655"/>
      <c r="J211" s="628">
        <f>H211*I210</f>
        <v>0</v>
      </c>
      <c r="K211" s="674">
        <f>IFERROR((J211/J207),0)</f>
        <v>0</v>
      </c>
      <c r="L211" s="135"/>
      <c r="M211" s="135"/>
      <c r="N211" s="135"/>
      <c r="O211" s="135"/>
      <c r="P211" s="135"/>
      <c r="Q211" s="133" t="s">
        <v>453</v>
      </c>
      <c r="R211" s="134"/>
      <c r="S211" s="132"/>
      <c r="T211" s="132"/>
      <c r="U211" s="132"/>
      <c r="V211" s="132"/>
      <c r="W211" s="132"/>
      <c r="X211" s="132"/>
      <c r="Y211" s="65"/>
      <c r="Z211" s="60"/>
      <c r="AA211" s="65">
        <v>0</v>
      </c>
      <c r="AB211" s="60"/>
      <c r="AC211" s="60"/>
      <c r="AD211" s="61"/>
      <c r="AE211" s="61"/>
      <c r="AF211" s="2341"/>
      <c r="AG211" s="61"/>
      <c r="AH211" s="61"/>
    </row>
    <row r="212" spans="1:34" s="3" customFormat="1" ht="30.75" customHeight="1" x14ac:dyDescent="0.35">
      <c r="A212" s="2364"/>
      <c r="B212" s="2365"/>
      <c r="C212" s="3454"/>
      <c r="D212" s="3509">
        <f>BATA!C120</f>
        <v>0</v>
      </c>
      <c r="E212" s="3510"/>
      <c r="F212" s="3511"/>
      <c r="G212" s="672">
        <f>BATA!E120</f>
        <v>0</v>
      </c>
      <c r="H212" s="673">
        <f>BATA!F120</f>
        <v>0</v>
      </c>
      <c r="I212" s="3655"/>
      <c r="J212" s="628">
        <f>H212*I210</f>
        <v>0</v>
      </c>
      <c r="K212" s="674">
        <f>IFERROR((J212/J207),0)</f>
        <v>0</v>
      </c>
      <c r="L212" s="135"/>
      <c r="M212" s="135"/>
      <c r="N212" s="135"/>
      <c r="O212" s="135"/>
      <c r="P212" s="135"/>
      <c r="Q212" s="133" t="s">
        <v>451</v>
      </c>
      <c r="R212" s="134"/>
      <c r="S212" s="132"/>
      <c r="T212" s="132"/>
      <c r="U212" s="132"/>
      <c r="V212" s="132"/>
      <c r="W212" s="132"/>
      <c r="X212" s="132"/>
      <c r="Y212" s="65"/>
      <c r="Z212" s="60"/>
      <c r="AA212" s="65">
        <v>0</v>
      </c>
      <c r="AB212" s="60"/>
      <c r="AC212" s="60"/>
      <c r="AD212" s="61"/>
      <c r="AE212" s="61"/>
      <c r="AF212" s="2341"/>
      <c r="AG212" s="61"/>
      <c r="AH212" s="61"/>
    </row>
    <row r="213" spans="1:34" s="3" customFormat="1" ht="30.75" customHeight="1" x14ac:dyDescent="0.35">
      <c r="A213" s="2364"/>
      <c r="B213" s="2365"/>
      <c r="C213" s="3452">
        <v>2</v>
      </c>
      <c r="D213" s="3509">
        <f>BATA!C121</f>
        <v>0</v>
      </c>
      <c r="E213" s="3510"/>
      <c r="F213" s="3511"/>
      <c r="G213" s="672">
        <f>BATA!E121</f>
        <v>0</v>
      </c>
      <c r="H213" s="673">
        <f>BATA!F121</f>
        <v>0</v>
      </c>
      <c r="I213" s="3655"/>
      <c r="J213" s="628">
        <f>H213*I210</f>
        <v>0</v>
      </c>
      <c r="K213" s="674">
        <f>IFERROR((J213/J207),0)</f>
        <v>0</v>
      </c>
      <c r="L213" s="135"/>
      <c r="M213" s="135"/>
      <c r="N213" s="135"/>
      <c r="O213" s="135"/>
      <c r="P213" s="135"/>
      <c r="Q213" s="133" t="s">
        <v>452</v>
      </c>
      <c r="R213" s="134"/>
      <c r="S213" s="132"/>
      <c r="T213" s="132"/>
      <c r="U213" s="132"/>
      <c r="V213" s="132"/>
      <c r="W213" s="132"/>
      <c r="X213" s="132"/>
      <c r="Y213" s="65"/>
      <c r="Z213" s="60"/>
      <c r="AA213" s="65">
        <v>0</v>
      </c>
      <c r="AB213" s="60"/>
      <c r="AC213" s="60"/>
      <c r="AD213" s="61"/>
      <c r="AE213" s="61"/>
      <c r="AF213" s="2341"/>
      <c r="AG213" s="61"/>
      <c r="AH213" s="61"/>
    </row>
    <row r="214" spans="1:34" s="3" customFormat="1" ht="30.75" customHeight="1" x14ac:dyDescent="0.35">
      <c r="A214" s="2364"/>
      <c r="B214" s="2365"/>
      <c r="C214" s="3454"/>
      <c r="D214" s="3509">
        <f>BATA!C122</f>
        <v>0</v>
      </c>
      <c r="E214" s="3510"/>
      <c r="F214" s="3511"/>
      <c r="G214" s="672">
        <f>BATA!E122</f>
        <v>0</v>
      </c>
      <c r="H214" s="673">
        <f>BATA!F122</f>
        <v>0</v>
      </c>
      <c r="I214" s="3655"/>
      <c r="J214" s="628">
        <f>H214*I210</f>
        <v>0</v>
      </c>
      <c r="K214" s="674">
        <f>IFERROR((J214/J207),0)</f>
        <v>0</v>
      </c>
      <c r="L214" s="135"/>
      <c r="M214" s="135"/>
      <c r="N214" s="135"/>
      <c r="O214" s="135"/>
      <c r="P214" s="135"/>
      <c r="Q214" s="133" t="s">
        <v>817</v>
      </c>
      <c r="R214" s="134"/>
      <c r="S214" s="132"/>
      <c r="T214" s="132"/>
      <c r="U214" s="132"/>
      <c r="V214" s="132"/>
      <c r="W214" s="132"/>
      <c r="X214" s="132"/>
      <c r="Y214" s="65"/>
      <c r="Z214" s="60"/>
      <c r="AA214" s="65"/>
      <c r="AB214" s="60"/>
      <c r="AC214" s="60"/>
      <c r="AD214" s="61"/>
      <c r="AE214" s="61"/>
      <c r="AF214" s="2341"/>
      <c r="AG214" s="61"/>
      <c r="AH214" s="61"/>
    </row>
    <row r="215" spans="1:34" s="3" customFormat="1" ht="15" customHeight="1" x14ac:dyDescent="0.35">
      <c r="A215" s="2364"/>
      <c r="B215" s="2365"/>
      <c r="C215" s="3674" t="s">
        <v>967</v>
      </c>
      <c r="D215" s="3675"/>
      <c r="E215" s="3675"/>
      <c r="F215" s="3675"/>
      <c r="G215" s="3675"/>
      <c r="H215" s="3676"/>
      <c r="I215" s="129"/>
      <c r="J215" s="3836"/>
      <c r="K215" s="3837"/>
      <c r="L215" s="136"/>
      <c r="M215" s="136"/>
      <c r="N215" s="136"/>
      <c r="O215" s="136"/>
      <c r="P215" s="136"/>
      <c r="Q215" s="133" t="s">
        <v>971</v>
      </c>
      <c r="R215" s="134"/>
      <c r="S215" s="132"/>
      <c r="T215" s="132"/>
      <c r="U215" s="132"/>
      <c r="V215" s="132"/>
      <c r="W215" s="132"/>
      <c r="X215" s="132"/>
      <c r="Y215" s="65"/>
      <c r="Z215" s="60"/>
      <c r="AA215" s="65"/>
      <c r="AB215" s="60"/>
      <c r="AC215" s="60"/>
      <c r="AD215" s="61"/>
      <c r="AE215" s="61"/>
      <c r="AF215" s="2341"/>
      <c r="AG215" s="61"/>
      <c r="AH215" s="61"/>
    </row>
    <row r="216" spans="1:34" s="3" customFormat="1" ht="30.75" customHeight="1" x14ac:dyDescent="0.35">
      <c r="A216" s="2364"/>
      <c r="B216" s="2365"/>
      <c r="C216" s="3452">
        <v>1</v>
      </c>
      <c r="D216" s="3509">
        <f>BATA!C124</f>
        <v>0</v>
      </c>
      <c r="E216" s="3510"/>
      <c r="F216" s="3511"/>
      <c r="G216" s="672">
        <f>BATA!E124</f>
        <v>0</v>
      </c>
      <c r="H216" s="673">
        <f>BATA!F124</f>
        <v>0</v>
      </c>
      <c r="I216" s="3655">
        <v>0.3</v>
      </c>
      <c r="J216" s="628">
        <f>H216*I216</f>
        <v>0</v>
      </c>
      <c r="K216" s="674">
        <f>IFERROR((J216/J207),0)</f>
        <v>0</v>
      </c>
      <c r="L216" s="135"/>
      <c r="M216" s="135"/>
      <c r="N216" s="135"/>
      <c r="O216" s="135"/>
      <c r="P216" s="135"/>
      <c r="Q216" s="133" t="s">
        <v>972</v>
      </c>
      <c r="R216" s="134"/>
      <c r="S216" s="132"/>
      <c r="T216" s="132"/>
      <c r="U216" s="132"/>
      <c r="V216" s="132"/>
      <c r="W216" s="132"/>
      <c r="X216" s="132"/>
      <c r="Y216" s="65"/>
      <c r="Z216" s="60"/>
      <c r="AA216" s="65">
        <v>0</v>
      </c>
      <c r="AB216" s="60"/>
      <c r="AC216" s="60"/>
      <c r="AD216" s="61"/>
      <c r="AE216" s="61"/>
      <c r="AF216" s="2341"/>
      <c r="AG216" s="61"/>
      <c r="AH216" s="61"/>
    </row>
    <row r="217" spans="1:34" s="3" customFormat="1" ht="30.75" customHeight="1" x14ac:dyDescent="0.35">
      <c r="A217" s="2364"/>
      <c r="B217" s="2365"/>
      <c r="C217" s="3454"/>
      <c r="D217" s="3509">
        <f>BATA!C125</f>
        <v>0</v>
      </c>
      <c r="E217" s="3510"/>
      <c r="F217" s="3511"/>
      <c r="G217" s="672">
        <f>BATA!E125</f>
        <v>0</v>
      </c>
      <c r="H217" s="673">
        <f>BATA!F125</f>
        <v>0</v>
      </c>
      <c r="I217" s="3655"/>
      <c r="J217" s="628">
        <f>H217*I216</f>
        <v>0</v>
      </c>
      <c r="K217" s="674">
        <f>IFERROR((J217/J207),0)</f>
        <v>0</v>
      </c>
      <c r="L217" s="135"/>
      <c r="M217" s="135"/>
      <c r="N217" s="135"/>
      <c r="O217" s="135"/>
      <c r="P217" s="135"/>
      <c r="Q217" s="133" t="s">
        <v>818</v>
      </c>
      <c r="R217" s="134"/>
      <c r="S217" s="132"/>
      <c r="T217" s="132"/>
      <c r="U217" s="132"/>
      <c r="V217" s="132"/>
      <c r="W217" s="132"/>
      <c r="X217" s="132"/>
      <c r="Y217" s="65"/>
      <c r="Z217" s="60"/>
      <c r="AA217" s="65">
        <v>0</v>
      </c>
      <c r="AB217" s="60"/>
      <c r="AC217" s="60"/>
      <c r="AD217" s="61"/>
      <c r="AE217" s="61"/>
      <c r="AF217" s="2341"/>
      <c r="AG217" s="61"/>
      <c r="AH217" s="61"/>
    </row>
    <row r="218" spans="1:34" s="3" customFormat="1" ht="30.75" customHeight="1" x14ac:dyDescent="0.35">
      <c r="A218" s="2364"/>
      <c r="B218" s="2365"/>
      <c r="C218" s="3452">
        <v>2</v>
      </c>
      <c r="D218" s="3509">
        <f>BATA!C126</f>
        <v>0</v>
      </c>
      <c r="E218" s="3510"/>
      <c r="F218" s="3511"/>
      <c r="G218" s="672">
        <f>BATA!E126</f>
        <v>0</v>
      </c>
      <c r="H218" s="673">
        <f>BATA!F126</f>
        <v>0</v>
      </c>
      <c r="I218" s="3655"/>
      <c r="J218" s="628">
        <f>H218*I210</f>
        <v>0</v>
      </c>
      <c r="K218" s="674">
        <f>IFERROR((J218/J211),0)</f>
        <v>0</v>
      </c>
      <c r="L218" s="137"/>
      <c r="M218" s="137"/>
      <c r="N218" s="137"/>
      <c r="O218" s="137"/>
      <c r="P218" s="137"/>
      <c r="Q218" s="138"/>
      <c r="R218" s="134"/>
      <c r="S218" s="132"/>
      <c r="T218" s="132"/>
      <c r="U218" s="132"/>
      <c r="V218" s="132"/>
      <c r="W218" s="132"/>
      <c r="X218" s="132"/>
      <c r="Y218" s="65"/>
      <c r="Z218" s="60"/>
      <c r="AA218" s="65">
        <v>0</v>
      </c>
      <c r="AB218" s="60"/>
      <c r="AC218" s="60"/>
      <c r="AD218" s="61"/>
      <c r="AE218" s="61"/>
      <c r="AF218" s="2341"/>
      <c r="AG218" s="61"/>
      <c r="AH218" s="61"/>
    </row>
    <row r="219" spans="1:34" s="3" customFormat="1" ht="30.75" customHeight="1" x14ac:dyDescent="0.35">
      <c r="A219" s="2364"/>
      <c r="B219" s="2365"/>
      <c r="C219" s="3454"/>
      <c r="D219" s="3509">
        <f>BATA!C127</f>
        <v>0</v>
      </c>
      <c r="E219" s="3510"/>
      <c r="F219" s="3511"/>
      <c r="G219" s="672">
        <f>BATA!E127</f>
        <v>0</v>
      </c>
      <c r="H219" s="673">
        <f>BATA!F127</f>
        <v>0</v>
      </c>
      <c r="I219" s="3657"/>
      <c r="J219" s="628">
        <f>H219*I210</f>
        <v>0</v>
      </c>
      <c r="K219" s="674">
        <f>IFERROR((J219/J212),0)</f>
        <v>0</v>
      </c>
      <c r="L219" s="137"/>
      <c r="M219" s="137"/>
      <c r="N219" s="137"/>
      <c r="O219" s="137"/>
      <c r="P219" s="137"/>
      <c r="Q219" s="133"/>
      <c r="R219" s="134"/>
      <c r="S219" s="132"/>
      <c r="T219" s="132"/>
      <c r="U219" s="132"/>
      <c r="V219" s="132"/>
      <c r="W219" s="132"/>
      <c r="X219" s="132"/>
      <c r="Y219" s="65"/>
      <c r="Z219" s="60"/>
      <c r="AA219" s="65">
        <v>0</v>
      </c>
      <c r="AB219" s="60"/>
      <c r="AC219" s="60"/>
      <c r="AD219" s="61"/>
      <c r="AE219" s="61"/>
      <c r="AF219" s="2341"/>
      <c r="AG219" s="61"/>
      <c r="AH219" s="61"/>
    </row>
    <row r="220" spans="1:34" s="3" customFormat="1" ht="15" customHeight="1" x14ac:dyDescent="0.35">
      <c r="A220" s="2364"/>
      <c r="B220" s="2365"/>
      <c r="C220" s="127"/>
      <c r="D220" s="3512" t="s">
        <v>443</v>
      </c>
      <c r="E220" s="3515"/>
      <c r="F220" s="3515"/>
      <c r="G220" s="3513"/>
      <c r="H220" s="130" t="s">
        <v>39</v>
      </c>
      <c r="I220" s="128" t="s">
        <v>364</v>
      </c>
      <c r="J220" s="3512" t="s">
        <v>444</v>
      </c>
      <c r="K220" s="3513"/>
      <c r="L220" s="3484"/>
      <c r="M220" s="3484"/>
      <c r="N220" s="3484"/>
      <c r="O220" s="3484"/>
      <c r="P220" s="3484"/>
      <c r="Q220" s="138"/>
      <c r="R220" s="134"/>
      <c r="S220" s="132"/>
      <c r="T220" s="132"/>
      <c r="U220" s="132"/>
      <c r="V220" s="132"/>
      <c r="W220" s="132"/>
      <c r="X220" s="132"/>
      <c r="Y220" s="65"/>
      <c r="Z220" s="60"/>
      <c r="AA220" s="65">
        <v>0</v>
      </c>
      <c r="AB220" s="60"/>
      <c r="AC220" s="60"/>
      <c r="AD220" s="61"/>
      <c r="AE220" s="61"/>
      <c r="AF220" s="2341"/>
      <c r="AG220" s="61"/>
      <c r="AH220" s="61"/>
    </row>
    <row r="221" spans="1:34" s="3" customFormat="1" ht="15" customHeight="1" x14ac:dyDescent="0.35">
      <c r="A221" s="2364"/>
      <c r="B221" s="2365"/>
      <c r="C221" s="3525" t="s">
        <v>968</v>
      </c>
      <c r="D221" s="3526"/>
      <c r="E221" s="3526"/>
      <c r="F221" s="3526"/>
      <c r="G221" s="3526"/>
      <c r="H221" s="3527"/>
      <c r="I221" s="3654">
        <v>0.2</v>
      </c>
      <c r="J221" s="1461" t="s">
        <v>54</v>
      </c>
      <c r="K221" s="1461" t="s">
        <v>51</v>
      </c>
      <c r="L221" s="3485"/>
      <c r="M221" s="3485"/>
      <c r="N221" s="3485"/>
      <c r="O221" s="3485"/>
      <c r="P221" s="3485"/>
      <c r="Q221" s="133"/>
      <c r="R221" s="134"/>
      <c r="S221" s="132"/>
      <c r="T221" s="132"/>
      <c r="U221" s="132"/>
      <c r="V221" s="132"/>
      <c r="W221" s="132"/>
      <c r="X221" s="132"/>
      <c r="Y221" s="65"/>
      <c r="Z221" s="60"/>
      <c r="AA221" s="65"/>
      <c r="AB221" s="60"/>
      <c r="AC221" s="60"/>
      <c r="AD221" s="61"/>
      <c r="AE221" s="61"/>
      <c r="AF221" s="2341"/>
      <c r="AG221" s="61"/>
      <c r="AH221" s="61"/>
    </row>
    <row r="222" spans="1:34" s="3" customFormat="1" ht="30.75" customHeight="1" x14ac:dyDescent="0.35">
      <c r="A222" s="2364"/>
      <c r="B222" s="2365"/>
      <c r="C222" s="1460">
        <v>1</v>
      </c>
      <c r="D222" s="3528" t="str">
        <f>BATA!C130</f>
        <v>Piutang Sehat</v>
      </c>
      <c r="E222" s="3529"/>
      <c r="F222" s="3529"/>
      <c r="G222" s="3530"/>
      <c r="H222" s="673">
        <f>BATA!F130</f>
        <v>30000000000</v>
      </c>
      <c r="I222" s="3655"/>
      <c r="J222" s="628">
        <f>H222*I221</f>
        <v>6000000000</v>
      </c>
      <c r="K222" s="674">
        <f>IFERROR((J222/J207),0)</f>
        <v>0.68571428571428572</v>
      </c>
      <c r="L222" s="135"/>
      <c r="M222" s="135"/>
      <c r="N222" s="135"/>
      <c r="O222" s="135"/>
      <c r="P222" s="135"/>
      <c r="Q222" s="133"/>
      <c r="R222" s="134"/>
      <c r="S222" s="132"/>
      <c r="T222" s="132"/>
      <c r="U222" s="132"/>
      <c r="V222" s="132"/>
      <c r="W222" s="132"/>
      <c r="X222" s="132"/>
      <c r="Y222" s="65"/>
      <c r="Z222" s="60"/>
      <c r="AA222" s="65">
        <v>4</v>
      </c>
      <c r="AB222" s="60"/>
      <c r="AC222" s="60"/>
      <c r="AD222" s="61"/>
      <c r="AE222" s="61"/>
      <c r="AF222" s="2341"/>
      <c r="AG222" s="61"/>
      <c r="AH222" s="61"/>
    </row>
    <row r="223" spans="1:34" s="3" customFormat="1" ht="30.75" customHeight="1" x14ac:dyDescent="0.35">
      <c r="A223" s="2364"/>
      <c r="B223" s="2365"/>
      <c r="C223" s="1460">
        <v>2</v>
      </c>
      <c r="D223" s="3528">
        <f>BATA!C131</f>
        <v>0</v>
      </c>
      <c r="E223" s="3529"/>
      <c r="F223" s="3529"/>
      <c r="G223" s="3530"/>
      <c r="H223" s="673">
        <f>BATA!F131</f>
        <v>0</v>
      </c>
      <c r="I223" s="3655"/>
      <c r="J223" s="628">
        <f>H223*I221</f>
        <v>0</v>
      </c>
      <c r="K223" s="674">
        <f>IFERROR((J223/J207),0)</f>
        <v>0</v>
      </c>
      <c r="L223" s="135"/>
      <c r="M223" s="135"/>
      <c r="N223" s="135"/>
      <c r="O223" s="135"/>
      <c r="P223" s="135"/>
      <c r="Q223" s="133"/>
      <c r="R223" s="134"/>
      <c r="S223" s="132"/>
      <c r="T223" s="132"/>
      <c r="U223" s="132"/>
      <c r="V223" s="132"/>
      <c r="W223" s="132"/>
      <c r="X223" s="132"/>
      <c r="Y223" s="65"/>
      <c r="Z223" s="60"/>
      <c r="AA223" s="65"/>
      <c r="AB223" s="60"/>
      <c r="AC223" s="60"/>
      <c r="AD223" s="61"/>
      <c r="AE223" s="61"/>
      <c r="AF223" s="2341"/>
      <c r="AG223" s="61"/>
      <c r="AH223" s="61"/>
    </row>
    <row r="224" spans="1:34" s="3" customFormat="1" ht="30.75" customHeight="1" x14ac:dyDescent="0.35">
      <c r="A224" s="2364"/>
      <c r="B224" s="2365"/>
      <c r="C224" s="1460">
        <v>3</v>
      </c>
      <c r="D224" s="3528">
        <f>BATA!C132</f>
        <v>0</v>
      </c>
      <c r="E224" s="3529"/>
      <c r="F224" s="3529"/>
      <c r="G224" s="3530"/>
      <c r="H224" s="673">
        <f>BATA!F132</f>
        <v>0</v>
      </c>
      <c r="I224" s="3657"/>
      <c r="J224" s="628">
        <f>H224*I221</f>
        <v>0</v>
      </c>
      <c r="K224" s="674">
        <f>IFERROR((J224/J207),0)</f>
        <v>0</v>
      </c>
      <c r="L224" s="135"/>
      <c r="M224" s="135"/>
      <c r="N224" s="135"/>
      <c r="O224" s="135"/>
      <c r="P224" s="135"/>
      <c r="Q224" s="133"/>
      <c r="R224" s="134"/>
      <c r="S224" s="132"/>
      <c r="T224" s="132"/>
      <c r="U224" s="132"/>
      <c r="V224" s="132"/>
      <c r="W224" s="132"/>
      <c r="X224" s="132"/>
      <c r="Y224" s="65"/>
      <c r="Z224" s="60"/>
      <c r="AA224" s="65"/>
      <c r="AB224" s="60"/>
      <c r="AC224" s="60"/>
      <c r="AD224" s="61"/>
      <c r="AE224" s="61"/>
      <c r="AF224" s="2341"/>
      <c r="AG224" s="61"/>
      <c r="AH224" s="61"/>
    </row>
    <row r="225" spans="1:34" s="3" customFormat="1" ht="15" customHeight="1" x14ac:dyDescent="0.35">
      <c r="A225" s="2364"/>
      <c r="B225" s="2365"/>
      <c r="C225" s="127"/>
      <c r="D225" s="3512" t="s">
        <v>969</v>
      </c>
      <c r="E225" s="3515"/>
      <c r="F225" s="3642"/>
      <c r="G225" s="3643"/>
      <c r="H225" s="130" t="s">
        <v>39</v>
      </c>
      <c r="I225" s="128" t="s">
        <v>364</v>
      </c>
      <c r="J225" s="3512" t="s">
        <v>444</v>
      </c>
      <c r="K225" s="3513"/>
      <c r="L225" s="3484"/>
      <c r="M225" s="3484"/>
      <c r="N225" s="3484"/>
      <c r="O225" s="3484"/>
      <c r="P225" s="3484"/>
      <c r="Q225" s="133" t="s">
        <v>454</v>
      </c>
      <c r="R225" s="134"/>
      <c r="S225" s="132"/>
      <c r="T225" s="132"/>
      <c r="U225" s="132"/>
      <c r="V225" s="132"/>
      <c r="W225" s="132"/>
      <c r="X225" s="132"/>
      <c r="Y225" s="65"/>
      <c r="Z225" s="60"/>
      <c r="AA225" s="65"/>
      <c r="AB225" s="60"/>
      <c r="AC225" s="60"/>
      <c r="AD225" s="61"/>
      <c r="AE225" s="61"/>
      <c r="AF225" s="2341"/>
      <c r="AG225" s="61"/>
      <c r="AH225" s="61"/>
    </row>
    <row r="226" spans="1:34" s="3" customFormat="1" ht="15" customHeight="1" x14ac:dyDescent="0.35">
      <c r="A226" s="2364"/>
      <c r="B226" s="2365"/>
      <c r="C226" s="3499" t="s">
        <v>970</v>
      </c>
      <c r="D226" s="3500"/>
      <c r="E226" s="3500"/>
      <c r="F226" s="3500"/>
      <c r="G226" s="3500"/>
      <c r="H226" s="3501"/>
      <c r="I226" s="3838">
        <v>1</v>
      </c>
      <c r="J226" s="1461" t="s">
        <v>54</v>
      </c>
      <c r="K226" s="1461" t="s">
        <v>51</v>
      </c>
      <c r="L226" s="3485"/>
      <c r="M226" s="3485"/>
      <c r="N226" s="3485"/>
      <c r="O226" s="3485"/>
      <c r="P226" s="3485"/>
      <c r="Q226" s="133" t="s">
        <v>455</v>
      </c>
      <c r="R226" s="134"/>
      <c r="S226" s="132"/>
      <c r="T226" s="132"/>
      <c r="U226" s="132"/>
      <c r="V226" s="132"/>
      <c r="W226" s="132"/>
      <c r="X226" s="132"/>
      <c r="Y226" s="65"/>
      <c r="Z226" s="60"/>
      <c r="AA226" s="65"/>
      <c r="AB226" s="60"/>
      <c r="AC226" s="60"/>
      <c r="AD226" s="61"/>
      <c r="AE226" s="61"/>
      <c r="AF226" s="2341"/>
      <c r="AG226" s="61"/>
      <c r="AH226" s="61"/>
    </row>
    <row r="227" spans="1:34" s="3" customFormat="1" ht="30.75" customHeight="1" x14ac:dyDescent="0.35">
      <c r="A227" s="2364"/>
      <c r="B227" s="2365"/>
      <c r="C227" s="131">
        <v>1</v>
      </c>
      <c r="D227" s="3502">
        <f>BATA!C135</f>
        <v>0</v>
      </c>
      <c r="E227" s="3503"/>
      <c r="F227" s="3503"/>
      <c r="G227" s="3504"/>
      <c r="H227" s="629">
        <f>BATA!F135</f>
        <v>0</v>
      </c>
      <c r="I227" s="3839"/>
      <c r="J227" s="675">
        <f>H227*I226</f>
        <v>0</v>
      </c>
      <c r="K227" s="676">
        <f>IFERROR((J227/J207),0)</f>
        <v>0</v>
      </c>
      <c r="L227" s="135"/>
      <c r="M227" s="135"/>
      <c r="N227" s="135"/>
      <c r="O227" s="135"/>
      <c r="P227" s="135"/>
      <c r="Q227" s="133" t="s">
        <v>456</v>
      </c>
      <c r="R227" s="134"/>
      <c r="S227" s="132"/>
      <c r="T227" s="132"/>
      <c r="U227" s="132"/>
      <c r="V227" s="132"/>
      <c r="W227" s="132"/>
      <c r="X227" s="132"/>
      <c r="Y227" s="65"/>
      <c r="Z227" s="60"/>
      <c r="AA227" s="65">
        <v>0</v>
      </c>
      <c r="AB227" s="60"/>
      <c r="AC227" s="60"/>
      <c r="AD227" s="61"/>
      <c r="AE227" s="61"/>
      <c r="AF227" s="2341"/>
      <c r="AG227" s="61"/>
      <c r="AH227" s="61"/>
    </row>
    <row r="228" spans="1:34" s="3" customFormat="1" ht="30.75" customHeight="1" x14ac:dyDescent="0.35">
      <c r="A228" s="2364"/>
      <c r="B228" s="2365"/>
      <c r="C228" s="131">
        <v>2</v>
      </c>
      <c r="D228" s="3502">
        <f>BATA!C136</f>
        <v>0</v>
      </c>
      <c r="E228" s="3503"/>
      <c r="F228" s="3503"/>
      <c r="G228" s="3504"/>
      <c r="H228" s="677">
        <f>BATA!F136</f>
        <v>0</v>
      </c>
      <c r="I228" s="3840"/>
      <c r="J228" s="675">
        <f>H228*I226</f>
        <v>0</v>
      </c>
      <c r="K228" s="676">
        <f>IFERROR((J228/J207),0)</f>
        <v>0</v>
      </c>
      <c r="L228" s="135"/>
      <c r="M228" s="135"/>
      <c r="N228" s="135"/>
      <c r="O228" s="135"/>
      <c r="P228" s="135"/>
      <c r="Q228" s="133" t="s">
        <v>457</v>
      </c>
      <c r="R228" s="134"/>
      <c r="S228" s="132"/>
      <c r="T228" s="132"/>
      <c r="U228" s="132"/>
      <c r="V228" s="132"/>
      <c r="W228" s="132"/>
      <c r="X228" s="132"/>
      <c r="Y228" s="65"/>
      <c r="Z228" s="60"/>
      <c r="AA228" s="65"/>
      <c r="AB228" s="60"/>
      <c r="AC228" s="60"/>
      <c r="AD228" s="61"/>
      <c r="AE228" s="61"/>
      <c r="AF228" s="2341"/>
      <c r="AG228" s="61"/>
      <c r="AH228" s="61"/>
    </row>
    <row r="229" spans="1:34" s="3" customFormat="1" ht="15" customHeight="1" x14ac:dyDescent="0.35">
      <c r="A229" s="2364"/>
      <c r="B229" s="2365"/>
      <c r="C229" s="3531" t="s">
        <v>445</v>
      </c>
      <c r="D229" s="3532"/>
      <c r="E229" s="3532"/>
      <c r="F229" s="3532"/>
      <c r="G229" s="3532"/>
      <c r="H229" s="3532"/>
      <c r="I229" s="3533"/>
      <c r="J229" s="678">
        <f>SUM(J211:J228)</f>
        <v>6000000000</v>
      </c>
      <c r="K229" s="630">
        <f>IFERROR((J229/J207),0)</f>
        <v>0.68571428571428572</v>
      </c>
      <c r="L229" s="136"/>
      <c r="M229" s="136"/>
      <c r="N229" s="136"/>
      <c r="O229" s="136"/>
      <c r="P229" s="136"/>
      <c r="Q229" s="133" t="s">
        <v>459</v>
      </c>
      <c r="R229" s="134"/>
      <c r="S229" s="132"/>
      <c r="T229" s="132"/>
      <c r="U229" s="132"/>
      <c r="V229" s="132"/>
      <c r="W229" s="132"/>
      <c r="X229" s="132"/>
      <c r="Y229" s="65"/>
      <c r="Z229" s="60"/>
      <c r="AA229" s="62"/>
      <c r="AB229" s="67"/>
      <c r="AC229" s="60"/>
      <c r="AD229" s="61"/>
      <c r="AE229" s="61"/>
      <c r="AF229" s="2341"/>
      <c r="AG229" s="61"/>
      <c r="AH229" s="61"/>
    </row>
    <row r="230" spans="1:34" s="3" customFormat="1" ht="30.75" customHeight="1" x14ac:dyDescent="0.35">
      <c r="A230" s="2364"/>
      <c r="B230" s="2365"/>
      <c r="C230" s="3531" t="s">
        <v>446</v>
      </c>
      <c r="D230" s="3532"/>
      <c r="E230" s="3532"/>
      <c r="F230" s="3532"/>
      <c r="G230" s="3532"/>
      <c r="H230" s="3532"/>
      <c r="I230" s="3533"/>
      <c r="J230" s="678">
        <f>IF(J207-J229&lt;0,0,J207-J229)</f>
        <v>2750000000</v>
      </c>
      <c r="K230" s="630">
        <f>125%-K229</f>
        <v>0.56428571428571428</v>
      </c>
      <c r="L230" s="135"/>
      <c r="M230" s="135"/>
      <c r="N230" s="135"/>
      <c r="O230" s="135"/>
      <c r="P230" s="135"/>
      <c r="Q230" s="133" t="s">
        <v>458</v>
      </c>
      <c r="R230" s="134"/>
      <c r="S230" s="132"/>
      <c r="T230" s="132"/>
      <c r="U230" s="132"/>
      <c r="V230" s="132"/>
      <c r="W230" s="139"/>
      <c r="X230" s="132"/>
      <c r="Y230" s="65"/>
      <c r="Z230" s="67"/>
      <c r="AA230" s="68">
        <v>3</v>
      </c>
      <c r="AB230" s="67"/>
      <c r="AC230" s="60"/>
      <c r="AD230" s="61"/>
      <c r="AE230" s="61"/>
      <c r="AF230" s="2341"/>
      <c r="AG230" s="61"/>
      <c r="AH230" s="61"/>
    </row>
    <row r="231" spans="1:34" s="3" customFormat="1" ht="36" customHeight="1" x14ac:dyDescent="0.35">
      <c r="A231" s="140"/>
      <c r="B231" s="141"/>
      <c r="C231" s="3847" t="s">
        <v>1800</v>
      </c>
      <c r="D231" s="3848"/>
      <c r="E231" s="3848"/>
      <c r="F231" s="3848"/>
      <c r="G231" s="3848"/>
      <c r="H231" s="3848"/>
      <c r="I231" s="3849"/>
      <c r="J231" s="3856" t="s">
        <v>235</v>
      </c>
      <c r="K231" s="3857"/>
      <c r="L231" s="2524">
        <f>COUNTIF(AA211:AA230,"1")*L204</f>
        <v>0</v>
      </c>
      <c r="M231" s="2524">
        <f>COUNTIF(AA211:AA230,"2")*M204</f>
        <v>0</v>
      </c>
      <c r="N231" s="2524">
        <f>COUNTIF(AA211:AA230,"3")*N204</f>
        <v>3</v>
      </c>
      <c r="O231" s="2524">
        <f>COUNTIF(AA211:AA230,"4")*O204</f>
        <v>4</v>
      </c>
      <c r="P231" s="2524">
        <f>COUNTIF(AA211:AA230,"5")*P204</f>
        <v>0</v>
      </c>
      <c r="Q231" s="133"/>
      <c r="R231" s="134"/>
      <c r="S231" s="132"/>
      <c r="T231" s="132"/>
      <c r="U231" s="132"/>
      <c r="V231" s="132"/>
      <c r="W231" s="132"/>
      <c r="X231" s="132"/>
      <c r="Y231" s="65"/>
      <c r="Z231" s="67"/>
      <c r="AA231" s="68"/>
      <c r="AB231" s="67"/>
      <c r="AC231" s="60"/>
      <c r="AD231" s="61"/>
      <c r="AE231" s="61"/>
      <c r="AF231" s="2341"/>
      <c r="AG231" s="61"/>
      <c r="AH231" s="61"/>
    </row>
    <row r="232" spans="1:34" s="3" customFormat="1" ht="42" customHeight="1" x14ac:dyDescent="0.35">
      <c r="A232" s="140"/>
      <c r="B232" s="141"/>
      <c r="C232" s="3850"/>
      <c r="D232" s="3851"/>
      <c r="E232" s="3851"/>
      <c r="F232" s="3851"/>
      <c r="G232" s="3851"/>
      <c r="H232" s="3851"/>
      <c r="I232" s="3852"/>
      <c r="J232" s="3858"/>
      <c r="K232" s="3859"/>
      <c r="L232" s="3498">
        <f>SUM(L231:P231)</f>
        <v>7</v>
      </c>
      <c r="M232" s="3498"/>
      <c r="N232" s="3498"/>
      <c r="O232" s="3498"/>
      <c r="P232" s="3498"/>
      <c r="Q232" s="133"/>
      <c r="R232" s="134"/>
      <c r="S232" s="132"/>
      <c r="T232" s="132"/>
      <c r="U232" s="132"/>
      <c r="V232" s="132"/>
      <c r="W232" s="132"/>
      <c r="X232" s="132"/>
      <c r="Y232" s="65"/>
      <c r="Z232" s="67"/>
      <c r="AA232" s="60"/>
      <c r="AB232" s="67"/>
      <c r="AC232" s="61"/>
      <c r="AD232" s="61"/>
      <c r="AE232" s="61"/>
      <c r="AF232" s="2341"/>
      <c r="AG232" s="61"/>
      <c r="AH232" s="61"/>
    </row>
    <row r="233" spans="1:34" s="3" customFormat="1" ht="130.5" customHeight="1" x14ac:dyDescent="0.35">
      <c r="A233" s="140"/>
      <c r="B233" s="1520"/>
      <c r="C233" s="3853"/>
      <c r="D233" s="3854"/>
      <c r="E233" s="3854"/>
      <c r="F233" s="3854"/>
      <c r="G233" s="3854"/>
      <c r="H233" s="3854"/>
      <c r="I233" s="3855"/>
      <c r="J233" s="3860" t="s">
        <v>236</v>
      </c>
      <c r="K233" s="3861"/>
      <c r="L233" s="3653">
        <f>IFERROR((L232/AF233),"0")</f>
        <v>3.5</v>
      </c>
      <c r="M233" s="3653"/>
      <c r="N233" s="3498" t="str">
        <f>IF(ROUND(L233,0)=1,"Sangat Tidak Memenuhi Syarat",IF(ROUND(L233,0)=2,"Tidak Memenuhi Syarat",IF(ROUND(L233,0)=3,"Cukup Memenuhi Syarat",IF(ROUND(L233,0)=4,"Memenuhi Syarat",IF(ROUND(L233,0)&gt;=5,"Sangat Memenuhi Syarat")))))</f>
        <v>Memenuhi Syarat</v>
      </c>
      <c r="O233" s="3498"/>
      <c r="P233" s="3498"/>
      <c r="Q233" s="142"/>
      <c r="R233" s="143"/>
      <c r="S233" s="144"/>
      <c r="T233" s="144"/>
      <c r="U233" s="144"/>
      <c r="V233" s="144"/>
      <c r="W233" s="132"/>
      <c r="X233" s="132"/>
      <c r="Y233" s="65"/>
      <c r="Z233" s="67"/>
      <c r="AA233" s="67"/>
      <c r="AB233" s="67"/>
      <c r="AC233" s="61"/>
      <c r="AD233" s="61"/>
      <c r="AE233" s="61"/>
      <c r="AF233" s="2342">
        <f>COUNTIF(AA211:AA230,"&gt;0")</f>
        <v>2</v>
      </c>
      <c r="AG233" s="61"/>
      <c r="AH233" s="61"/>
    </row>
    <row r="234" spans="1:34" s="64" customFormat="1" ht="24" customHeight="1" x14ac:dyDescent="0.35">
      <c r="A234" s="434"/>
      <c r="B234" s="434"/>
      <c r="C234" s="500"/>
      <c r="D234" s="434"/>
      <c r="E234" s="434"/>
      <c r="F234" s="434"/>
      <c r="G234" s="434"/>
      <c r="H234" s="434"/>
      <c r="I234" s="434"/>
      <c r="J234" s="434"/>
      <c r="K234" s="434"/>
      <c r="L234" s="434"/>
      <c r="M234" s="434"/>
      <c r="N234" s="434"/>
      <c r="O234" s="434"/>
      <c r="P234" s="434"/>
      <c r="Q234" s="434"/>
      <c r="R234" s="434"/>
      <c r="S234" s="434"/>
      <c r="T234" s="434"/>
      <c r="U234" s="434"/>
      <c r="V234" s="434"/>
      <c r="W234" s="434"/>
      <c r="X234" s="434"/>
      <c r="Y234" s="2325"/>
      <c r="Z234" s="2326"/>
      <c r="AA234" s="2325"/>
      <c r="AB234" s="2326"/>
      <c r="AC234" s="2325"/>
      <c r="AD234" s="2325"/>
      <c r="AE234" s="2325"/>
      <c r="AF234" s="2343"/>
      <c r="AG234" s="2325"/>
      <c r="AH234" s="2325"/>
    </row>
    <row r="235" spans="1:34" ht="24" customHeight="1" x14ac:dyDescent="0.35">
      <c r="A235" s="601"/>
      <c r="B235" s="601"/>
      <c r="C235" s="2185"/>
      <c r="D235" s="601"/>
      <c r="E235" s="601"/>
      <c r="F235" s="601"/>
      <c r="G235" s="601"/>
      <c r="H235" s="601"/>
      <c r="I235" s="601"/>
      <c r="J235" s="601"/>
      <c r="K235" s="601"/>
      <c r="L235" s="601"/>
      <c r="M235" s="601"/>
      <c r="N235" s="601"/>
      <c r="O235" s="601"/>
      <c r="P235" s="601"/>
      <c r="Q235" s="601"/>
      <c r="R235" s="601"/>
      <c r="S235" s="601"/>
      <c r="T235" s="601"/>
      <c r="U235" s="601"/>
      <c r="V235" s="601"/>
      <c r="W235" s="601"/>
      <c r="X235" s="601"/>
      <c r="Y235" s="520"/>
      <c r="Z235" s="2293"/>
      <c r="AA235" s="520"/>
      <c r="AC235" s="520"/>
      <c r="AD235" s="520"/>
      <c r="AE235" s="520"/>
      <c r="AF235" s="2344"/>
      <c r="AG235" s="520"/>
      <c r="AH235" s="520"/>
    </row>
    <row r="236" spans="1:34" ht="15" customHeight="1" x14ac:dyDescent="0.35">
      <c r="A236" s="3623" t="s">
        <v>245</v>
      </c>
      <c r="B236" s="3623"/>
      <c r="C236" s="3623"/>
      <c r="D236" s="3623"/>
      <c r="E236" s="3623"/>
      <c r="F236" s="3623"/>
      <c r="G236" s="3623"/>
      <c r="H236" s="3623"/>
      <c r="I236" s="3623"/>
      <c r="J236" s="3623"/>
      <c r="K236" s="3623"/>
      <c r="L236" s="3623"/>
      <c r="M236" s="3623"/>
      <c r="N236" s="3623"/>
      <c r="O236" s="3623"/>
      <c r="P236" s="3623"/>
      <c r="Q236" s="3623"/>
      <c r="R236" s="3623"/>
      <c r="S236" s="3623"/>
      <c r="T236" s="3623"/>
      <c r="U236" s="3623"/>
      <c r="V236" s="3623"/>
      <c r="W236" s="3623"/>
      <c r="X236" s="3623"/>
      <c r="Y236" s="520"/>
      <c r="Z236" s="2293"/>
      <c r="AA236" s="520"/>
      <c r="AC236" s="520"/>
      <c r="AD236" s="520"/>
      <c r="AE236" s="520"/>
      <c r="AF236" s="2344"/>
      <c r="AG236" s="520"/>
      <c r="AH236" s="520"/>
    </row>
    <row r="237" spans="1:34" ht="15.6" customHeight="1" x14ac:dyDescent="0.35">
      <c r="A237" s="601"/>
      <c r="B237" s="3656" t="s">
        <v>124</v>
      </c>
      <c r="C237" s="3507"/>
      <c r="D237" s="3507"/>
      <c r="E237" s="3507"/>
      <c r="F237" s="3507"/>
      <c r="G237" s="3507"/>
      <c r="H237" s="3507"/>
      <c r="I237" s="3507"/>
      <c r="J237" s="3507"/>
      <c r="K237" s="3507"/>
      <c r="L237" s="3507"/>
      <c r="M237" s="3507"/>
      <c r="N237" s="3507"/>
      <c r="O237" s="3507"/>
      <c r="P237" s="3507"/>
      <c r="Q237" s="3507"/>
      <c r="R237" s="3507"/>
      <c r="S237" s="3507"/>
      <c r="T237" s="3507"/>
      <c r="U237" s="3507"/>
      <c r="V237" s="3507"/>
      <c r="W237" s="3507"/>
      <c r="X237" s="3508"/>
      <c r="Y237" s="520"/>
      <c r="Z237" s="2293"/>
      <c r="AA237" s="520"/>
      <c r="AC237" s="520"/>
      <c r="AD237" s="520"/>
      <c r="AE237" s="520"/>
      <c r="AF237" s="2344"/>
      <c r="AG237" s="520"/>
      <c r="AH237" s="520"/>
    </row>
    <row r="238" spans="1:34" ht="15" customHeight="1" x14ac:dyDescent="0.35">
      <c r="A238" s="600"/>
      <c r="B238" s="2366"/>
      <c r="C238" s="2164" t="s">
        <v>55</v>
      </c>
      <c r="D238" s="600" t="s">
        <v>125</v>
      </c>
      <c r="E238" s="600"/>
      <c r="F238" s="600"/>
      <c r="G238" s="600"/>
      <c r="H238" s="601"/>
      <c r="I238" s="601"/>
      <c r="J238" s="601"/>
      <c r="K238" s="601"/>
      <c r="L238" s="601"/>
      <c r="M238" s="601"/>
      <c r="N238" s="601"/>
      <c r="O238" s="601"/>
      <c r="P238" s="601"/>
      <c r="Q238" s="601"/>
      <c r="R238" s="2198"/>
      <c r="S238" s="2198"/>
      <c r="T238" s="3168" t="s">
        <v>345</v>
      </c>
      <c r="U238" s="3168"/>
      <c r="V238" s="3168"/>
      <c r="W238" s="3168"/>
      <c r="X238" s="3168"/>
      <c r="Y238" s="520"/>
      <c r="Z238" s="2293"/>
      <c r="AA238" s="520"/>
      <c r="AC238" s="520"/>
      <c r="AD238" s="520"/>
      <c r="AE238" s="520"/>
      <c r="AF238" s="2344"/>
      <c r="AG238" s="520"/>
      <c r="AH238" s="520"/>
    </row>
    <row r="239" spans="1:34" ht="15" customHeight="1" x14ac:dyDescent="0.35">
      <c r="A239" s="601"/>
      <c r="B239" s="564"/>
      <c r="C239" s="2185"/>
      <c r="D239" s="1453" t="s">
        <v>103</v>
      </c>
      <c r="E239" s="3204" t="s">
        <v>104</v>
      </c>
      <c r="F239" s="3205"/>
      <c r="G239" s="3205"/>
      <c r="H239" s="3206"/>
      <c r="I239" s="2992" t="s">
        <v>106</v>
      </c>
      <c r="J239" s="2992"/>
      <c r="K239" s="2992"/>
      <c r="L239" s="2992"/>
      <c r="M239" s="2992"/>
      <c r="N239" s="2992"/>
      <c r="O239" s="2992"/>
      <c r="P239" s="3082" t="s">
        <v>40</v>
      </c>
      <c r="Q239" s="3083"/>
      <c r="R239" s="3083"/>
      <c r="S239" s="3084"/>
      <c r="T239" s="1456">
        <v>1</v>
      </c>
      <c r="U239" s="1456">
        <v>2</v>
      </c>
      <c r="V239" s="1456">
        <v>3</v>
      </c>
      <c r="W239" s="1456">
        <v>4</v>
      </c>
      <c r="X239" s="1456">
        <v>5</v>
      </c>
      <c r="Y239" s="520"/>
      <c r="Z239" s="2293"/>
      <c r="AA239" s="520"/>
      <c r="AC239" s="520"/>
      <c r="AD239" s="520"/>
      <c r="AE239" s="520"/>
      <c r="AF239" s="2344"/>
      <c r="AG239" s="520"/>
      <c r="AH239" s="520"/>
    </row>
    <row r="240" spans="1:34" ht="15.75" customHeight="1" x14ac:dyDescent="0.35">
      <c r="A240" s="601"/>
      <c r="B240" s="564"/>
      <c r="C240" s="2185"/>
      <c r="D240" s="3166">
        <v>1</v>
      </c>
      <c r="E240" s="3086" t="s">
        <v>1495</v>
      </c>
      <c r="F240" s="3087"/>
      <c r="G240" s="3087"/>
      <c r="H240" s="3088"/>
      <c r="I240" s="3624" t="s">
        <v>1585</v>
      </c>
      <c r="J240" s="3625"/>
      <c r="K240" s="3625"/>
      <c r="L240" s="3625"/>
      <c r="M240" s="3625"/>
      <c r="N240" s="3625"/>
      <c r="O240" s="3626"/>
      <c r="P240" s="3472" t="s">
        <v>159</v>
      </c>
      <c r="Q240" s="3473"/>
      <c r="R240" s="3473"/>
      <c r="S240" s="3474"/>
      <c r="T240" s="3486"/>
      <c r="U240" s="3486"/>
      <c r="V240" s="3486"/>
      <c r="W240" s="3486"/>
      <c r="X240" s="3490"/>
      <c r="Y240" s="520"/>
      <c r="Z240" s="2293"/>
      <c r="AA240" s="520"/>
      <c r="AB240" s="3611">
        <v>5</v>
      </c>
      <c r="AC240" s="520"/>
      <c r="AD240" s="520"/>
      <c r="AE240" s="520"/>
      <c r="AF240" s="2344"/>
      <c r="AG240" s="520"/>
      <c r="AH240" s="520"/>
    </row>
    <row r="241" spans="1:34" ht="15.75" customHeight="1" x14ac:dyDescent="0.35">
      <c r="A241" s="601"/>
      <c r="B241" s="564"/>
      <c r="C241" s="2185"/>
      <c r="D241" s="3167"/>
      <c r="E241" s="3089"/>
      <c r="F241" s="3090"/>
      <c r="G241" s="3090"/>
      <c r="H241" s="3091"/>
      <c r="I241" s="3627"/>
      <c r="J241" s="3628"/>
      <c r="K241" s="3628"/>
      <c r="L241" s="3628"/>
      <c r="M241" s="3628"/>
      <c r="N241" s="3628"/>
      <c r="O241" s="3629"/>
      <c r="P241" s="3475"/>
      <c r="Q241" s="3476"/>
      <c r="R241" s="3476"/>
      <c r="S241" s="3477"/>
      <c r="T241" s="3487"/>
      <c r="U241" s="3487"/>
      <c r="V241" s="3487"/>
      <c r="W241" s="3487"/>
      <c r="X241" s="3491"/>
      <c r="Y241" s="520"/>
      <c r="Z241" s="2293"/>
      <c r="AA241" s="520"/>
      <c r="AB241" s="3611"/>
      <c r="AC241" s="520"/>
      <c r="AD241" s="520"/>
      <c r="AE241" s="520"/>
      <c r="AF241" s="2344"/>
      <c r="AG241" s="520"/>
      <c r="AH241" s="520"/>
    </row>
    <row r="242" spans="1:34" ht="15.75" customHeight="1" x14ac:dyDescent="0.35">
      <c r="A242" s="601"/>
      <c r="B242" s="564"/>
      <c r="C242" s="2185"/>
      <c r="D242" s="3167"/>
      <c r="E242" s="3089"/>
      <c r="F242" s="3090"/>
      <c r="G242" s="3090"/>
      <c r="H242" s="3091"/>
      <c r="I242" s="3627"/>
      <c r="J242" s="3628"/>
      <c r="K242" s="3628"/>
      <c r="L242" s="3628"/>
      <c r="M242" s="3628"/>
      <c r="N242" s="3628"/>
      <c r="O242" s="3629"/>
      <c r="P242" s="3475"/>
      <c r="Q242" s="3476"/>
      <c r="R242" s="3476"/>
      <c r="S242" s="3477"/>
      <c r="T242" s="3487"/>
      <c r="U242" s="3487"/>
      <c r="V242" s="3487"/>
      <c r="W242" s="3487"/>
      <c r="X242" s="3491"/>
      <c r="Y242" s="520"/>
      <c r="Z242" s="2293"/>
      <c r="AA242" s="520"/>
      <c r="AB242" s="3611"/>
      <c r="AC242" s="520"/>
      <c r="AD242" s="520"/>
      <c r="AE242" s="520"/>
      <c r="AF242" s="2344"/>
      <c r="AG242" s="520"/>
      <c r="AH242" s="520"/>
    </row>
    <row r="243" spans="1:34" ht="15.75" customHeight="1" x14ac:dyDescent="0.35">
      <c r="A243" s="601"/>
      <c r="B243" s="564"/>
      <c r="C243" s="2185"/>
      <c r="D243" s="3167"/>
      <c r="E243" s="3089"/>
      <c r="F243" s="3090"/>
      <c r="G243" s="3090"/>
      <c r="H243" s="3091"/>
      <c r="I243" s="3627"/>
      <c r="J243" s="3628"/>
      <c r="K243" s="3628"/>
      <c r="L243" s="3628"/>
      <c r="M243" s="3628"/>
      <c r="N243" s="3628"/>
      <c r="O243" s="3629"/>
      <c r="P243" s="3475"/>
      <c r="Q243" s="3476"/>
      <c r="R243" s="3476"/>
      <c r="S243" s="3477"/>
      <c r="T243" s="3487"/>
      <c r="U243" s="3487"/>
      <c r="V243" s="3487"/>
      <c r="W243" s="3487"/>
      <c r="X243" s="3491"/>
      <c r="Y243" s="520"/>
      <c r="Z243" s="2293"/>
      <c r="AA243" s="520"/>
      <c r="AB243" s="3611"/>
      <c r="AC243" s="520"/>
      <c r="AD243" s="520"/>
      <c r="AE243" s="520"/>
      <c r="AF243" s="2344"/>
      <c r="AG243" s="520"/>
      <c r="AH243" s="520"/>
    </row>
    <row r="244" spans="1:34" ht="15.75" customHeight="1" x14ac:dyDescent="0.35">
      <c r="A244" s="601"/>
      <c r="B244" s="564"/>
      <c r="C244" s="2185"/>
      <c r="D244" s="3167"/>
      <c r="E244" s="3089"/>
      <c r="F244" s="3090"/>
      <c r="G244" s="3090"/>
      <c r="H244" s="3091"/>
      <c r="I244" s="3627"/>
      <c r="J244" s="3628"/>
      <c r="K244" s="3628"/>
      <c r="L244" s="3628"/>
      <c r="M244" s="3628"/>
      <c r="N244" s="3628"/>
      <c r="O244" s="3629"/>
      <c r="P244" s="3475"/>
      <c r="Q244" s="3476"/>
      <c r="R244" s="3476"/>
      <c r="S244" s="3477"/>
      <c r="T244" s="3487"/>
      <c r="U244" s="3487"/>
      <c r="V244" s="3487"/>
      <c r="W244" s="3487"/>
      <c r="X244" s="3491"/>
      <c r="Y244" s="520"/>
      <c r="Z244" s="2293"/>
      <c r="AA244" s="520"/>
      <c r="AB244" s="3611"/>
      <c r="AC244" s="520"/>
      <c r="AD244" s="520"/>
      <c r="AE244" s="520"/>
      <c r="AF244" s="2344"/>
      <c r="AG244" s="520"/>
      <c r="AH244" s="520"/>
    </row>
    <row r="245" spans="1:34" ht="15.75" customHeight="1" x14ac:dyDescent="0.35">
      <c r="A245" s="601"/>
      <c r="B245" s="564"/>
      <c r="C245" s="2185"/>
      <c r="D245" s="3168"/>
      <c r="E245" s="3092"/>
      <c r="F245" s="3093"/>
      <c r="G245" s="3093"/>
      <c r="H245" s="3094"/>
      <c r="I245" s="3630"/>
      <c r="J245" s="3631"/>
      <c r="K245" s="3631"/>
      <c r="L245" s="3631"/>
      <c r="M245" s="3631"/>
      <c r="N245" s="3631"/>
      <c r="O245" s="3632"/>
      <c r="P245" s="3478"/>
      <c r="Q245" s="3479"/>
      <c r="R245" s="3479"/>
      <c r="S245" s="3480"/>
      <c r="T245" s="3487"/>
      <c r="U245" s="3487"/>
      <c r="V245" s="3487"/>
      <c r="W245" s="3487"/>
      <c r="X245" s="3491"/>
      <c r="Y245" s="520"/>
      <c r="Z245" s="2293"/>
      <c r="AA245" s="520"/>
      <c r="AB245" s="3611"/>
      <c r="AC245" s="520"/>
      <c r="AD245" s="520"/>
      <c r="AE245" s="520"/>
      <c r="AF245" s="2344"/>
      <c r="AG245" s="520"/>
      <c r="AH245" s="520"/>
    </row>
    <row r="246" spans="1:34" ht="15.75" customHeight="1" x14ac:dyDescent="0.35">
      <c r="A246" s="601"/>
      <c r="B246" s="564"/>
      <c r="C246" s="2185"/>
      <c r="D246" s="3166">
        <v>2</v>
      </c>
      <c r="E246" s="3086" t="s">
        <v>126</v>
      </c>
      <c r="F246" s="3087"/>
      <c r="G246" s="3087"/>
      <c r="H246" s="3088"/>
      <c r="I246" s="3458" t="s">
        <v>819</v>
      </c>
      <c r="J246" s="3459"/>
      <c r="K246" s="3459"/>
      <c r="L246" s="3459"/>
      <c r="M246" s="3459"/>
      <c r="N246" s="3459"/>
      <c r="O246" s="3460"/>
      <c r="P246" s="3472" t="s">
        <v>483</v>
      </c>
      <c r="Q246" s="3473"/>
      <c r="R246" s="3473"/>
      <c r="S246" s="3474"/>
      <c r="T246" s="3486"/>
      <c r="U246" s="3486"/>
      <c r="V246" s="3486"/>
      <c r="W246" s="3486"/>
      <c r="X246" s="3490"/>
      <c r="Y246" s="520"/>
      <c r="Z246" s="2293"/>
      <c r="AA246" s="520"/>
      <c r="AB246" s="3611">
        <v>3</v>
      </c>
      <c r="AC246" s="520"/>
      <c r="AD246" s="520"/>
      <c r="AE246" s="520"/>
      <c r="AF246" s="2344"/>
      <c r="AG246" s="520"/>
      <c r="AH246" s="520"/>
    </row>
    <row r="247" spans="1:34" ht="15.75" customHeight="1" x14ac:dyDescent="0.35">
      <c r="A247" s="601"/>
      <c r="B247" s="564"/>
      <c r="C247" s="2185"/>
      <c r="D247" s="3167"/>
      <c r="E247" s="3089"/>
      <c r="F247" s="3090"/>
      <c r="G247" s="3090"/>
      <c r="H247" s="3091"/>
      <c r="I247" s="3461"/>
      <c r="J247" s="3462"/>
      <c r="K247" s="3462"/>
      <c r="L247" s="3462"/>
      <c r="M247" s="3462"/>
      <c r="N247" s="3462"/>
      <c r="O247" s="3463"/>
      <c r="P247" s="3475"/>
      <c r="Q247" s="3476"/>
      <c r="R247" s="3476"/>
      <c r="S247" s="3477"/>
      <c r="T247" s="3487"/>
      <c r="U247" s="3487"/>
      <c r="V247" s="3487"/>
      <c r="W247" s="3487"/>
      <c r="X247" s="3491"/>
      <c r="Y247" s="520"/>
      <c r="Z247" s="2293"/>
      <c r="AA247" s="520"/>
      <c r="AB247" s="3611"/>
      <c r="AC247" s="520"/>
      <c r="AD247" s="520"/>
      <c r="AE247" s="520"/>
      <c r="AF247" s="2344"/>
      <c r="AG247" s="520"/>
      <c r="AH247" s="520"/>
    </row>
    <row r="248" spans="1:34" ht="15.75" customHeight="1" x14ac:dyDescent="0.35">
      <c r="A248" s="601"/>
      <c r="B248" s="2366"/>
      <c r="C248" s="2185"/>
      <c r="D248" s="3167"/>
      <c r="E248" s="3089"/>
      <c r="F248" s="3090"/>
      <c r="G248" s="3090"/>
      <c r="H248" s="3091"/>
      <c r="I248" s="3461"/>
      <c r="J248" s="3462"/>
      <c r="K248" s="3462"/>
      <c r="L248" s="3462"/>
      <c r="M248" s="3462"/>
      <c r="N248" s="3462"/>
      <c r="O248" s="3463"/>
      <c r="P248" s="3475"/>
      <c r="Q248" s="3476"/>
      <c r="R248" s="3476"/>
      <c r="S248" s="3477"/>
      <c r="T248" s="3487"/>
      <c r="U248" s="3487"/>
      <c r="V248" s="3487"/>
      <c r="W248" s="3487"/>
      <c r="X248" s="3491"/>
      <c r="Y248" s="520"/>
      <c r="Z248" s="2293"/>
      <c r="AA248" s="520"/>
      <c r="AB248" s="3611"/>
      <c r="AC248" s="520"/>
      <c r="AD248" s="520"/>
      <c r="AE248" s="520"/>
      <c r="AF248" s="2344"/>
      <c r="AG248" s="520"/>
      <c r="AH248" s="520"/>
    </row>
    <row r="249" spans="1:34" ht="15.75" customHeight="1" x14ac:dyDescent="0.35">
      <c r="A249" s="601"/>
      <c r="B249" s="2366"/>
      <c r="C249" s="2185"/>
      <c r="D249" s="3167"/>
      <c r="E249" s="3089"/>
      <c r="F249" s="3090"/>
      <c r="G249" s="3090"/>
      <c r="H249" s="3091"/>
      <c r="I249" s="3461"/>
      <c r="J249" s="3462"/>
      <c r="K249" s="3462"/>
      <c r="L249" s="3462"/>
      <c r="M249" s="3462"/>
      <c r="N249" s="3462"/>
      <c r="O249" s="3463"/>
      <c r="P249" s="3475"/>
      <c r="Q249" s="3476"/>
      <c r="R249" s="3476"/>
      <c r="S249" s="3477"/>
      <c r="T249" s="3487"/>
      <c r="U249" s="3487"/>
      <c r="V249" s="3487"/>
      <c r="W249" s="3487"/>
      <c r="X249" s="3491"/>
      <c r="Y249" s="520"/>
      <c r="Z249" s="2293"/>
      <c r="AA249" s="520"/>
      <c r="AB249" s="3611"/>
      <c r="AC249" s="520"/>
      <c r="AD249" s="520"/>
      <c r="AE249" s="520"/>
      <c r="AF249" s="2344"/>
      <c r="AG249" s="520"/>
      <c r="AH249" s="520"/>
    </row>
    <row r="250" spans="1:34" ht="15.75" customHeight="1" x14ac:dyDescent="0.35">
      <c r="A250" s="601"/>
      <c r="B250" s="2366"/>
      <c r="C250" s="2185"/>
      <c r="D250" s="3167"/>
      <c r="E250" s="3089"/>
      <c r="F250" s="3090"/>
      <c r="G250" s="3090"/>
      <c r="H250" s="3091"/>
      <c r="I250" s="3461"/>
      <c r="J250" s="3462"/>
      <c r="K250" s="3462"/>
      <c r="L250" s="3462"/>
      <c r="M250" s="3462"/>
      <c r="N250" s="3462"/>
      <c r="O250" s="3463"/>
      <c r="P250" s="3475"/>
      <c r="Q250" s="3476"/>
      <c r="R250" s="3476"/>
      <c r="S250" s="3477"/>
      <c r="T250" s="3487"/>
      <c r="U250" s="3487"/>
      <c r="V250" s="3487"/>
      <c r="W250" s="3487"/>
      <c r="X250" s="3491"/>
      <c r="Y250" s="520"/>
      <c r="Z250" s="2293"/>
      <c r="AA250" s="520"/>
      <c r="AB250" s="3611"/>
      <c r="AC250" s="520"/>
      <c r="AD250" s="520"/>
      <c r="AE250" s="520"/>
      <c r="AF250" s="2344"/>
      <c r="AG250" s="520"/>
      <c r="AH250" s="520"/>
    </row>
    <row r="251" spans="1:34" ht="15.75" customHeight="1" x14ac:dyDescent="0.35">
      <c r="A251" s="601"/>
      <c r="B251" s="2366"/>
      <c r="C251" s="2185"/>
      <c r="D251" s="3168"/>
      <c r="E251" s="3092"/>
      <c r="F251" s="3093"/>
      <c r="G251" s="3093"/>
      <c r="H251" s="3094"/>
      <c r="I251" s="3464"/>
      <c r="J251" s="3465"/>
      <c r="K251" s="3465"/>
      <c r="L251" s="3465"/>
      <c r="M251" s="3465"/>
      <c r="N251" s="3465"/>
      <c r="O251" s="3466"/>
      <c r="P251" s="3478"/>
      <c r="Q251" s="3479"/>
      <c r="R251" s="3479"/>
      <c r="S251" s="3480"/>
      <c r="T251" s="3487"/>
      <c r="U251" s="3487"/>
      <c r="V251" s="3487"/>
      <c r="W251" s="3487"/>
      <c r="X251" s="3491"/>
      <c r="Y251" s="520"/>
      <c r="Z251" s="2293"/>
      <c r="AA251" s="520"/>
      <c r="AB251" s="3611"/>
      <c r="AC251" s="520"/>
      <c r="AD251" s="520"/>
      <c r="AE251" s="520"/>
      <c r="AF251" s="2344"/>
      <c r="AG251" s="520"/>
      <c r="AH251" s="520"/>
    </row>
    <row r="252" spans="1:34" ht="15.75" customHeight="1" x14ac:dyDescent="0.35">
      <c r="A252" s="601"/>
      <c r="B252" s="2366"/>
      <c r="C252" s="2185"/>
      <c r="D252" s="3166">
        <v>3</v>
      </c>
      <c r="E252" s="3086" t="s">
        <v>1589</v>
      </c>
      <c r="F252" s="3087"/>
      <c r="G252" s="3087"/>
      <c r="H252" s="3088"/>
      <c r="I252" s="3458" t="s">
        <v>820</v>
      </c>
      <c r="J252" s="3459"/>
      <c r="K252" s="3459"/>
      <c r="L252" s="3459"/>
      <c r="M252" s="3459"/>
      <c r="N252" s="3459"/>
      <c r="O252" s="3460"/>
      <c r="P252" s="3433" t="s">
        <v>160</v>
      </c>
      <c r="Q252" s="3434"/>
      <c r="R252" s="3434"/>
      <c r="S252" s="3435"/>
      <c r="T252" s="3486"/>
      <c r="U252" s="3486"/>
      <c r="V252" s="3486"/>
      <c r="W252" s="3486"/>
      <c r="X252" s="3490"/>
      <c r="Y252" s="520"/>
      <c r="Z252" s="2293"/>
      <c r="AA252" s="520"/>
      <c r="AB252" s="3611">
        <v>4</v>
      </c>
      <c r="AC252" s="520"/>
      <c r="AD252" s="520"/>
      <c r="AE252" s="520"/>
      <c r="AF252" s="2344"/>
      <c r="AG252" s="520"/>
      <c r="AH252" s="520"/>
    </row>
    <row r="253" spans="1:34" ht="15.75" customHeight="1" x14ac:dyDescent="0.35">
      <c r="A253" s="601"/>
      <c r="B253" s="2366"/>
      <c r="C253" s="2185"/>
      <c r="D253" s="3167"/>
      <c r="E253" s="3089"/>
      <c r="F253" s="3090"/>
      <c r="G253" s="3090"/>
      <c r="H253" s="3091"/>
      <c r="I253" s="3461"/>
      <c r="J253" s="3462"/>
      <c r="K253" s="3462"/>
      <c r="L253" s="3462"/>
      <c r="M253" s="3462"/>
      <c r="N253" s="3462"/>
      <c r="O253" s="3463"/>
      <c r="P253" s="3436"/>
      <c r="Q253" s="3437"/>
      <c r="R253" s="3437"/>
      <c r="S253" s="3438"/>
      <c r="T253" s="3487"/>
      <c r="U253" s="3487"/>
      <c r="V253" s="3487"/>
      <c r="W253" s="3487"/>
      <c r="X253" s="3491"/>
      <c r="Y253" s="520"/>
      <c r="Z253" s="2293"/>
      <c r="AA253" s="520"/>
      <c r="AB253" s="3611"/>
      <c r="AC253" s="520"/>
      <c r="AD253" s="520"/>
      <c r="AE253" s="520"/>
      <c r="AF253" s="2344"/>
      <c r="AG253" s="520"/>
      <c r="AH253" s="520"/>
    </row>
    <row r="254" spans="1:34" ht="15.75" customHeight="1" x14ac:dyDescent="0.35">
      <c r="A254" s="601"/>
      <c r="B254" s="2366"/>
      <c r="C254" s="2185"/>
      <c r="D254" s="3167"/>
      <c r="E254" s="3089"/>
      <c r="F254" s="3090"/>
      <c r="G254" s="3090"/>
      <c r="H254" s="3091"/>
      <c r="I254" s="3461"/>
      <c r="J254" s="3462"/>
      <c r="K254" s="3462"/>
      <c r="L254" s="3462"/>
      <c r="M254" s="3462"/>
      <c r="N254" s="3462"/>
      <c r="O254" s="3463"/>
      <c r="P254" s="3436"/>
      <c r="Q254" s="3437"/>
      <c r="R254" s="3437"/>
      <c r="S254" s="3438"/>
      <c r="T254" s="3487"/>
      <c r="U254" s="3487"/>
      <c r="V254" s="3487"/>
      <c r="W254" s="3487"/>
      <c r="X254" s="3491"/>
      <c r="Y254" s="520"/>
      <c r="Z254" s="2293"/>
      <c r="AA254" s="520"/>
      <c r="AB254" s="3611"/>
      <c r="AC254" s="520"/>
      <c r="AD254" s="520"/>
      <c r="AE254" s="520"/>
      <c r="AF254" s="2344"/>
      <c r="AG254" s="520"/>
      <c r="AH254" s="520"/>
    </row>
    <row r="255" spans="1:34" ht="15.75" customHeight="1" x14ac:dyDescent="0.35">
      <c r="A255" s="601"/>
      <c r="B255" s="2366"/>
      <c r="C255" s="2185"/>
      <c r="D255" s="3167"/>
      <c r="E255" s="3089"/>
      <c r="F255" s="3090"/>
      <c r="G255" s="3090"/>
      <c r="H255" s="3091"/>
      <c r="I255" s="3461"/>
      <c r="J255" s="3462"/>
      <c r="K255" s="3462"/>
      <c r="L255" s="3462"/>
      <c r="M255" s="3462"/>
      <c r="N255" s="3462"/>
      <c r="O255" s="3463"/>
      <c r="P255" s="3436"/>
      <c r="Q255" s="3437"/>
      <c r="R255" s="3437"/>
      <c r="S255" s="3438"/>
      <c r="T255" s="3487"/>
      <c r="U255" s="3487"/>
      <c r="V255" s="3487"/>
      <c r="W255" s="3487"/>
      <c r="X255" s="3491"/>
      <c r="Y255" s="520"/>
      <c r="Z255" s="2293"/>
      <c r="AA255" s="520"/>
      <c r="AB255" s="3611"/>
      <c r="AC255" s="520"/>
      <c r="AD255" s="520"/>
      <c r="AE255" s="520"/>
      <c r="AF255" s="2344"/>
      <c r="AG255" s="520"/>
      <c r="AH255" s="520"/>
    </row>
    <row r="256" spans="1:34" ht="15.75" customHeight="1" x14ac:dyDescent="0.35">
      <c r="A256" s="601"/>
      <c r="B256" s="2366"/>
      <c r="C256" s="2185"/>
      <c r="D256" s="3167"/>
      <c r="E256" s="3089"/>
      <c r="F256" s="3090"/>
      <c r="G256" s="3090"/>
      <c r="H256" s="3091"/>
      <c r="I256" s="3461"/>
      <c r="J256" s="3462"/>
      <c r="K256" s="3462"/>
      <c r="L256" s="3462"/>
      <c r="M256" s="3462"/>
      <c r="N256" s="3462"/>
      <c r="O256" s="3463"/>
      <c r="P256" s="3436"/>
      <c r="Q256" s="3437"/>
      <c r="R256" s="3437"/>
      <c r="S256" s="3438"/>
      <c r="T256" s="3487"/>
      <c r="U256" s="3487"/>
      <c r="V256" s="3487"/>
      <c r="W256" s="3487"/>
      <c r="X256" s="3491"/>
      <c r="Y256" s="520"/>
      <c r="Z256" s="2293"/>
      <c r="AA256" s="520"/>
      <c r="AB256" s="3611"/>
      <c r="AC256" s="520"/>
      <c r="AD256" s="520"/>
      <c r="AE256" s="520"/>
      <c r="AF256" s="2344"/>
      <c r="AG256" s="520"/>
      <c r="AH256" s="520"/>
    </row>
    <row r="257" spans="1:34" ht="15.75" customHeight="1" x14ac:dyDescent="0.35">
      <c r="A257" s="601"/>
      <c r="B257" s="2366"/>
      <c r="C257" s="2185"/>
      <c r="D257" s="3168"/>
      <c r="E257" s="3092"/>
      <c r="F257" s="3093"/>
      <c r="G257" s="3093"/>
      <c r="H257" s="3094"/>
      <c r="I257" s="3464"/>
      <c r="J257" s="3465"/>
      <c r="K257" s="3465"/>
      <c r="L257" s="3465"/>
      <c r="M257" s="3465"/>
      <c r="N257" s="3465"/>
      <c r="O257" s="3466"/>
      <c r="P257" s="3439"/>
      <c r="Q257" s="3440"/>
      <c r="R257" s="3440"/>
      <c r="S257" s="3441"/>
      <c r="T257" s="3487"/>
      <c r="U257" s="3487"/>
      <c r="V257" s="3487"/>
      <c r="W257" s="3487"/>
      <c r="X257" s="3491"/>
      <c r="Y257" s="520"/>
      <c r="Z257" s="2293"/>
      <c r="AA257" s="520"/>
      <c r="AB257" s="3611"/>
      <c r="AC257" s="520"/>
      <c r="AD257" s="520"/>
      <c r="AE257" s="520"/>
      <c r="AF257" s="2344"/>
      <c r="AG257" s="520"/>
      <c r="AH257" s="520"/>
    </row>
    <row r="258" spans="1:34" ht="15.75" customHeight="1" x14ac:dyDescent="0.35">
      <c r="A258" s="601"/>
      <c r="B258" s="2366"/>
      <c r="C258" s="2185"/>
      <c r="D258" s="3166">
        <v>4</v>
      </c>
      <c r="E258" s="3086" t="s">
        <v>1590</v>
      </c>
      <c r="F258" s="3087"/>
      <c r="G258" s="3087"/>
      <c r="H258" s="3088"/>
      <c r="I258" s="3458" t="s">
        <v>822</v>
      </c>
      <c r="J258" s="3459"/>
      <c r="K258" s="3459"/>
      <c r="L258" s="3459"/>
      <c r="M258" s="3459"/>
      <c r="N258" s="3459"/>
      <c r="O258" s="3460"/>
      <c r="P258" s="3433" t="s">
        <v>1801</v>
      </c>
      <c r="Q258" s="3434"/>
      <c r="R258" s="3434"/>
      <c r="S258" s="3435"/>
      <c r="T258" s="3486"/>
      <c r="U258" s="3486"/>
      <c r="V258" s="3486"/>
      <c r="W258" s="3486"/>
      <c r="X258" s="3490"/>
      <c r="Y258" s="520"/>
      <c r="Z258" s="2293"/>
      <c r="AA258" s="520"/>
      <c r="AB258" s="3611">
        <v>4</v>
      </c>
      <c r="AC258" s="520"/>
      <c r="AD258" s="520"/>
      <c r="AE258" s="520"/>
      <c r="AF258" s="2344"/>
      <c r="AG258" s="520"/>
      <c r="AH258" s="520"/>
    </row>
    <row r="259" spans="1:34" ht="15.75" customHeight="1" x14ac:dyDescent="0.35">
      <c r="A259" s="601"/>
      <c r="B259" s="2366"/>
      <c r="C259" s="2185"/>
      <c r="D259" s="3167"/>
      <c r="E259" s="3089"/>
      <c r="F259" s="3090"/>
      <c r="G259" s="3090"/>
      <c r="H259" s="3091"/>
      <c r="I259" s="3461"/>
      <c r="J259" s="3462"/>
      <c r="K259" s="3462"/>
      <c r="L259" s="3462"/>
      <c r="M259" s="3462"/>
      <c r="N259" s="3462"/>
      <c r="O259" s="3463"/>
      <c r="P259" s="3436"/>
      <c r="Q259" s="3437"/>
      <c r="R259" s="3437"/>
      <c r="S259" s="3438"/>
      <c r="T259" s="3487"/>
      <c r="U259" s="3487"/>
      <c r="V259" s="3487"/>
      <c r="W259" s="3487"/>
      <c r="X259" s="3491"/>
      <c r="Y259" s="520"/>
      <c r="Z259" s="2293"/>
      <c r="AA259" s="520"/>
      <c r="AB259" s="3611"/>
      <c r="AC259" s="520"/>
      <c r="AD259" s="520"/>
      <c r="AE259" s="520"/>
      <c r="AF259" s="2344"/>
      <c r="AG259" s="520"/>
      <c r="AH259" s="520"/>
    </row>
    <row r="260" spans="1:34" ht="15.75" customHeight="1" x14ac:dyDescent="0.35">
      <c r="A260" s="601"/>
      <c r="B260" s="2366"/>
      <c r="C260" s="2185"/>
      <c r="D260" s="3167"/>
      <c r="E260" s="3089"/>
      <c r="F260" s="3090"/>
      <c r="G260" s="3090"/>
      <c r="H260" s="3091"/>
      <c r="I260" s="3461"/>
      <c r="J260" s="3462"/>
      <c r="K260" s="3462"/>
      <c r="L260" s="3462"/>
      <c r="M260" s="3462"/>
      <c r="N260" s="3462"/>
      <c r="O260" s="3463"/>
      <c r="P260" s="3436"/>
      <c r="Q260" s="3437"/>
      <c r="R260" s="3437"/>
      <c r="S260" s="3438"/>
      <c r="T260" s="3487"/>
      <c r="U260" s="3487"/>
      <c r="V260" s="3487"/>
      <c r="W260" s="3487"/>
      <c r="X260" s="3491"/>
      <c r="Y260" s="520"/>
      <c r="Z260" s="2293"/>
      <c r="AA260" s="520"/>
      <c r="AB260" s="3611"/>
      <c r="AC260" s="520"/>
      <c r="AD260" s="520"/>
      <c r="AE260" s="520"/>
      <c r="AF260" s="2344"/>
      <c r="AG260" s="520"/>
      <c r="AH260" s="520"/>
    </row>
    <row r="261" spans="1:34" ht="15.75" customHeight="1" x14ac:dyDescent="0.35">
      <c r="A261" s="601"/>
      <c r="B261" s="2366"/>
      <c r="C261" s="2185"/>
      <c r="D261" s="3167"/>
      <c r="E261" s="3089"/>
      <c r="F261" s="3090"/>
      <c r="G261" s="3090"/>
      <c r="H261" s="3091"/>
      <c r="I261" s="3461"/>
      <c r="J261" s="3462"/>
      <c r="K261" s="3462"/>
      <c r="L261" s="3462"/>
      <c r="M261" s="3462"/>
      <c r="N261" s="3462"/>
      <c r="O261" s="3463"/>
      <c r="P261" s="3436"/>
      <c r="Q261" s="3437"/>
      <c r="R261" s="3437"/>
      <c r="S261" s="3438"/>
      <c r="T261" s="3487"/>
      <c r="U261" s="3487"/>
      <c r="V261" s="3487"/>
      <c r="W261" s="3487"/>
      <c r="X261" s="3491"/>
      <c r="Y261" s="520"/>
      <c r="Z261" s="2293"/>
      <c r="AA261" s="520"/>
      <c r="AB261" s="3611"/>
      <c r="AC261" s="520"/>
      <c r="AD261" s="520"/>
      <c r="AE261" s="520"/>
      <c r="AF261" s="2344"/>
      <c r="AG261" s="520"/>
      <c r="AH261" s="520"/>
    </row>
    <row r="262" spans="1:34" ht="15.75" customHeight="1" x14ac:dyDescent="0.35">
      <c r="A262" s="601"/>
      <c r="B262" s="2366"/>
      <c r="C262" s="2185"/>
      <c r="D262" s="3167"/>
      <c r="E262" s="3089"/>
      <c r="F262" s="3090"/>
      <c r="G262" s="3090"/>
      <c r="H262" s="3091"/>
      <c r="I262" s="3461"/>
      <c r="J262" s="3462"/>
      <c r="K262" s="3462"/>
      <c r="L262" s="3462"/>
      <c r="M262" s="3462"/>
      <c r="N262" s="3462"/>
      <c r="O262" s="3463"/>
      <c r="P262" s="3436"/>
      <c r="Q262" s="3437"/>
      <c r="R262" s="3437"/>
      <c r="S262" s="3438"/>
      <c r="T262" s="3487"/>
      <c r="U262" s="3487"/>
      <c r="V262" s="3487"/>
      <c r="W262" s="3487"/>
      <c r="X262" s="3491"/>
      <c r="Y262" s="520"/>
      <c r="Z262" s="2293"/>
      <c r="AA262" s="520"/>
      <c r="AB262" s="3611"/>
      <c r="AC262" s="520"/>
      <c r="AD262" s="520"/>
      <c r="AE262" s="520"/>
      <c r="AF262" s="2344"/>
      <c r="AG262" s="520"/>
      <c r="AH262" s="520"/>
    </row>
    <row r="263" spans="1:34" ht="15.75" customHeight="1" x14ac:dyDescent="0.35">
      <c r="A263" s="601"/>
      <c r="B263" s="2366"/>
      <c r="C263" s="2185"/>
      <c r="D263" s="3168"/>
      <c r="E263" s="3092"/>
      <c r="F263" s="3093"/>
      <c r="G263" s="3093"/>
      <c r="H263" s="3094"/>
      <c r="I263" s="3464"/>
      <c r="J263" s="3465"/>
      <c r="K263" s="3465"/>
      <c r="L263" s="3465"/>
      <c r="M263" s="3465"/>
      <c r="N263" s="3465"/>
      <c r="O263" s="3466"/>
      <c r="P263" s="3439"/>
      <c r="Q263" s="3440"/>
      <c r="R263" s="3440"/>
      <c r="S263" s="3441"/>
      <c r="T263" s="3487"/>
      <c r="U263" s="3487"/>
      <c r="V263" s="3487"/>
      <c r="W263" s="3487"/>
      <c r="X263" s="3491"/>
      <c r="Y263" s="520"/>
      <c r="Z263" s="2293"/>
      <c r="AA263" s="520"/>
      <c r="AB263" s="3611"/>
      <c r="AC263" s="520"/>
      <c r="AD263" s="520"/>
      <c r="AE263" s="520"/>
      <c r="AF263" s="2344"/>
      <c r="AG263" s="520"/>
      <c r="AH263" s="520"/>
    </row>
    <row r="264" spans="1:34" ht="15.75" customHeight="1" x14ac:dyDescent="0.35">
      <c r="A264" s="601"/>
      <c r="B264" s="2366"/>
      <c r="C264" s="2185"/>
      <c r="D264" s="3166">
        <v>5</v>
      </c>
      <c r="E264" s="3086" t="s">
        <v>1578</v>
      </c>
      <c r="F264" s="3087"/>
      <c r="G264" s="3087"/>
      <c r="H264" s="3088"/>
      <c r="I264" s="3492"/>
      <c r="J264" s="3493"/>
      <c r="K264" s="3493"/>
      <c r="L264" s="3493"/>
      <c r="M264" s="3493"/>
      <c r="N264" s="3493"/>
      <c r="O264" s="3494"/>
      <c r="P264" s="3433" t="s">
        <v>1802</v>
      </c>
      <c r="Q264" s="3434"/>
      <c r="R264" s="3434"/>
      <c r="S264" s="3435"/>
      <c r="T264" s="3486"/>
      <c r="U264" s="3486"/>
      <c r="V264" s="3486"/>
      <c r="W264" s="3486"/>
      <c r="X264" s="3490"/>
      <c r="Y264" s="520"/>
      <c r="Z264" s="2293"/>
      <c r="AA264" s="520"/>
      <c r="AB264" s="3611">
        <v>4</v>
      </c>
      <c r="AC264" s="520"/>
      <c r="AD264" s="520"/>
      <c r="AE264" s="520"/>
      <c r="AF264" s="2344"/>
      <c r="AG264" s="520"/>
      <c r="AH264" s="520"/>
    </row>
    <row r="265" spans="1:34" ht="15.75" customHeight="1" x14ac:dyDescent="0.35">
      <c r="A265" s="601"/>
      <c r="B265" s="2366"/>
      <c r="C265" s="2185"/>
      <c r="D265" s="3167"/>
      <c r="E265" s="3089"/>
      <c r="F265" s="3090"/>
      <c r="G265" s="3090"/>
      <c r="H265" s="3091"/>
      <c r="I265" s="3483" t="s">
        <v>285</v>
      </c>
      <c r="J265" s="3427"/>
      <c r="K265" s="3427"/>
      <c r="L265" s="3427"/>
      <c r="M265" s="3427"/>
      <c r="N265" s="3427"/>
      <c r="O265" s="3428"/>
      <c r="P265" s="3436"/>
      <c r="Q265" s="3437"/>
      <c r="R265" s="3437"/>
      <c r="S265" s="3438"/>
      <c r="T265" s="3487"/>
      <c r="U265" s="3487"/>
      <c r="V265" s="3487"/>
      <c r="W265" s="3487"/>
      <c r="X265" s="3491"/>
      <c r="Y265" s="520"/>
      <c r="Z265" s="2293"/>
      <c r="AA265" s="520"/>
      <c r="AB265" s="3611"/>
      <c r="AC265" s="520"/>
      <c r="AD265" s="520"/>
      <c r="AE265" s="520"/>
      <c r="AF265" s="2344"/>
      <c r="AG265" s="520"/>
      <c r="AH265" s="520"/>
    </row>
    <row r="266" spans="1:34" ht="15.75" customHeight="1" x14ac:dyDescent="0.35">
      <c r="A266" s="601"/>
      <c r="B266" s="2366"/>
      <c r="C266" s="2185"/>
      <c r="D266" s="3167"/>
      <c r="E266" s="3089"/>
      <c r="F266" s="3090"/>
      <c r="G266" s="3090"/>
      <c r="H266" s="3091"/>
      <c r="I266" s="3483" t="s">
        <v>287</v>
      </c>
      <c r="J266" s="3427"/>
      <c r="K266" s="3427"/>
      <c r="L266" s="3427"/>
      <c r="M266" s="3427"/>
      <c r="N266" s="3427"/>
      <c r="O266" s="3428"/>
      <c r="P266" s="3436"/>
      <c r="Q266" s="3437"/>
      <c r="R266" s="3437"/>
      <c r="S266" s="3438"/>
      <c r="T266" s="3487"/>
      <c r="U266" s="3487"/>
      <c r="V266" s="3487"/>
      <c r="W266" s="3487"/>
      <c r="X266" s="3491"/>
      <c r="Y266" s="520"/>
      <c r="Z266" s="2293"/>
      <c r="AA266" s="520"/>
      <c r="AB266" s="3611"/>
      <c r="AC266" s="520"/>
      <c r="AD266" s="520"/>
      <c r="AE266" s="520"/>
      <c r="AF266" s="2344"/>
      <c r="AG266" s="520"/>
      <c r="AH266" s="520"/>
    </row>
    <row r="267" spans="1:34" ht="15.75" customHeight="1" x14ac:dyDescent="0.35">
      <c r="A267" s="601"/>
      <c r="B267" s="2366"/>
      <c r="C267" s="2185"/>
      <c r="D267" s="3167"/>
      <c r="E267" s="3089"/>
      <c r="F267" s="3090"/>
      <c r="G267" s="3090"/>
      <c r="H267" s="3091"/>
      <c r="I267" s="3483" t="s">
        <v>254</v>
      </c>
      <c r="J267" s="3427"/>
      <c r="K267" s="3427"/>
      <c r="L267" s="3427"/>
      <c r="M267" s="3427"/>
      <c r="N267" s="3427"/>
      <c r="O267" s="3428"/>
      <c r="P267" s="3436"/>
      <c r="Q267" s="3437"/>
      <c r="R267" s="3437"/>
      <c r="S267" s="3438"/>
      <c r="T267" s="3487"/>
      <c r="U267" s="3487"/>
      <c r="V267" s="3487"/>
      <c r="W267" s="3487"/>
      <c r="X267" s="3491"/>
      <c r="Y267" s="520"/>
      <c r="Z267" s="2293"/>
      <c r="AA267" s="520"/>
      <c r="AB267" s="3611"/>
      <c r="AC267" s="520"/>
      <c r="AD267" s="520"/>
      <c r="AE267" s="520"/>
      <c r="AF267" s="2344"/>
      <c r="AG267" s="520"/>
      <c r="AH267" s="520"/>
    </row>
    <row r="268" spans="1:34" ht="15.75" customHeight="1" x14ac:dyDescent="0.35">
      <c r="A268" s="601"/>
      <c r="B268" s="2366"/>
      <c r="C268" s="2185"/>
      <c r="D268" s="3167"/>
      <c r="E268" s="3089"/>
      <c r="F268" s="3090"/>
      <c r="G268" s="3090"/>
      <c r="H268" s="3091"/>
      <c r="I268" s="3483" t="s">
        <v>286</v>
      </c>
      <c r="J268" s="3427"/>
      <c r="K268" s="3427"/>
      <c r="L268" s="3427"/>
      <c r="M268" s="3427"/>
      <c r="N268" s="3427"/>
      <c r="O268" s="3428"/>
      <c r="P268" s="3436"/>
      <c r="Q268" s="3437"/>
      <c r="R268" s="3437"/>
      <c r="S268" s="3438"/>
      <c r="T268" s="3487"/>
      <c r="U268" s="3487"/>
      <c r="V268" s="3487"/>
      <c r="W268" s="3487"/>
      <c r="X268" s="3491"/>
      <c r="Y268" s="520"/>
      <c r="Z268" s="2293"/>
      <c r="AA268" s="520"/>
      <c r="AB268" s="3611"/>
      <c r="AC268" s="520"/>
      <c r="AD268" s="520"/>
      <c r="AE268" s="520"/>
      <c r="AF268" s="2344"/>
      <c r="AG268" s="520"/>
      <c r="AH268" s="520"/>
    </row>
    <row r="269" spans="1:34" ht="15.75" customHeight="1" x14ac:dyDescent="0.35">
      <c r="A269" s="601"/>
      <c r="B269" s="2366"/>
      <c r="C269" s="2185"/>
      <c r="D269" s="3168"/>
      <c r="E269" s="3092"/>
      <c r="F269" s="3093"/>
      <c r="G269" s="3093"/>
      <c r="H269" s="3094"/>
      <c r="I269" s="3483" t="s">
        <v>284</v>
      </c>
      <c r="J269" s="3427"/>
      <c r="K269" s="3427"/>
      <c r="L269" s="3427"/>
      <c r="M269" s="3427"/>
      <c r="N269" s="3427"/>
      <c r="O269" s="3428"/>
      <c r="P269" s="3439"/>
      <c r="Q269" s="3440"/>
      <c r="R269" s="3440"/>
      <c r="S269" s="3441"/>
      <c r="T269" s="3487"/>
      <c r="U269" s="3487"/>
      <c r="V269" s="3487"/>
      <c r="W269" s="3487"/>
      <c r="X269" s="3491"/>
      <c r="Y269" s="520"/>
      <c r="Z269" s="2293"/>
      <c r="AA269" s="520"/>
      <c r="AB269" s="3611"/>
      <c r="AC269" s="520"/>
      <c r="AD269" s="520"/>
      <c r="AE269" s="520"/>
      <c r="AF269" s="2344"/>
      <c r="AG269" s="520"/>
      <c r="AH269" s="520"/>
    </row>
    <row r="270" spans="1:34" ht="15.75" customHeight="1" x14ac:dyDescent="0.35">
      <c r="A270" s="601"/>
      <c r="B270" s="2366"/>
      <c r="C270" s="2185"/>
      <c r="D270" s="3166">
        <v>6</v>
      </c>
      <c r="E270" s="3086" t="s">
        <v>1579</v>
      </c>
      <c r="F270" s="3087"/>
      <c r="G270" s="3087"/>
      <c r="H270" s="3088"/>
      <c r="I270" s="3493"/>
      <c r="J270" s="3493"/>
      <c r="K270" s="3493"/>
      <c r="L270" s="3493"/>
      <c r="M270" s="3493"/>
      <c r="N270" s="3493"/>
      <c r="O270" s="3493"/>
      <c r="P270" s="3433" t="s">
        <v>158</v>
      </c>
      <c r="Q270" s="3434"/>
      <c r="R270" s="3434"/>
      <c r="S270" s="3435"/>
      <c r="T270" s="3486"/>
      <c r="U270" s="3486"/>
      <c r="V270" s="3486"/>
      <c r="W270" s="3486"/>
      <c r="X270" s="3490"/>
      <c r="Y270" s="520"/>
      <c r="Z270" s="2293"/>
      <c r="AA270" s="520"/>
      <c r="AB270" s="3611">
        <v>2</v>
      </c>
      <c r="AC270" s="520"/>
      <c r="AD270" s="520"/>
      <c r="AE270" s="520"/>
      <c r="AF270" s="2344"/>
      <c r="AG270" s="520"/>
      <c r="AH270" s="520"/>
    </row>
    <row r="271" spans="1:34" ht="15.75" customHeight="1" x14ac:dyDescent="0.35">
      <c r="A271" s="601"/>
      <c r="B271" s="2366"/>
      <c r="C271" s="2185"/>
      <c r="D271" s="3167"/>
      <c r="E271" s="3089"/>
      <c r="F271" s="3090"/>
      <c r="G271" s="3090"/>
      <c r="H271" s="3091"/>
      <c r="I271" s="3427" t="s">
        <v>255</v>
      </c>
      <c r="J271" s="3427"/>
      <c r="K271" s="3427"/>
      <c r="L271" s="3427"/>
      <c r="M271" s="3427"/>
      <c r="N271" s="3427"/>
      <c r="O271" s="3427"/>
      <c r="P271" s="3436"/>
      <c r="Q271" s="3437"/>
      <c r="R271" s="3437"/>
      <c r="S271" s="3438"/>
      <c r="T271" s="3487"/>
      <c r="U271" s="3487"/>
      <c r="V271" s="3487"/>
      <c r="W271" s="3487"/>
      <c r="X271" s="3491"/>
      <c r="Y271" s="520"/>
      <c r="Z271" s="2293"/>
      <c r="AA271" s="520"/>
      <c r="AB271" s="3611"/>
      <c r="AC271" s="520"/>
      <c r="AD271" s="520"/>
      <c r="AE271" s="520"/>
      <c r="AF271" s="2344"/>
      <c r="AG271" s="520"/>
      <c r="AH271" s="520"/>
    </row>
    <row r="272" spans="1:34" ht="15.75" customHeight="1" x14ac:dyDescent="0.35">
      <c r="A272" s="601"/>
      <c r="B272" s="2366"/>
      <c r="C272" s="2185"/>
      <c r="D272" s="3167"/>
      <c r="E272" s="3089"/>
      <c r="F272" s="3090"/>
      <c r="G272" s="3090"/>
      <c r="H272" s="3091"/>
      <c r="I272" s="3427" t="s">
        <v>256</v>
      </c>
      <c r="J272" s="3427"/>
      <c r="K272" s="3427"/>
      <c r="L272" s="3427"/>
      <c r="M272" s="3427"/>
      <c r="N272" s="3427"/>
      <c r="O272" s="3427"/>
      <c r="P272" s="3436"/>
      <c r="Q272" s="3437"/>
      <c r="R272" s="3437"/>
      <c r="S272" s="3438"/>
      <c r="T272" s="3487"/>
      <c r="U272" s="3487"/>
      <c r="V272" s="3487"/>
      <c r="W272" s="3487"/>
      <c r="X272" s="3491"/>
      <c r="Y272" s="520"/>
      <c r="Z272" s="2293"/>
      <c r="AA272" s="520"/>
      <c r="AB272" s="3611"/>
      <c r="AC272" s="520"/>
      <c r="AD272" s="520"/>
      <c r="AE272" s="520"/>
      <c r="AF272" s="2344"/>
      <c r="AG272" s="520"/>
      <c r="AH272" s="520"/>
    </row>
    <row r="273" spans="1:34" ht="15.75" customHeight="1" x14ac:dyDescent="0.35">
      <c r="A273" s="601"/>
      <c r="B273" s="2366"/>
      <c r="C273" s="2185"/>
      <c r="D273" s="3167"/>
      <c r="E273" s="3089"/>
      <c r="F273" s="3090"/>
      <c r="G273" s="3090"/>
      <c r="H273" s="3091"/>
      <c r="I273" s="3427" t="s">
        <v>257</v>
      </c>
      <c r="J273" s="3427"/>
      <c r="K273" s="3427"/>
      <c r="L273" s="3427"/>
      <c r="M273" s="3427"/>
      <c r="N273" s="3427"/>
      <c r="O273" s="3427"/>
      <c r="P273" s="3436"/>
      <c r="Q273" s="3437"/>
      <c r="R273" s="3437"/>
      <c r="S273" s="3438"/>
      <c r="T273" s="3487"/>
      <c r="U273" s="3487"/>
      <c r="V273" s="3487"/>
      <c r="W273" s="3487"/>
      <c r="X273" s="3491"/>
      <c r="Y273" s="520"/>
      <c r="Z273" s="2293"/>
      <c r="AA273" s="520"/>
      <c r="AB273" s="3611"/>
      <c r="AC273" s="520"/>
      <c r="AD273" s="520"/>
      <c r="AE273" s="520"/>
      <c r="AF273" s="2344"/>
      <c r="AG273" s="520"/>
      <c r="AH273" s="520"/>
    </row>
    <row r="274" spans="1:34" ht="15.75" customHeight="1" x14ac:dyDescent="0.35">
      <c r="A274" s="601"/>
      <c r="B274" s="2366"/>
      <c r="C274" s="2185"/>
      <c r="D274" s="3167"/>
      <c r="E274" s="3089"/>
      <c r="F274" s="3090"/>
      <c r="G274" s="3090"/>
      <c r="H274" s="3091"/>
      <c r="I274" s="3427" t="s">
        <v>258</v>
      </c>
      <c r="J274" s="3427"/>
      <c r="K274" s="3427"/>
      <c r="L274" s="3427"/>
      <c r="M274" s="3427"/>
      <c r="N274" s="3427"/>
      <c r="O274" s="3427"/>
      <c r="P274" s="3436"/>
      <c r="Q274" s="3437"/>
      <c r="R274" s="3437"/>
      <c r="S274" s="3438"/>
      <c r="T274" s="3487"/>
      <c r="U274" s="3487"/>
      <c r="V274" s="3487"/>
      <c r="W274" s="3487"/>
      <c r="X274" s="3491"/>
      <c r="Y274" s="520"/>
      <c r="Z274" s="2293"/>
      <c r="AA274" s="520"/>
      <c r="AB274" s="3611"/>
      <c r="AC274" s="520"/>
      <c r="AD274" s="520"/>
      <c r="AE274" s="520"/>
      <c r="AF274" s="2344"/>
      <c r="AG274" s="520"/>
      <c r="AH274" s="520"/>
    </row>
    <row r="275" spans="1:34" ht="15.75" customHeight="1" x14ac:dyDescent="0.35">
      <c r="A275" s="601"/>
      <c r="B275" s="2366"/>
      <c r="C275" s="2185"/>
      <c r="D275" s="3168"/>
      <c r="E275" s="3092"/>
      <c r="F275" s="3093"/>
      <c r="G275" s="3093"/>
      <c r="H275" s="3094"/>
      <c r="I275" s="3427" t="s">
        <v>259</v>
      </c>
      <c r="J275" s="3427"/>
      <c r="K275" s="3427"/>
      <c r="L275" s="3427"/>
      <c r="M275" s="3427"/>
      <c r="N275" s="3427"/>
      <c r="O275" s="3427"/>
      <c r="P275" s="3439"/>
      <c r="Q275" s="3440"/>
      <c r="R275" s="3440"/>
      <c r="S275" s="3441"/>
      <c r="T275" s="3487"/>
      <c r="U275" s="3487"/>
      <c r="V275" s="3487"/>
      <c r="W275" s="3487"/>
      <c r="X275" s="3491"/>
      <c r="Y275" s="520"/>
      <c r="Z275" s="2293"/>
      <c r="AA275" s="520"/>
      <c r="AB275" s="3611"/>
      <c r="AC275" s="520"/>
      <c r="AD275" s="520"/>
      <c r="AE275" s="520"/>
      <c r="AF275" s="2344"/>
      <c r="AG275" s="520"/>
      <c r="AH275" s="520"/>
    </row>
    <row r="276" spans="1:34" ht="15.75" customHeight="1" x14ac:dyDescent="0.35">
      <c r="A276" s="601"/>
      <c r="B276" s="564"/>
      <c r="C276" s="2185"/>
      <c r="D276" s="3166">
        <v>7</v>
      </c>
      <c r="E276" s="3086" t="s">
        <v>127</v>
      </c>
      <c r="F276" s="3087"/>
      <c r="G276" s="3087"/>
      <c r="H276" s="3088"/>
      <c r="I276" s="3633" t="s">
        <v>821</v>
      </c>
      <c r="J276" s="3634"/>
      <c r="K276" s="3634"/>
      <c r="L276" s="3634"/>
      <c r="M276" s="3634"/>
      <c r="N276" s="3634"/>
      <c r="O276" s="3635"/>
      <c r="P276" s="3433" t="s">
        <v>128</v>
      </c>
      <c r="Q276" s="3434"/>
      <c r="R276" s="3434"/>
      <c r="S276" s="3435"/>
      <c r="T276" s="3153"/>
      <c r="U276" s="3153"/>
      <c r="V276" s="3153"/>
      <c r="W276" s="3153"/>
      <c r="X276" s="3153"/>
      <c r="Y276" s="520"/>
      <c r="Z276" s="2293"/>
      <c r="AA276" s="520"/>
      <c r="AB276" s="3611">
        <v>3</v>
      </c>
      <c r="AC276" s="520"/>
      <c r="AD276" s="520"/>
      <c r="AE276" s="520"/>
      <c r="AF276" s="2344"/>
      <c r="AG276" s="520"/>
      <c r="AH276" s="520"/>
    </row>
    <row r="277" spans="1:34" ht="15.75" customHeight="1" x14ac:dyDescent="0.35">
      <c r="A277" s="601"/>
      <c r="B277" s="564"/>
      <c r="C277" s="2185"/>
      <c r="D277" s="3167"/>
      <c r="E277" s="3089"/>
      <c r="F277" s="3090"/>
      <c r="G277" s="3090"/>
      <c r="H277" s="3091"/>
      <c r="I277" s="3636"/>
      <c r="J277" s="3637"/>
      <c r="K277" s="3637"/>
      <c r="L277" s="3637"/>
      <c r="M277" s="3637"/>
      <c r="N277" s="3637"/>
      <c r="O277" s="3638"/>
      <c r="P277" s="3436"/>
      <c r="Q277" s="3437"/>
      <c r="R277" s="3437"/>
      <c r="S277" s="3438"/>
      <c r="T277" s="3153"/>
      <c r="U277" s="3153"/>
      <c r="V277" s="3153"/>
      <c r="W277" s="3153"/>
      <c r="X277" s="3153"/>
      <c r="Y277" s="520"/>
      <c r="Z277" s="2293"/>
      <c r="AA277" s="520"/>
      <c r="AB277" s="3611"/>
      <c r="AC277" s="520"/>
      <c r="AD277" s="520"/>
      <c r="AE277" s="520"/>
      <c r="AF277" s="2344"/>
      <c r="AG277" s="520"/>
      <c r="AH277" s="520"/>
    </row>
    <row r="278" spans="1:34" ht="15.75" customHeight="1" x14ac:dyDescent="0.35">
      <c r="A278" s="601"/>
      <c r="B278" s="564"/>
      <c r="C278" s="2185"/>
      <c r="D278" s="3167"/>
      <c r="E278" s="3089"/>
      <c r="F278" s="3090"/>
      <c r="G278" s="3090"/>
      <c r="H278" s="3091"/>
      <c r="I278" s="3636"/>
      <c r="J278" s="3637"/>
      <c r="K278" s="3637"/>
      <c r="L278" s="3637"/>
      <c r="M278" s="3637"/>
      <c r="N278" s="3637"/>
      <c r="O278" s="3638"/>
      <c r="P278" s="3436"/>
      <c r="Q278" s="3437"/>
      <c r="R278" s="3437"/>
      <c r="S278" s="3438"/>
      <c r="T278" s="3153"/>
      <c r="U278" s="3153"/>
      <c r="V278" s="3153"/>
      <c r="W278" s="3153"/>
      <c r="X278" s="3153"/>
      <c r="Y278" s="520"/>
      <c r="Z278" s="2293"/>
      <c r="AA278" s="520"/>
      <c r="AB278" s="3611"/>
      <c r="AC278" s="520"/>
      <c r="AD278" s="520"/>
      <c r="AE278" s="520"/>
      <c r="AF278" s="2344"/>
      <c r="AG278" s="520"/>
      <c r="AH278" s="520"/>
    </row>
    <row r="279" spans="1:34" ht="15.75" customHeight="1" x14ac:dyDescent="0.35">
      <c r="A279" s="601"/>
      <c r="B279" s="564"/>
      <c r="C279" s="2185"/>
      <c r="D279" s="3167"/>
      <c r="E279" s="3089"/>
      <c r="F279" s="3090"/>
      <c r="G279" s="3090"/>
      <c r="H279" s="3091"/>
      <c r="I279" s="3636"/>
      <c r="J279" s="3637"/>
      <c r="K279" s="3637"/>
      <c r="L279" s="3637"/>
      <c r="M279" s="3637"/>
      <c r="N279" s="3637"/>
      <c r="O279" s="3638"/>
      <c r="P279" s="3436"/>
      <c r="Q279" s="3437"/>
      <c r="R279" s="3437"/>
      <c r="S279" s="3438"/>
      <c r="T279" s="3153"/>
      <c r="U279" s="3153"/>
      <c r="V279" s="3153"/>
      <c r="W279" s="3153"/>
      <c r="X279" s="3153"/>
      <c r="Y279" s="520"/>
      <c r="Z279" s="2293"/>
      <c r="AA279" s="520"/>
      <c r="AB279" s="3611"/>
      <c r="AC279" s="520"/>
      <c r="AD279" s="520"/>
      <c r="AE279" s="520"/>
      <c r="AF279" s="2344"/>
      <c r="AG279" s="520"/>
      <c r="AH279" s="520"/>
    </row>
    <row r="280" spans="1:34" ht="15.75" customHeight="1" x14ac:dyDescent="0.35">
      <c r="A280" s="601"/>
      <c r="B280" s="564"/>
      <c r="C280" s="2185"/>
      <c r="D280" s="3167"/>
      <c r="E280" s="3089"/>
      <c r="F280" s="3090"/>
      <c r="G280" s="3090"/>
      <c r="H280" s="3091"/>
      <c r="I280" s="3636"/>
      <c r="J280" s="3637"/>
      <c r="K280" s="3637"/>
      <c r="L280" s="3637"/>
      <c r="M280" s="3637"/>
      <c r="N280" s="3637"/>
      <c r="O280" s="3638"/>
      <c r="P280" s="3436"/>
      <c r="Q280" s="3437"/>
      <c r="R280" s="3437"/>
      <c r="S280" s="3438"/>
      <c r="T280" s="3153"/>
      <c r="U280" s="3153"/>
      <c r="V280" s="3153"/>
      <c r="W280" s="3153"/>
      <c r="X280" s="3153"/>
      <c r="Y280" s="520"/>
      <c r="Z280" s="2293"/>
      <c r="AA280" s="520"/>
      <c r="AB280" s="3611"/>
      <c r="AC280" s="520"/>
      <c r="AD280" s="520"/>
      <c r="AE280" s="520"/>
      <c r="AF280" s="2344"/>
      <c r="AG280" s="520"/>
      <c r="AH280" s="520"/>
    </row>
    <row r="281" spans="1:34" ht="15.75" customHeight="1" x14ac:dyDescent="0.35">
      <c r="A281" s="601"/>
      <c r="B281" s="564"/>
      <c r="C281" s="2185"/>
      <c r="D281" s="3168"/>
      <c r="E281" s="3092"/>
      <c r="F281" s="3093"/>
      <c r="G281" s="3093"/>
      <c r="H281" s="3094"/>
      <c r="I281" s="3639"/>
      <c r="J281" s="3640"/>
      <c r="K281" s="3640"/>
      <c r="L281" s="3640"/>
      <c r="M281" s="3640"/>
      <c r="N281" s="3640"/>
      <c r="O281" s="3641"/>
      <c r="P281" s="3439"/>
      <c r="Q281" s="3440"/>
      <c r="R281" s="3440"/>
      <c r="S281" s="3441"/>
      <c r="T281" s="3153"/>
      <c r="U281" s="3153"/>
      <c r="V281" s="3153"/>
      <c r="W281" s="3153"/>
      <c r="X281" s="3153"/>
      <c r="Y281" s="520"/>
      <c r="Z281" s="2293"/>
      <c r="AA281" s="520"/>
      <c r="AB281" s="3611"/>
      <c r="AC281" s="520"/>
      <c r="AD281" s="520"/>
      <c r="AE281" s="520"/>
      <c r="AF281" s="2344"/>
      <c r="AG281" s="520"/>
      <c r="AH281" s="520"/>
    </row>
    <row r="282" spans="1:34" ht="33.75" customHeight="1" x14ac:dyDescent="0.35">
      <c r="A282" s="144"/>
      <c r="B282" s="197"/>
      <c r="C282" s="189"/>
      <c r="D282" s="3442" t="s">
        <v>1803</v>
      </c>
      <c r="E282" s="3443"/>
      <c r="F282" s="3443"/>
      <c r="G282" s="3443"/>
      <c r="H282" s="3443"/>
      <c r="I282" s="3443"/>
      <c r="J282" s="3443"/>
      <c r="K282" s="3443"/>
      <c r="L282" s="3443"/>
      <c r="M282" s="3443"/>
      <c r="N282" s="3443"/>
      <c r="O282" s="3444"/>
      <c r="P282" s="3210" t="s">
        <v>184</v>
      </c>
      <c r="Q282" s="3211"/>
      <c r="R282" s="3211"/>
      <c r="S282" s="3223"/>
      <c r="T282" s="679">
        <f>COUNTIF(AB240:AB281,"1")*T239</f>
        <v>0</v>
      </c>
      <c r="U282" s="679">
        <f>COUNTIF(AB240:AB281,"2")*U239</f>
        <v>2</v>
      </c>
      <c r="V282" s="679">
        <f>COUNTIF(AB240:AB281,"3")*V239</f>
        <v>6</v>
      </c>
      <c r="W282" s="679">
        <f>COUNTIF(AB240:AB281,"4")*W239</f>
        <v>12</v>
      </c>
      <c r="X282" s="679">
        <f>COUNTIF(AB240:AB281,"5")*X239</f>
        <v>5</v>
      </c>
      <c r="Y282" s="520"/>
      <c r="Z282" s="2293"/>
      <c r="AA282" s="520"/>
      <c r="AC282" s="520"/>
      <c r="AD282" s="520"/>
      <c r="AE282" s="520"/>
      <c r="AF282" s="2344"/>
      <c r="AG282" s="520"/>
      <c r="AH282" s="520"/>
    </row>
    <row r="283" spans="1:34" ht="33.75" customHeight="1" x14ac:dyDescent="0.35">
      <c r="A283" s="144"/>
      <c r="B283" s="197"/>
      <c r="C283" s="189"/>
      <c r="D283" s="3445"/>
      <c r="E283" s="3446"/>
      <c r="F283" s="3446"/>
      <c r="G283" s="3446"/>
      <c r="H283" s="3446"/>
      <c r="I283" s="3446"/>
      <c r="J283" s="3446"/>
      <c r="K283" s="3446"/>
      <c r="L283" s="3446"/>
      <c r="M283" s="3446"/>
      <c r="N283" s="3446"/>
      <c r="O283" s="3447"/>
      <c r="P283" s="3212"/>
      <c r="Q283" s="3213"/>
      <c r="R283" s="3213"/>
      <c r="S283" s="3224"/>
      <c r="T283" s="3240">
        <f>SUM(T282:X282)</f>
        <v>25</v>
      </c>
      <c r="U283" s="3241"/>
      <c r="V283" s="3241"/>
      <c r="W283" s="3241"/>
      <c r="X283" s="3242"/>
      <c r="Y283" s="520"/>
      <c r="Z283" s="2293"/>
      <c r="AA283" s="520"/>
      <c r="AC283" s="520"/>
      <c r="AD283" s="520"/>
      <c r="AE283" s="520"/>
      <c r="AF283" s="2344"/>
      <c r="AG283" s="520"/>
      <c r="AH283" s="520"/>
    </row>
    <row r="284" spans="1:34" ht="113.25" customHeight="1" x14ac:dyDescent="0.35">
      <c r="A284" s="144"/>
      <c r="B284" s="197"/>
      <c r="C284" s="189"/>
      <c r="D284" s="3448"/>
      <c r="E284" s="3449"/>
      <c r="F284" s="3449"/>
      <c r="G284" s="3449"/>
      <c r="H284" s="3449"/>
      <c r="I284" s="3449"/>
      <c r="J284" s="3449"/>
      <c r="K284" s="3449"/>
      <c r="L284" s="3449"/>
      <c r="M284" s="3449"/>
      <c r="N284" s="3449"/>
      <c r="O284" s="3450"/>
      <c r="P284" s="3615" t="s">
        <v>182</v>
      </c>
      <c r="Q284" s="3616"/>
      <c r="R284" s="3616"/>
      <c r="S284" s="3617"/>
      <c r="T284" s="3488">
        <f>T283/AF284</f>
        <v>3.5714285714285716</v>
      </c>
      <c r="U284" s="3489"/>
      <c r="V284" s="3612" t="str">
        <f>IF(ROUND(T284,0)=1,"Sangat Tidak Memenuhi Syarat",IF(ROUND(T284,0)=2,"Kurang Memenuhi Syarat",IF(ROUND(T284,0)=3,"Cukup Memenuhi Syarat",IF(ROUND(T284,0)=4,"Memenuhi Syarat",IF(ROUND(T284,0)=5,"Sangat Memenuhi Syarat")))))</f>
        <v>Memenuhi Syarat</v>
      </c>
      <c r="W284" s="3613"/>
      <c r="X284" s="3614"/>
      <c r="Y284" s="520"/>
      <c r="Z284" s="2293"/>
      <c r="AA284" s="520"/>
      <c r="AC284" s="520"/>
      <c r="AD284" s="520"/>
      <c r="AE284" s="520"/>
      <c r="AF284" s="2345">
        <f>COUNTIF(AB240:AB281,"&gt;0")</f>
        <v>7</v>
      </c>
      <c r="AG284" s="520"/>
      <c r="AH284" s="520"/>
    </row>
    <row r="285" spans="1:34" ht="15" customHeight="1" x14ac:dyDescent="0.35">
      <c r="A285" s="144"/>
      <c r="B285" s="197"/>
      <c r="C285" s="189"/>
      <c r="D285" s="144"/>
      <c r="E285" s="144"/>
      <c r="F285" s="144"/>
      <c r="G285" s="144"/>
      <c r="H285" s="144"/>
      <c r="I285" s="502"/>
      <c r="J285" s="502"/>
      <c r="K285" s="502"/>
      <c r="L285" s="502"/>
      <c r="M285" s="502"/>
      <c r="N285" s="502"/>
      <c r="O285" s="502"/>
      <c r="P285" s="144"/>
      <c r="Q285" s="144"/>
      <c r="R285" s="144"/>
      <c r="S285" s="144"/>
      <c r="T285" s="409"/>
      <c r="U285" s="1268"/>
      <c r="V285" s="1268"/>
      <c r="W285" s="1268"/>
      <c r="X285" s="1268"/>
      <c r="Y285" s="520"/>
      <c r="Z285" s="2293"/>
      <c r="AA285" s="520"/>
      <c r="AC285" s="520"/>
      <c r="AD285" s="520"/>
      <c r="AE285" s="520"/>
      <c r="AF285" s="2344"/>
      <c r="AG285" s="520"/>
      <c r="AH285" s="520"/>
    </row>
    <row r="286" spans="1:34" ht="15" customHeight="1" x14ac:dyDescent="0.35">
      <c r="A286" s="601"/>
      <c r="B286" s="564"/>
      <c r="C286" s="2185" t="s">
        <v>56</v>
      </c>
      <c r="D286" s="600" t="s">
        <v>129</v>
      </c>
      <c r="E286" s="600"/>
      <c r="F286" s="601"/>
      <c r="G286" s="601"/>
      <c r="H286" s="601"/>
      <c r="I286" s="1489"/>
      <c r="J286" s="1489"/>
      <c r="K286" s="1489"/>
      <c r="L286" s="1489"/>
      <c r="M286" s="1489"/>
      <c r="N286" s="1489"/>
      <c r="O286" s="1489"/>
      <c r="P286" s="601"/>
      <c r="Q286" s="601"/>
      <c r="R286" s="2198"/>
      <c r="S286" s="2198"/>
      <c r="T286" s="3049" t="s">
        <v>181</v>
      </c>
      <c r="U286" s="3049"/>
      <c r="V286" s="3049"/>
      <c r="W286" s="3049"/>
      <c r="X286" s="3049"/>
      <c r="Y286" s="520"/>
      <c r="Z286" s="2293"/>
      <c r="AA286" s="520"/>
      <c r="AC286" s="520"/>
      <c r="AD286" s="520"/>
      <c r="AE286" s="520"/>
      <c r="AF286" s="2344"/>
      <c r="AG286" s="520"/>
      <c r="AH286" s="520"/>
    </row>
    <row r="287" spans="1:34" ht="15" customHeight="1" x14ac:dyDescent="0.35">
      <c r="A287" s="601"/>
      <c r="B287" s="564"/>
      <c r="C287" s="2185"/>
      <c r="D287" s="1453" t="s">
        <v>103</v>
      </c>
      <c r="E287" s="3204" t="s">
        <v>104</v>
      </c>
      <c r="F287" s="3205"/>
      <c r="G287" s="3205"/>
      <c r="H287" s="3206"/>
      <c r="I287" s="2992" t="s">
        <v>106</v>
      </c>
      <c r="J287" s="2992"/>
      <c r="K287" s="2992"/>
      <c r="L287" s="2992"/>
      <c r="M287" s="2992"/>
      <c r="N287" s="2992"/>
      <c r="O287" s="2992"/>
      <c r="P287" s="3082" t="s">
        <v>40</v>
      </c>
      <c r="Q287" s="3083"/>
      <c r="R287" s="3083"/>
      <c r="S287" s="3084"/>
      <c r="T287" s="1456">
        <v>1</v>
      </c>
      <c r="U287" s="1456">
        <v>2</v>
      </c>
      <c r="V287" s="1456">
        <v>3</v>
      </c>
      <c r="W287" s="1456">
        <v>4</v>
      </c>
      <c r="X287" s="1456">
        <v>5</v>
      </c>
      <c r="Y287" s="520"/>
      <c r="Z287" s="2293"/>
      <c r="AA287" s="520"/>
      <c r="AC287" s="520"/>
      <c r="AD287" s="520"/>
      <c r="AE287" s="520"/>
      <c r="AF287" s="2344"/>
      <c r="AG287" s="520"/>
      <c r="AH287" s="520"/>
    </row>
    <row r="288" spans="1:34" ht="14.25" customHeight="1" x14ac:dyDescent="0.35">
      <c r="A288" s="601"/>
      <c r="B288" s="564"/>
      <c r="C288" s="2185"/>
      <c r="D288" s="3166">
        <v>1</v>
      </c>
      <c r="E288" s="3516" t="s">
        <v>783</v>
      </c>
      <c r="F288" s="3517"/>
      <c r="G288" s="3517"/>
      <c r="H288" s="3518"/>
      <c r="I288" s="3492" t="s">
        <v>288</v>
      </c>
      <c r="J288" s="3493"/>
      <c r="K288" s="3493"/>
      <c r="L288" s="3493"/>
      <c r="M288" s="3493"/>
      <c r="N288" s="3493"/>
      <c r="O288" s="3494"/>
      <c r="P288" s="3433" t="s">
        <v>1591</v>
      </c>
      <c r="Q288" s="3434"/>
      <c r="R288" s="3434"/>
      <c r="S288" s="3435"/>
      <c r="T288" s="3490"/>
      <c r="U288" s="3490"/>
      <c r="V288" s="3490"/>
      <c r="W288" s="3490"/>
      <c r="X288" s="3490"/>
      <c r="Y288" s="520"/>
      <c r="Z288" s="2293"/>
      <c r="AA288" s="520"/>
      <c r="AB288" s="3611">
        <v>4</v>
      </c>
      <c r="AC288" s="520"/>
      <c r="AD288" s="520"/>
      <c r="AE288" s="520"/>
      <c r="AF288" s="2344"/>
      <c r="AG288" s="520"/>
      <c r="AH288" s="520"/>
    </row>
    <row r="289" spans="1:34" ht="14.25" customHeight="1" x14ac:dyDescent="0.35">
      <c r="A289" s="601"/>
      <c r="B289" s="564"/>
      <c r="C289" s="2185"/>
      <c r="D289" s="3167"/>
      <c r="E289" s="3519"/>
      <c r="F289" s="3520"/>
      <c r="G289" s="3520"/>
      <c r="H289" s="3521"/>
      <c r="I289" s="3483"/>
      <c r="J289" s="3427"/>
      <c r="K289" s="3427"/>
      <c r="L289" s="3427"/>
      <c r="M289" s="3427"/>
      <c r="N289" s="3427"/>
      <c r="O289" s="3428"/>
      <c r="P289" s="3436"/>
      <c r="Q289" s="3437"/>
      <c r="R289" s="3437"/>
      <c r="S289" s="3438"/>
      <c r="T289" s="3491"/>
      <c r="U289" s="3491"/>
      <c r="V289" s="3491"/>
      <c r="W289" s="3491"/>
      <c r="X289" s="3491"/>
      <c r="Y289" s="520"/>
      <c r="Z289" s="2293"/>
      <c r="AA289" s="520"/>
      <c r="AB289" s="3611"/>
      <c r="AC289" s="520"/>
      <c r="AD289" s="520"/>
      <c r="AE289" s="520"/>
      <c r="AF289" s="2344"/>
      <c r="AG289" s="520"/>
      <c r="AH289" s="520"/>
    </row>
    <row r="290" spans="1:34" ht="14.25" customHeight="1" x14ac:dyDescent="0.35">
      <c r="A290" s="601"/>
      <c r="B290" s="564"/>
      <c r="C290" s="2185"/>
      <c r="D290" s="3167"/>
      <c r="E290" s="3519"/>
      <c r="F290" s="3520"/>
      <c r="G290" s="3520"/>
      <c r="H290" s="3521"/>
      <c r="I290" s="3483"/>
      <c r="J290" s="3427"/>
      <c r="K290" s="3427"/>
      <c r="L290" s="3427"/>
      <c r="M290" s="3427"/>
      <c r="N290" s="3427"/>
      <c r="O290" s="3428"/>
      <c r="P290" s="3436"/>
      <c r="Q290" s="3437"/>
      <c r="R290" s="3437"/>
      <c r="S290" s="3438"/>
      <c r="T290" s="3491"/>
      <c r="U290" s="3491"/>
      <c r="V290" s="3491"/>
      <c r="W290" s="3491"/>
      <c r="X290" s="3491"/>
      <c r="Y290" s="520"/>
      <c r="Z290" s="2293"/>
      <c r="AA290" s="520"/>
      <c r="AB290" s="3611"/>
      <c r="AC290" s="520"/>
      <c r="AD290" s="520"/>
      <c r="AE290" s="520"/>
      <c r="AF290" s="2344"/>
      <c r="AG290" s="520"/>
      <c r="AH290" s="520"/>
    </row>
    <row r="291" spans="1:34" ht="14.25" customHeight="1" x14ac:dyDescent="0.35">
      <c r="A291" s="601"/>
      <c r="B291" s="564"/>
      <c r="C291" s="2185"/>
      <c r="D291" s="3167"/>
      <c r="E291" s="3519"/>
      <c r="F291" s="3520"/>
      <c r="G291" s="3520"/>
      <c r="H291" s="3521"/>
      <c r="I291" s="3483"/>
      <c r="J291" s="3427"/>
      <c r="K291" s="3427"/>
      <c r="L291" s="3427"/>
      <c r="M291" s="3427"/>
      <c r="N291" s="3427"/>
      <c r="O291" s="3428"/>
      <c r="P291" s="3436"/>
      <c r="Q291" s="3437"/>
      <c r="R291" s="3437"/>
      <c r="S291" s="3438"/>
      <c r="T291" s="3491"/>
      <c r="U291" s="3491"/>
      <c r="V291" s="3491"/>
      <c r="W291" s="3491"/>
      <c r="X291" s="3491"/>
      <c r="Y291" s="520"/>
      <c r="Z291" s="2293"/>
      <c r="AA291" s="520"/>
      <c r="AB291" s="3611"/>
      <c r="AC291" s="520"/>
      <c r="AD291" s="520"/>
      <c r="AE291" s="520"/>
      <c r="AF291" s="2344"/>
      <c r="AG291" s="520"/>
      <c r="AH291" s="520"/>
    </row>
    <row r="292" spans="1:34" ht="14.25" customHeight="1" x14ac:dyDescent="0.35">
      <c r="A292" s="601"/>
      <c r="B292" s="564"/>
      <c r="C292" s="2185"/>
      <c r="D292" s="3167"/>
      <c r="E292" s="3519"/>
      <c r="F292" s="3520"/>
      <c r="G292" s="3520"/>
      <c r="H292" s="3521"/>
      <c r="I292" s="3483"/>
      <c r="J292" s="3427"/>
      <c r="K292" s="3427"/>
      <c r="L292" s="3427"/>
      <c r="M292" s="3427"/>
      <c r="N292" s="3427"/>
      <c r="O292" s="3428"/>
      <c r="P292" s="3436"/>
      <c r="Q292" s="3437"/>
      <c r="R292" s="3437"/>
      <c r="S292" s="3438"/>
      <c r="T292" s="3491"/>
      <c r="U292" s="3491"/>
      <c r="V292" s="3491"/>
      <c r="W292" s="3491"/>
      <c r="X292" s="3491"/>
      <c r="Y292" s="520"/>
      <c r="Z292" s="2293"/>
      <c r="AA292" s="520"/>
      <c r="AB292" s="3611"/>
      <c r="AC292" s="520"/>
      <c r="AD292" s="520"/>
      <c r="AE292" s="520"/>
      <c r="AF292" s="2344"/>
      <c r="AG292" s="520"/>
      <c r="AH292" s="520"/>
    </row>
    <row r="293" spans="1:34" s="6" customFormat="1" ht="26.25" customHeight="1" x14ac:dyDescent="0.35">
      <c r="A293" s="601"/>
      <c r="B293" s="564"/>
      <c r="C293" s="2185"/>
      <c r="D293" s="3168"/>
      <c r="E293" s="3522"/>
      <c r="F293" s="3523"/>
      <c r="G293" s="3523"/>
      <c r="H293" s="3524"/>
      <c r="I293" s="3483"/>
      <c r="J293" s="3427"/>
      <c r="K293" s="3427"/>
      <c r="L293" s="3427"/>
      <c r="M293" s="3427"/>
      <c r="N293" s="3427"/>
      <c r="O293" s="3428"/>
      <c r="P293" s="3439"/>
      <c r="Q293" s="3440"/>
      <c r="R293" s="3440"/>
      <c r="S293" s="3441"/>
      <c r="T293" s="3491"/>
      <c r="U293" s="3491"/>
      <c r="V293" s="3491"/>
      <c r="W293" s="3491"/>
      <c r="X293" s="3491"/>
      <c r="Y293" s="520"/>
      <c r="Z293" s="2293"/>
      <c r="AA293" s="2327"/>
      <c r="AB293" s="3611"/>
      <c r="AC293" s="2327"/>
      <c r="AD293" s="2327"/>
      <c r="AE293" s="2327"/>
      <c r="AF293" s="2346"/>
      <c r="AG293" s="2327"/>
      <c r="AH293" s="2327"/>
    </row>
    <row r="294" spans="1:34" s="6" customFormat="1" ht="14.25" customHeight="1" x14ac:dyDescent="0.35">
      <c r="A294" s="601"/>
      <c r="B294" s="564"/>
      <c r="C294" s="2185"/>
      <c r="D294" s="3166">
        <v>2</v>
      </c>
      <c r="E294" s="3086" t="s">
        <v>1592</v>
      </c>
      <c r="F294" s="3087"/>
      <c r="G294" s="3087"/>
      <c r="H294" s="3088"/>
      <c r="I294" s="3451"/>
      <c r="J294" s="3429"/>
      <c r="K294" s="3429"/>
      <c r="L294" s="3429"/>
      <c r="M294" s="3429"/>
      <c r="N294" s="3429"/>
      <c r="O294" s="3430"/>
      <c r="P294" s="3433" t="s">
        <v>484</v>
      </c>
      <c r="Q294" s="3434"/>
      <c r="R294" s="3434"/>
      <c r="S294" s="3435"/>
      <c r="T294" s="3486"/>
      <c r="U294" s="3486"/>
      <c r="V294" s="3486"/>
      <c r="W294" s="3486"/>
      <c r="X294" s="3490"/>
      <c r="Y294" s="2327"/>
      <c r="Z294" s="2328"/>
      <c r="AA294" s="2327"/>
      <c r="AB294" s="3611">
        <v>3</v>
      </c>
      <c r="AC294" s="2327"/>
      <c r="AD294" s="2327"/>
      <c r="AE294" s="2327"/>
      <c r="AF294" s="2346"/>
      <c r="AG294" s="2327"/>
      <c r="AH294" s="2327"/>
    </row>
    <row r="295" spans="1:34" s="6" customFormat="1" ht="14.25" customHeight="1" x14ac:dyDescent="0.35">
      <c r="A295" s="601"/>
      <c r="B295" s="564"/>
      <c r="C295" s="2185"/>
      <c r="D295" s="3167"/>
      <c r="E295" s="3089"/>
      <c r="F295" s="3090"/>
      <c r="G295" s="3090"/>
      <c r="H295" s="3091"/>
      <c r="I295" s="3483" t="s">
        <v>785</v>
      </c>
      <c r="J295" s="3427"/>
      <c r="K295" s="3427"/>
      <c r="L295" s="3427"/>
      <c r="M295" s="3427"/>
      <c r="N295" s="3427"/>
      <c r="O295" s="3428"/>
      <c r="P295" s="3436"/>
      <c r="Q295" s="3437"/>
      <c r="R295" s="3437"/>
      <c r="S295" s="3438"/>
      <c r="T295" s="3487"/>
      <c r="U295" s="3487"/>
      <c r="V295" s="3487"/>
      <c r="W295" s="3487"/>
      <c r="X295" s="3491"/>
      <c r="Y295" s="2327"/>
      <c r="Z295" s="2328"/>
      <c r="AA295" s="2327"/>
      <c r="AB295" s="3611"/>
      <c r="AC295" s="2327"/>
      <c r="AD295" s="2327"/>
      <c r="AE295" s="2327"/>
      <c r="AF295" s="2346"/>
      <c r="AG295" s="2327"/>
      <c r="AH295" s="2327"/>
    </row>
    <row r="296" spans="1:34" s="6" customFormat="1" ht="14.25" customHeight="1" x14ac:dyDescent="0.35">
      <c r="A296" s="601"/>
      <c r="B296" s="564"/>
      <c r="C296" s="2185"/>
      <c r="D296" s="3167"/>
      <c r="E296" s="3089"/>
      <c r="F296" s="3090"/>
      <c r="G296" s="3090"/>
      <c r="H296" s="3091"/>
      <c r="I296" s="3483" t="s">
        <v>787</v>
      </c>
      <c r="J296" s="3427"/>
      <c r="K296" s="3427"/>
      <c r="L296" s="3427"/>
      <c r="M296" s="3427"/>
      <c r="N296" s="3427"/>
      <c r="O296" s="3428"/>
      <c r="P296" s="3436"/>
      <c r="Q296" s="3437"/>
      <c r="R296" s="3437"/>
      <c r="S296" s="3438"/>
      <c r="T296" s="3487"/>
      <c r="U296" s="3487"/>
      <c r="V296" s="3487"/>
      <c r="W296" s="3487"/>
      <c r="X296" s="3491"/>
      <c r="Y296" s="2327"/>
      <c r="Z296" s="2328"/>
      <c r="AA296" s="2327"/>
      <c r="AB296" s="3611"/>
      <c r="AC296" s="2327"/>
      <c r="AD296" s="2327"/>
      <c r="AE296" s="2327"/>
      <c r="AF296" s="2346"/>
      <c r="AG296" s="2327"/>
      <c r="AH296" s="2327"/>
    </row>
    <row r="297" spans="1:34" s="6" customFormat="1" ht="14.25" customHeight="1" x14ac:dyDescent="0.35">
      <c r="A297" s="601"/>
      <c r="B297" s="564"/>
      <c r="C297" s="2185"/>
      <c r="D297" s="3167"/>
      <c r="E297" s="3089"/>
      <c r="F297" s="3090"/>
      <c r="G297" s="3090"/>
      <c r="H297" s="3091"/>
      <c r="I297" s="3483" t="s">
        <v>788</v>
      </c>
      <c r="J297" s="3427"/>
      <c r="K297" s="3427"/>
      <c r="L297" s="3427"/>
      <c r="M297" s="3427"/>
      <c r="N297" s="3427"/>
      <c r="O297" s="3428"/>
      <c r="P297" s="3436"/>
      <c r="Q297" s="3437"/>
      <c r="R297" s="3437"/>
      <c r="S297" s="3438"/>
      <c r="T297" s="3487"/>
      <c r="U297" s="3487"/>
      <c r="V297" s="3487"/>
      <c r="W297" s="3487"/>
      <c r="X297" s="3491"/>
      <c r="Y297" s="2327"/>
      <c r="Z297" s="2328"/>
      <c r="AA297" s="2327"/>
      <c r="AB297" s="3611"/>
      <c r="AC297" s="2327"/>
      <c r="AD297" s="2327"/>
      <c r="AE297" s="2327"/>
      <c r="AF297" s="2346"/>
      <c r="AG297" s="2327"/>
      <c r="AH297" s="2327"/>
    </row>
    <row r="298" spans="1:34" ht="14.25" customHeight="1" x14ac:dyDescent="0.35">
      <c r="A298" s="601"/>
      <c r="B298" s="564"/>
      <c r="C298" s="2185"/>
      <c r="D298" s="3167"/>
      <c r="E298" s="3089"/>
      <c r="F298" s="3090"/>
      <c r="G298" s="3090"/>
      <c r="H298" s="3091"/>
      <c r="I298" s="3483" t="s">
        <v>789</v>
      </c>
      <c r="J298" s="3427"/>
      <c r="K298" s="3427"/>
      <c r="L298" s="3427"/>
      <c r="M298" s="3427"/>
      <c r="N298" s="3427"/>
      <c r="O298" s="3428"/>
      <c r="P298" s="3436"/>
      <c r="Q298" s="3437"/>
      <c r="R298" s="3437"/>
      <c r="S298" s="3438"/>
      <c r="T298" s="3487"/>
      <c r="U298" s="3487"/>
      <c r="V298" s="3487"/>
      <c r="W298" s="3487"/>
      <c r="X298" s="3491"/>
      <c r="Y298" s="2327"/>
      <c r="Z298" s="2328"/>
      <c r="AA298" s="520"/>
      <c r="AB298" s="3611"/>
      <c r="AC298" s="520"/>
      <c r="AD298" s="520"/>
      <c r="AE298" s="520"/>
      <c r="AF298" s="2344"/>
      <c r="AG298" s="520"/>
      <c r="AH298" s="520"/>
    </row>
    <row r="299" spans="1:34" ht="14.25" customHeight="1" x14ac:dyDescent="0.35">
      <c r="A299" s="601"/>
      <c r="B299" s="564"/>
      <c r="C299" s="2185"/>
      <c r="D299" s="3168"/>
      <c r="E299" s="3092"/>
      <c r="F299" s="3093"/>
      <c r="G299" s="3093"/>
      <c r="H299" s="3094"/>
      <c r="I299" s="3483" t="s">
        <v>790</v>
      </c>
      <c r="J299" s="3427"/>
      <c r="K299" s="3427"/>
      <c r="L299" s="3427"/>
      <c r="M299" s="3427"/>
      <c r="N299" s="3427"/>
      <c r="O299" s="3428"/>
      <c r="P299" s="3439"/>
      <c r="Q299" s="3440"/>
      <c r="R299" s="3440"/>
      <c r="S299" s="3441"/>
      <c r="T299" s="3487"/>
      <c r="U299" s="3487"/>
      <c r="V299" s="3487"/>
      <c r="W299" s="3487"/>
      <c r="X299" s="3491"/>
      <c r="Y299" s="2327"/>
      <c r="Z299" s="2293"/>
      <c r="AA299" s="520"/>
      <c r="AB299" s="3611"/>
      <c r="AC299" s="520"/>
      <c r="AD299" s="520"/>
      <c r="AE299" s="520"/>
      <c r="AF299" s="2344"/>
      <c r="AG299" s="520"/>
      <c r="AH299" s="520"/>
    </row>
    <row r="300" spans="1:34" ht="14.25" customHeight="1" x14ac:dyDescent="0.35">
      <c r="A300" s="601"/>
      <c r="B300" s="564"/>
      <c r="C300" s="2185"/>
      <c r="D300" s="3166">
        <v>3</v>
      </c>
      <c r="E300" s="3086" t="s">
        <v>784</v>
      </c>
      <c r="F300" s="3087"/>
      <c r="G300" s="3087"/>
      <c r="H300" s="3088"/>
      <c r="I300" s="3451"/>
      <c r="J300" s="3429"/>
      <c r="K300" s="3429"/>
      <c r="L300" s="3429"/>
      <c r="M300" s="3429"/>
      <c r="N300" s="3429"/>
      <c r="O300" s="3430"/>
      <c r="P300" s="3472" t="s">
        <v>485</v>
      </c>
      <c r="Q300" s="3473"/>
      <c r="R300" s="3473"/>
      <c r="S300" s="3474"/>
      <c r="T300" s="3486"/>
      <c r="U300" s="3486"/>
      <c r="V300" s="3486"/>
      <c r="W300" s="3486"/>
      <c r="X300" s="3490"/>
      <c r="Y300" s="520"/>
      <c r="Z300" s="2293"/>
      <c r="AA300" s="520"/>
      <c r="AB300" s="3611">
        <v>3</v>
      </c>
      <c r="AC300" s="520"/>
      <c r="AD300" s="520"/>
      <c r="AE300" s="520"/>
      <c r="AF300" s="2344"/>
      <c r="AG300" s="520"/>
      <c r="AH300" s="520"/>
    </row>
    <row r="301" spans="1:34" ht="14.25" customHeight="1" x14ac:dyDescent="0.35">
      <c r="A301" s="601"/>
      <c r="B301" s="564"/>
      <c r="C301" s="2185"/>
      <c r="D301" s="3167"/>
      <c r="E301" s="3089"/>
      <c r="F301" s="3090"/>
      <c r="G301" s="3090"/>
      <c r="H301" s="3091"/>
      <c r="I301" s="3483" t="s">
        <v>786</v>
      </c>
      <c r="J301" s="3427"/>
      <c r="K301" s="3427"/>
      <c r="L301" s="3427"/>
      <c r="M301" s="3427"/>
      <c r="N301" s="3427"/>
      <c r="O301" s="3428"/>
      <c r="P301" s="3475"/>
      <c r="Q301" s="3476"/>
      <c r="R301" s="3476"/>
      <c r="S301" s="3477"/>
      <c r="T301" s="3487"/>
      <c r="U301" s="3487"/>
      <c r="V301" s="3487"/>
      <c r="W301" s="3487"/>
      <c r="X301" s="3491"/>
      <c r="Y301" s="520"/>
      <c r="Z301" s="2293"/>
      <c r="AA301" s="520"/>
      <c r="AB301" s="3611"/>
      <c r="AC301" s="520"/>
      <c r="AD301" s="520"/>
      <c r="AE301" s="520"/>
      <c r="AF301" s="2344"/>
      <c r="AG301" s="520"/>
      <c r="AH301" s="520"/>
    </row>
    <row r="302" spans="1:34" ht="14.25" customHeight="1" x14ac:dyDescent="0.35">
      <c r="A302" s="601"/>
      <c r="B302" s="564"/>
      <c r="C302" s="2185"/>
      <c r="D302" s="3167"/>
      <c r="E302" s="3089"/>
      <c r="F302" s="3090"/>
      <c r="G302" s="3090"/>
      <c r="H302" s="3091"/>
      <c r="I302" s="3483" t="s">
        <v>791</v>
      </c>
      <c r="J302" s="3427"/>
      <c r="K302" s="3427"/>
      <c r="L302" s="3427"/>
      <c r="M302" s="3427"/>
      <c r="N302" s="3427"/>
      <c r="O302" s="3428"/>
      <c r="P302" s="3475"/>
      <c r="Q302" s="3476"/>
      <c r="R302" s="3476"/>
      <c r="S302" s="3477"/>
      <c r="T302" s="3487"/>
      <c r="U302" s="3487"/>
      <c r="V302" s="3487"/>
      <c r="W302" s="3487"/>
      <c r="X302" s="3491"/>
      <c r="Y302" s="520"/>
      <c r="Z302" s="2293"/>
      <c r="AA302" s="520"/>
      <c r="AB302" s="3611"/>
      <c r="AC302" s="520"/>
      <c r="AD302" s="520"/>
      <c r="AE302" s="520"/>
      <c r="AF302" s="2344"/>
      <c r="AG302" s="520"/>
      <c r="AH302" s="520"/>
    </row>
    <row r="303" spans="1:34" ht="14.25" customHeight="1" x14ac:dyDescent="0.35">
      <c r="A303" s="601"/>
      <c r="B303" s="564"/>
      <c r="C303" s="2185"/>
      <c r="D303" s="3167"/>
      <c r="E303" s="3089"/>
      <c r="F303" s="3090"/>
      <c r="G303" s="3090"/>
      <c r="H303" s="3091"/>
      <c r="I303" s="3483" t="s">
        <v>788</v>
      </c>
      <c r="J303" s="3427"/>
      <c r="K303" s="3427"/>
      <c r="L303" s="3427"/>
      <c r="M303" s="3427"/>
      <c r="N303" s="3427"/>
      <c r="O303" s="3428"/>
      <c r="P303" s="3475"/>
      <c r="Q303" s="3476"/>
      <c r="R303" s="3476"/>
      <c r="S303" s="3477"/>
      <c r="T303" s="3487"/>
      <c r="U303" s="3487"/>
      <c r="V303" s="3487"/>
      <c r="W303" s="3487"/>
      <c r="X303" s="3491"/>
      <c r="Y303" s="520"/>
      <c r="Z303" s="2293"/>
      <c r="AA303" s="520"/>
      <c r="AB303" s="3611"/>
      <c r="AC303" s="520"/>
      <c r="AD303" s="520"/>
      <c r="AE303" s="520"/>
      <c r="AF303" s="2344"/>
      <c r="AG303" s="520"/>
      <c r="AH303" s="520"/>
    </row>
    <row r="304" spans="1:34" ht="14.25" customHeight="1" x14ac:dyDescent="0.35">
      <c r="A304" s="601"/>
      <c r="B304" s="564"/>
      <c r="C304" s="2185"/>
      <c r="D304" s="3167"/>
      <c r="E304" s="3089"/>
      <c r="F304" s="3090"/>
      <c r="G304" s="3090"/>
      <c r="H304" s="3091"/>
      <c r="I304" s="3483" t="s">
        <v>792</v>
      </c>
      <c r="J304" s="3427"/>
      <c r="K304" s="3427"/>
      <c r="L304" s="3427"/>
      <c r="M304" s="3427"/>
      <c r="N304" s="3427"/>
      <c r="O304" s="3428"/>
      <c r="P304" s="3475"/>
      <c r="Q304" s="3476"/>
      <c r="R304" s="3476"/>
      <c r="S304" s="3477"/>
      <c r="T304" s="3487"/>
      <c r="U304" s="3487"/>
      <c r="V304" s="3487"/>
      <c r="W304" s="3487"/>
      <c r="X304" s="3491"/>
      <c r="Y304" s="520"/>
      <c r="Z304" s="2293"/>
      <c r="AA304" s="520"/>
      <c r="AB304" s="3611"/>
      <c r="AC304" s="520"/>
      <c r="AD304" s="520"/>
      <c r="AE304" s="520"/>
      <c r="AF304" s="2344"/>
      <c r="AG304" s="520"/>
      <c r="AH304" s="520"/>
    </row>
    <row r="305" spans="1:34" ht="14.25" customHeight="1" x14ac:dyDescent="0.35">
      <c r="A305" s="601"/>
      <c r="B305" s="564"/>
      <c r="C305" s="2185"/>
      <c r="D305" s="3168"/>
      <c r="E305" s="3092"/>
      <c r="F305" s="3093"/>
      <c r="G305" s="3093"/>
      <c r="H305" s="3094"/>
      <c r="I305" s="3483" t="s">
        <v>793</v>
      </c>
      <c r="J305" s="3427"/>
      <c r="K305" s="3427"/>
      <c r="L305" s="3427"/>
      <c r="M305" s="3427"/>
      <c r="N305" s="3427"/>
      <c r="O305" s="3428"/>
      <c r="P305" s="3478"/>
      <c r="Q305" s="3479"/>
      <c r="R305" s="3479"/>
      <c r="S305" s="3480"/>
      <c r="T305" s="3487"/>
      <c r="U305" s="3487"/>
      <c r="V305" s="3487"/>
      <c r="W305" s="3487"/>
      <c r="X305" s="3491"/>
      <c r="Y305" s="520"/>
      <c r="Z305" s="2293"/>
      <c r="AA305" s="520"/>
      <c r="AB305" s="3611"/>
      <c r="AC305" s="520"/>
      <c r="AD305" s="520"/>
      <c r="AE305" s="520"/>
      <c r="AF305" s="2344"/>
      <c r="AG305" s="520"/>
      <c r="AH305" s="520"/>
    </row>
    <row r="306" spans="1:34" ht="85.5" customHeight="1" x14ac:dyDescent="0.35">
      <c r="A306" s="601"/>
      <c r="B306" s="564"/>
      <c r="C306" s="2185"/>
      <c r="D306" s="1503">
        <v>4</v>
      </c>
      <c r="E306" s="2982" t="s">
        <v>1580</v>
      </c>
      <c r="F306" s="2983"/>
      <c r="G306" s="2983"/>
      <c r="H306" s="2984"/>
      <c r="I306" s="3492" t="s">
        <v>289</v>
      </c>
      <c r="J306" s="3493"/>
      <c r="K306" s="3493"/>
      <c r="L306" s="3493"/>
      <c r="M306" s="3493"/>
      <c r="N306" s="3493"/>
      <c r="O306" s="3494"/>
      <c r="P306" s="2996" t="s">
        <v>1581</v>
      </c>
      <c r="Q306" s="2997"/>
      <c r="R306" s="2997"/>
      <c r="S306" s="2998"/>
      <c r="T306" s="1506"/>
      <c r="U306" s="1506"/>
      <c r="V306" s="1506"/>
      <c r="W306" s="1506"/>
      <c r="X306" s="1490"/>
      <c r="Y306" s="520"/>
      <c r="Z306" s="2293"/>
      <c r="AA306" s="520"/>
      <c r="AB306" s="2293">
        <v>3</v>
      </c>
      <c r="AC306" s="520"/>
      <c r="AD306" s="520"/>
      <c r="AE306" s="520"/>
      <c r="AF306" s="2344"/>
      <c r="AG306" s="520"/>
      <c r="AH306" s="520"/>
    </row>
    <row r="307" spans="1:34" ht="16.5" customHeight="1" x14ac:dyDescent="0.35">
      <c r="A307" s="601"/>
      <c r="B307" s="564"/>
      <c r="C307" s="2185"/>
      <c r="D307" s="3166">
        <v>5</v>
      </c>
      <c r="E307" s="3086" t="s">
        <v>130</v>
      </c>
      <c r="F307" s="3087"/>
      <c r="G307" s="3087"/>
      <c r="H307" s="3088"/>
      <c r="I307" s="3492" t="s">
        <v>290</v>
      </c>
      <c r="J307" s="3493"/>
      <c r="K307" s="3493"/>
      <c r="L307" s="3493"/>
      <c r="M307" s="3493"/>
      <c r="N307" s="3493"/>
      <c r="O307" s="3494"/>
      <c r="P307" s="3472" t="s">
        <v>1593</v>
      </c>
      <c r="Q307" s="3473"/>
      <c r="R307" s="3473"/>
      <c r="S307" s="3474"/>
      <c r="T307" s="3486"/>
      <c r="U307" s="3486"/>
      <c r="V307" s="3486"/>
      <c r="W307" s="3486"/>
      <c r="X307" s="3490"/>
      <c r="Y307" s="520"/>
      <c r="Z307" s="2293"/>
      <c r="AA307" s="520"/>
      <c r="AB307" s="3611">
        <v>3</v>
      </c>
      <c r="AC307" s="520"/>
      <c r="AD307" s="520"/>
      <c r="AE307" s="520"/>
      <c r="AF307" s="2344"/>
      <c r="AG307" s="520"/>
      <c r="AH307" s="520"/>
    </row>
    <row r="308" spans="1:34" ht="50.25" customHeight="1" x14ac:dyDescent="0.35">
      <c r="A308" s="601"/>
      <c r="B308" s="564"/>
      <c r="C308" s="2185"/>
      <c r="D308" s="3167"/>
      <c r="E308" s="3089"/>
      <c r="F308" s="3090"/>
      <c r="G308" s="3090"/>
      <c r="H308" s="3091"/>
      <c r="I308" s="3483"/>
      <c r="J308" s="3427"/>
      <c r="K308" s="3427"/>
      <c r="L308" s="3427"/>
      <c r="M308" s="3427"/>
      <c r="N308" s="3427"/>
      <c r="O308" s="3428"/>
      <c r="P308" s="3475"/>
      <c r="Q308" s="3476"/>
      <c r="R308" s="3476"/>
      <c r="S308" s="3477"/>
      <c r="T308" s="3487"/>
      <c r="U308" s="3487"/>
      <c r="V308" s="3487"/>
      <c r="W308" s="3487"/>
      <c r="X308" s="3491"/>
      <c r="Y308" s="520"/>
      <c r="Z308" s="2293"/>
      <c r="AA308" s="520"/>
      <c r="AB308" s="3611"/>
      <c r="AC308" s="520"/>
      <c r="AD308" s="520"/>
      <c r="AE308" s="520"/>
      <c r="AF308" s="2344"/>
      <c r="AG308" s="520"/>
      <c r="AH308" s="520"/>
    </row>
    <row r="309" spans="1:34" ht="18.75" customHeight="1" x14ac:dyDescent="0.35">
      <c r="A309" s="601"/>
      <c r="B309" s="564"/>
      <c r="C309" s="2185"/>
      <c r="D309" s="3168"/>
      <c r="E309" s="3092"/>
      <c r="F309" s="3093"/>
      <c r="G309" s="3093"/>
      <c r="H309" s="3094"/>
      <c r="I309" s="3483"/>
      <c r="J309" s="3427"/>
      <c r="K309" s="3427"/>
      <c r="L309" s="3427"/>
      <c r="M309" s="3427"/>
      <c r="N309" s="3427"/>
      <c r="O309" s="3428"/>
      <c r="P309" s="3478"/>
      <c r="Q309" s="3479"/>
      <c r="R309" s="3479"/>
      <c r="S309" s="3480"/>
      <c r="T309" s="3487"/>
      <c r="U309" s="3487"/>
      <c r="V309" s="3487"/>
      <c r="W309" s="3487"/>
      <c r="X309" s="3491"/>
      <c r="Y309" s="520"/>
      <c r="Z309" s="2293"/>
      <c r="AA309" s="520"/>
      <c r="AB309" s="3611"/>
      <c r="AC309" s="520"/>
      <c r="AD309" s="520"/>
      <c r="AE309" s="520"/>
      <c r="AF309" s="2344"/>
      <c r="AG309" s="520"/>
      <c r="AH309" s="520"/>
    </row>
    <row r="310" spans="1:34" ht="14.25" customHeight="1" x14ac:dyDescent="0.35">
      <c r="A310" s="601"/>
      <c r="B310" s="564"/>
      <c r="C310" s="2185"/>
      <c r="D310" s="3166">
        <v>6</v>
      </c>
      <c r="E310" s="3516" t="s">
        <v>794</v>
      </c>
      <c r="F310" s="3517"/>
      <c r="G310" s="3517"/>
      <c r="H310" s="3518"/>
      <c r="I310" s="3429"/>
      <c r="J310" s="3429"/>
      <c r="K310" s="3429"/>
      <c r="L310" s="3429"/>
      <c r="M310" s="3429"/>
      <c r="N310" s="3429"/>
      <c r="O310" s="3429"/>
      <c r="P310" s="3433" t="s">
        <v>1804</v>
      </c>
      <c r="Q310" s="3434"/>
      <c r="R310" s="3434"/>
      <c r="S310" s="3435"/>
      <c r="T310" s="3486"/>
      <c r="U310" s="3486"/>
      <c r="V310" s="3486"/>
      <c r="W310" s="3486"/>
      <c r="X310" s="3490"/>
      <c r="Y310" s="520"/>
      <c r="Z310" s="2293"/>
      <c r="AA310" s="520"/>
      <c r="AB310" s="3611">
        <v>2</v>
      </c>
      <c r="AC310" s="520"/>
      <c r="AD310" s="520"/>
      <c r="AE310" s="520"/>
      <c r="AF310" s="2344"/>
      <c r="AG310" s="520"/>
      <c r="AH310" s="520"/>
    </row>
    <row r="311" spans="1:34" ht="14.25" customHeight="1" x14ac:dyDescent="0.35">
      <c r="A311" s="601"/>
      <c r="B311" s="564"/>
      <c r="C311" s="2185"/>
      <c r="D311" s="3167"/>
      <c r="E311" s="3519"/>
      <c r="F311" s="3520"/>
      <c r="G311" s="3520"/>
      <c r="H311" s="3521"/>
      <c r="I311" s="3427" t="s">
        <v>260</v>
      </c>
      <c r="J311" s="3427"/>
      <c r="K311" s="3427"/>
      <c r="L311" s="3427"/>
      <c r="M311" s="3427"/>
      <c r="N311" s="3427"/>
      <c r="O311" s="3427"/>
      <c r="P311" s="3436"/>
      <c r="Q311" s="3437"/>
      <c r="R311" s="3437"/>
      <c r="S311" s="3438"/>
      <c r="T311" s="3487"/>
      <c r="U311" s="3487"/>
      <c r="V311" s="3487"/>
      <c r="W311" s="3487"/>
      <c r="X311" s="3491"/>
      <c r="Y311" s="520"/>
      <c r="Z311" s="2293"/>
      <c r="AA311" s="520"/>
      <c r="AB311" s="3611"/>
      <c r="AC311" s="520"/>
      <c r="AD311" s="520"/>
      <c r="AE311" s="520"/>
      <c r="AF311" s="2344"/>
      <c r="AG311" s="520"/>
      <c r="AH311" s="520"/>
    </row>
    <row r="312" spans="1:34" ht="14.25" customHeight="1" x14ac:dyDescent="0.35">
      <c r="A312" s="601"/>
      <c r="B312" s="564"/>
      <c r="C312" s="2185"/>
      <c r="D312" s="3167"/>
      <c r="E312" s="3519"/>
      <c r="F312" s="3520"/>
      <c r="G312" s="3520"/>
      <c r="H312" s="3521"/>
      <c r="I312" s="3427" t="s">
        <v>261</v>
      </c>
      <c r="J312" s="3427"/>
      <c r="K312" s="3427"/>
      <c r="L312" s="3427"/>
      <c r="M312" s="3427"/>
      <c r="N312" s="3427"/>
      <c r="O312" s="3427"/>
      <c r="P312" s="3436"/>
      <c r="Q312" s="3437"/>
      <c r="R312" s="3437"/>
      <c r="S312" s="3438"/>
      <c r="T312" s="3487"/>
      <c r="U312" s="3487"/>
      <c r="V312" s="3487"/>
      <c r="W312" s="3487"/>
      <c r="X312" s="3491"/>
      <c r="Y312" s="520"/>
      <c r="Z312" s="2293"/>
      <c r="AA312" s="520"/>
      <c r="AB312" s="3611"/>
      <c r="AC312" s="520"/>
      <c r="AD312" s="520"/>
      <c r="AE312" s="520"/>
      <c r="AF312" s="2344"/>
      <c r="AG312" s="520"/>
      <c r="AH312" s="520"/>
    </row>
    <row r="313" spans="1:34" ht="14.25" customHeight="1" x14ac:dyDescent="0.35">
      <c r="A313" s="601"/>
      <c r="B313" s="564"/>
      <c r="C313" s="2185"/>
      <c r="D313" s="3167"/>
      <c r="E313" s="3519"/>
      <c r="F313" s="3520"/>
      <c r="G313" s="3520"/>
      <c r="H313" s="3521"/>
      <c r="I313" s="3427" t="s">
        <v>280</v>
      </c>
      <c r="J313" s="3427"/>
      <c r="K313" s="3427"/>
      <c r="L313" s="3427"/>
      <c r="M313" s="3427"/>
      <c r="N313" s="3427"/>
      <c r="O313" s="3427"/>
      <c r="P313" s="3436"/>
      <c r="Q313" s="3437"/>
      <c r="R313" s="3437"/>
      <c r="S313" s="3438"/>
      <c r="T313" s="3487"/>
      <c r="U313" s="3487"/>
      <c r="V313" s="3487"/>
      <c r="W313" s="3487"/>
      <c r="X313" s="3491"/>
      <c r="Y313" s="520"/>
      <c r="Z313" s="2293"/>
      <c r="AA313" s="520"/>
      <c r="AB313" s="3611"/>
      <c r="AC313" s="520"/>
      <c r="AD313" s="520"/>
      <c r="AE313" s="520"/>
      <c r="AF313" s="2344"/>
      <c r="AG313" s="520"/>
      <c r="AH313" s="520"/>
    </row>
    <row r="314" spans="1:34" ht="14.25" customHeight="1" x14ac:dyDescent="0.35">
      <c r="A314" s="601"/>
      <c r="B314" s="564"/>
      <c r="C314" s="2185"/>
      <c r="D314" s="3167"/>
      <c r="E314" s="3519"/>
      <c r="F314" s="3520"/>
      <c r="G314" s="3520"/>
      <c r="H314" s="3521"/>
      <c r="I314" s="3427" t="s">
        <v>262</v>
      </c>
      <c r="J314" s="3427"/>
      <c r="K314" s="3427"/>
      <c r="L314" s="3427"/>
      <c r="M314" s="3427"/>
      <c r="N314" s="3427"/>
      <c r="O314" s="3427"/>
      <c r="P314" s="3436"/>
      <c r="Q314" s="3437"/>
      <c r="R314" s="3437"/>
      <c r="S314" s="3438"/>
      <c r="T314" s="3487"/>
      <c r="U314" s="3487"/>
      <c r="V314" s="3487"/>
      <c r="W314" s="3487"/>
      <c r="X314" s="3491"/>
      <c r="Y314" s="520"/>
      <c r="Z314" s="2293"/>
      <c r="AA314" s="520"/>
      <c r="AB314" s="3611"/>
      <c r="AC314" s="520"/>
      <c r="AD314" s="520"/>
      <c r="AE314" s="520"/>
      <c r="AF314" s="2344"/>
      <c r="AG314" s="520"/>
      <c r="AH314" s="520"/>
    </row>
    <row r="315" spans="1:34" ht="14.25" customHeight="1" x14ac:dyDescent="0.35">
      <c r="A315" s="601"/>
      <c r="B315" s="564"/>
      <c r="C315" s="2185"/>
      <c r="D315" s="3168"/>
      <c r="E315" s="3522"/>
      <c r="F315" s="3523"/>
      <c r="G315" s="3523"/>
      <c r="H315" s="3524"/>
      <c r="I315" s="3427" t="s">
        <v>263</v>
      </c>
      <c r="J315" s="3427"/>
      <c r="K315" s="3427"/>
      <c r="L315" s="3427"/>
      <c r="M315" s="3427"/>
      <c r="N315" s="3427"/>
      <c r="O315" s="3427"/>
      <c r="P315" s="3439"/>
      <c r="Q315" s="3440"/>
      <c r="R315" s="3440"/>
      <c r="S315" s="3441"/>
      <c r="T315" s="3487"/>
      <c r="U315" s="3487"/>
      <c r="V315" s="3487"/>
      <c r="W315" s="3487"/>
      <c r="X315" s="3491"/>
      <c r="Y315" s="520"/>
      <c r="Z315" s="2293"/>
      <c r="AA315" s="520"/>
      <c r="AB315" s="3611"/>
      <c r="AC315" s="520"/>
      <c r="AD315" s="520"/>
      <c r="AE315" s="520"/>
      <c r="AF315" s="2344"/>
      <c r="AG315" s="520"/>
      <c r="AH315" s="520"/>
    </row>
    <row r="316" spans="1:34" ht="36" customHeight="1" x14ac:dyDescent="0.35">
      <c r="A316" s="144"/>
      <c r="B316" s="197"/>
      <c r="C316" s="189"/>
      <c r="D316" s="3442" t="s">
        <v>1805</v>
      </c>
      <c r="E316" s="3443"/>
      <c r="F316" s="3443"/>
      <c r="G316" s="3443"/>
      <c r="H316" s="3443"/>
      <c r="I316" s="3443"/>
      <c r="J316" s="3443"/>
      <c r="K316" s="3443"/>
      <c r="L316" s="3443"/>
      <c r="M316" s="3443"/>
      <c r="N316" s="3443"/>
      <c r="O316" s="3444"/>
      <c r="P316" s="3210" t="s">
        <v>184</v>
      </c>
      <c r="Q316" s="3211"/>
      <c r="R316" s="3211"/>
      <c r="S316" s="3223"/>
      <c r="T316" s="1469">
        <f>COUNTIF(AB288:AB315,"1")*T287</f>
        <v>0</v>
      </c>
      <c r="U316" s="1469">
        <f>COUNTIF(AB288:AB315,"2")*U287</f>
        <v>2</v>
      </c>
      <c r="V316" s="1469">
        <f>COUNTIF(AB288:AB315,"3")*V287</f>
        <v>12</v>
      </c>
      <c r="W316" s="1469">
        <f>COUNTIF(AB288:AB315,"4")*W287</f>
        <v>4</v>
      </c>
      <c r="X316" s="1469">
        <f>COUNTIF(AB288:AB315,"5")*X287</f>
        <v>0</v>
      </c>
      <c r="Y316" s="520"/>
      <c r="Z316" s="2293"/>
      <c r="AA316" s="520"/>
      <c r="AC316" s="520"/>
      <c r="AD316" s="520"/>
      <c r="AE316" s="520"/>
      <c r="AF316" s="2344"/>
      <c r="AG316" s="520"/>
      <c r="AH316" s="520"/>
    </row>
    <row r="317" spans="1:34" ht="38.25" customHeight="1" x14ac:dyDescent="0.35">
      <c r="A317" s="144"/>
      <c r="B317" s="197"/>
      <c r="C317" s="189"/>
      <c r="D317" s="3445"/>
      <c r="E317" s="3446"/>
      <c r="F317" s="3446"/>
      <c r="G317" s="3446"/>
      <c r="H317" s="3446"/>
      <c r="I317" s="3446"/>
      <c r="J317" s="3446"/>
      <c r="K317" s="3446"/>
      <c r="L317" s="3446"/>
      <c r="M317" s="3446"/>
      <c r="N317" s="3446"/>
      <c r="O317" s="3447"/>
      <c r="P317" s="3212"/>
      <c r="Q317" s="3213"/>
      <c r="R317" s="3213"/>
      <c r="S317" s="3224"/>
      <c r="T317" s="3240">
        <f>SUM(T316:X316)</f>
        <v>18</v>
      </c>
      <c r="U317" s="3241"/>
      <c r="V317" s="3241"/>
      <c r="W317" s="3241"/>
      <c r="X317" s="3242"/>
      <c r="Y317" s="520"/>
      <c r="Z317" s="2293"/>
      <c r="AA317" s="520"/>
      <c r="AC317" s="520"/>
      <c r="AD317" s="520"/>
      <c r="AE317" s="520"/>
      <c r="AF317" s="2344"/>
      <c r="AG317" s="520"/>
      <c r="AH317" s="520"/>
    </row>
    <row r="318" spans="1:34" ht="81" customHeight="1" x14ac:dyDescent="0.35">
      <c r="A318" s="144"/>
      <c r="B318" s="197"/>
      <c r="C318" s="189"/>
      <c r="D318" s="3448"/>
      <c r="E318" s="3449"/>
      <c r="F318" s="3449"/>
      <c r="G318" s="3449"/>
      <c r="H318" s="3449"/>
      <c r="I318" s="3449"/>
      <c r="J318" s="3449"/>
      <c r="K318" s="3449"/>
      <c r="L318" s="3449"/>
      <c r="M318" s="3449"/>
      <c r="N318" s="3449"/>
      <c r="O318" s="3450"/>
      <c r="P318" s="3615" t="s">
        <v>182</v>
      </c>
      <c r="Q318" s="3616"/>
      <c r="R318" s="3616"/>
      <c r="S318" s="3617"/>
      <c r="T318" s="3488">
        <f>SUM(T316:X316)/AF318</f>
        <v>3</v>
      </c>
      <c r="U318" s="3489"/>
      <c r="V318" s="3612" t="str">
        <f>IF(ROUND(T318,0)=1,"Sangat Tidak Memenuhi Syarat",IF(ROUND(T318,0)=2,"Kurang Memenuhi Syarat",IF(ROUND(T318,0)=3,"Cukup Memenuhi Syarat",IF(ROUND(T318,0)=4,"Memenuhi Syarat",IF(ROUND(T318,0)=5,"Sangat Memenuhi Syarat")))))</f>
        <v>Cukup Memenuhi Syarat</v>
      </c>
      <c r="W318" s="3613"/>
      <c r="X318" s="3614"/>
      <c r="Y318" s="520"/>
      <c r="Z318" s="2293"/>
      <c r="AA318" s="520"/>
      <c r="AC318" s="520"/>
      <c r="AD318" s="520"/>
      <c r="AE318" s="520"/>
      <c r="AF318" s="2345">
        <f>COUNTIF(AB288:AB315,"&gt;0")</f>
        <v>6</v>
      </c>
      <c r="AG318" s="520"/>
      <c r="AH318" s="520"/>
    </row>
    <row r="319" spans="1:34" ht="15.6" customHeight="1" x14ac:dyDescent="0.35">
      <c r="A319" s="144"/>
      <c r="B319" s="197"/>
      <c r="C319" s="189"/>
      <c r="D319" s="189"/>
      <c r="E319" s="189"/>
      <c r="F319" s="1519"/>
      <c r="G319" s="1519"/>
      <c r="H319" s="1519"/>
      <c r="I319" s="503"/>
      <c r="J319" s="503"/>
      <c r="K319" s="502"/>
      <c r="L319" s="502"/>
      <c r="M319" s="502"/>
      <c r="N319" s="502"/>
      <c r="O319" s="502"/>
      <c r="P319" s="1505"/>
      <c r="Q319" s="1505"/>
      <c r="R319" s="1505"/>
      <c r="S319" s="1505"/>
      <c r="T319" s="1471"/>
      <c r="U319" s="380"/>
      <c r="V319" s="380"/>
      <c r="W319" s="380"/>
      <c r="X319" s="380"/>
      <c r="Y319" s="520"/>
      <c r="Z319" s="2293"/>
      <c r="AA319" s="520"/>
      <c r="AC319" s="520"/>
      <c r="AD319" s="520"/>
      <c r="AE319" s="520"/>
      <c r="AF319" s="2344"/>
      <c r="AG319" s="520"/>
      <c r="AH319" s="520"/>
    </row>
    <row r="320" spans="1:34" ht="15" customHeight="1" x14ac:dyDescent="0.35">
      <c r="A320" s="601"/>
      <c r="B320" s="564"/>
      <c r="C320" s="2367" t="s">
        <v>131</v>
      </c>
      <c r="D320" s="3481" t="s">
        <v>1586</v>
      </c>
      <c r="E320" s="3481"/>
      <c r="F320" s="3481"/>
      <c r="G320" s="3481"/>
      <c r="H320" s="3481"/>
      <c r="I320" s="3481"/>
      <c r="J320" s="3481"/>
      <c r="K320" s="3481"/>
      <c r="L320" s="3481"/>
      <c r="M320" s="3481"/>
      <c r="N320" s="3481"/>
      <c r="O320" s="3481"/>
      <c r="P320" s="3481"/>
      <c r="Q320" s="3481"/>
      <c r="R320" s="3482"/>
      <c r="S320" s="2368"/>
      <c r="T320" s="3049" t="s">
        <v>181</v>
      </c>
      <c r="U320" s="3049"/>
      <c r="V320" s="3049"/>
      <c r="W320" s="3049"/>
      <c r="X320" s="3049"/>
      <c r="Y320" s="520"/>
      <c r="Z320" s="2293"/>
      <c r="AA320" s="520"/>
      <c r="AC320" s="520"/>
      <c r="AD320" s="520"/>
      <c r="AE320" s="520"/>
      <c r="AF320" s="2344"/>
      <c r="AG320" s="520"/>
      <c r="AH320" s="520"/>
    </row>
    <row r="321" spans="1:34" ht="15" customHeight="1" x14ac:dyDescent="0.35">
      <c r="A321" s="601"/>
      <c r="B321" s="564"/>
      <c r="C321" s="2185"/>
      <c r="D321" s="2155" t="s">
        <v>103</v>
      </c>
      <c r="E321" s="3204" t="s">
        <v>104</v>
      </c>
      <c r="F321" s="3205"/>
      <c r="G321" s="3205"/>
      <c r="H321" s="3206"/>
      <c r="I321" s="3601" t="s">
        <v>106</v>
      </c>
      <c r="J321" s="3601"/>
      <c r="K321" s="3601"/>
      <c r="L321" s="3601"/>
      <c r="M321" s="3601"/>
      <c r="N321" s="3601"/>
      <c r="O321" s="3601"/>
      <c r="P321" s="3703" t="s">
        <v>40</v>
      </c>
      <c r="Q321" s="3704"/>
      <c r="R321" s="3704"/>
      <c r="S321" s="3705"/>
      <c r="T321" s="1456">
        <v>1</v>
      </c>
      <c r="U321" s="1456">
        <v>2</v>
      </c>
      <c r="V321" s="1456">
        <v>3</v>
      </c>
      <c r="W321" s="1456">
        <v>4</v>
      </c>
      <c r="X321" s="1456">
        <v>5</v>
      </c>
      <c r="Y321" s="520"/>
      <c r="Z321" s="2293"/>
      <c r="AA321" s="520"/>
      <c r="AC321" s="520"/>
      <c r="AD321" s="520"/>
      <c r="AE321" s="520"/>
      <c r="AF321" s="2344"/>
      <c r="AG321" s="520"/>
      <c r="AH321" s="520"/>
    </row>
    <row r="322" spans="1:34" ht="14.25" customHeight="1" x14ac:dyDescent="0.35">
      <c r="A322" s="601"/>
      <c r="B322" s="564"/>
      <c r="C322" s="2185"/>
      <c r="D322" s="3166">
        <v>1</v>
      </c>
      <c r="E322" s="3086" t="s">
        <v>1594</v>
      </c>
      <c r="F322" s="3087"/>
      <c r="G322" s="3087"/>
      <c r="H322" s="3088"/>
      <c r="I322" s="3458" t="s">
        <v>1595</v>
      </c>
      <c r="J322" s="3459"/>
      <c r="K322" s="3459"/>
      <c r="L322" s="3459"/>
      <c r="M322" s="3459"/>
      <c r="N322" s="3459"/>
      <c r="O322" s="3460"/>
      <c r="P322" s="3472" t="s">
        <v>1806</v>
      </c>
      <c r="Q322" s="3473"/>
      <c r="R322" s="3473"/>
      <c r="S322" s="3474"/>
      <c r="T322" s="3486"/>
      <c r="U322" s="3486"/>
      <c r="V322" s="3486"/>
      <c r="W322" s="3486"/>
      <c r="X322" s="3490"/>
      <c r="Y322" s="520"/>
      <c r="Z322" s="2293"/>
      <c r="AA322" s="520"/>
      <c r="AB322" s="3611">
        <v>3</v>
      </c>
      <c r="AC322" s="520"/>
      <c r="AD322" s="520"/>
      <c r="AE322" s="520"/>
      <c r="AF322" s="2344"/>
      <c r="AG322" s="520"/>
      <c r="AH322" s="520"/>
    </row>
    <row r="323" spans="1:34" ht="14.25" customHeight="1" x14ac:dyDescent="0.35">
      <c r="A323" s="601"/>
      <c r="B323" s="564"/>
      <c r="C323" s="2185"/>
      <c r="D323" s="3167"/>
      <c r="E323" s="3089"/>
      <c r="F323" s="3090"/>
      <c r="G323" s="3090"/>
      <c r="H323" s="3091"/>
      <c r="I323" s="3461"/>
      <c r="J323" s="3462"/>
      <c r="K323" s="3462"/>
      <c r="L323" s="3462"/>
      <c r="M323" s="3462"/>
      <c r="N323" s="3462"/>
      <c r="O323" s="3463"/>
      <c r="P323" s="3475"/>
      <c r="Q323" s="3476"/>
      <c r="R323" s="3476"/>
      <c r="S323" s="3477"/>
      <c r="T323" s="3487"/>
      <c r="U323" s="3487"/>
      <c r="V323" s="3487"/>
      <c r="W323" s="3487"/>
      <c r="X323" s="3491"/>
      <c r="Y323" s="520"/>
      <c r="Z323" s="2293"/>
      <c r="AA323" s="520"/>
      <c r="AB323" s="3611"/>
      <c r="AC323" s="520"/>
      <c r="AD323" s="520"/>
      <c r="AE323" s="520"/>
      <c r="AF323" s="2344"/>
      <c r="AG323" s="520"/>
      <c r="AH323" s="520"/>
    </row>
    <row r="324" spans="1:34" ht="14.25" customHeight="1" x14ac:dyDescent="0.35">
      <c r="A324" s="601"/>
      <c r="B324" s="564"/>
      <c r="C324" s="2185"/>
      <c r="D324" s="3167"/>
      <c r="E324" s="3089"/>
      <c r="F324" s="3090"/>
      <c r="G324" s="3090"/>
      <c r="H324" s="3091"/>
      <c r="I324" s="3461"/>
      <c r="J324" s="3462"/>
      <c r="K324" s="3462"/>
      <c r="L324" s="3462"/>
      <c r="M324" s="3462"/>
      <c r="N324" s="3462"/>
      <c r="O324" s="3463"/>
      <c r="P324" s="3475"/>
      <c r="Q324" s="3476"/>
      <c r="R324" s="3476"/>
      <c r="S324" s="3477"/>
      <c r="T324" s="3487"/>
      <c r="U324" s="3487"/>
      <c r="V324" s="3487"/>
      <c r="W324" s="3487"/>
      <c r="X324" s="3491"/>
      <c r="Y324" s="520"/>
      <c r="Z324" s="2293"/>
      <c r="AA324" s="520"/>
      <c r="AB324" s="3611"/>
      <c r="AC324" s="520"/>
      <c r="AD324" s="520"/>
      <c r="AE324" s="520"/>
      <c r="AF324" s="2344"/>
      <c r="AG324" s="520"/>
      <c r="AH324" s="520"/>
    </row>
    <row r="325" spans="1:34" ht="14.25" customHeight="1" x14ac:dyDescent="0.35">
      <c r="A325" s="601"/>
      <c r="B325" s="564"/>
      <c r="C325" s="2185"/>
      <c r="D325" s="3167"/>
      <c r="E325" s="3089"/>
      <c r="F325" s="3090"/>
      <c r="G325" s="3090"/>
      <c r="H325" s="3091"/>
      <c r="I325" s="3461"/>
      <c r="J325" s="3462"/>
      <c r="K325" s="3462"/>
      <c r="L325" s="3462"/>
      <c r="M325" s="3462"/>
      <c r="N325" s="3462"/>
      <c r="O325" s="3463"/>
      <c r="P325" s="3475"/>
      <c r="Q325" s="3476"/>
      <c r="R325" s="3476"/>
      <c r="S325" s="3477"/>
      <c r="T325" s="3487"/>
      <c r="U325" s="3487"/>
      <c r="V325" s="3487"/>
      <c r="W325" s="3487"/>
      <c r="X325" s="3491"/>
      <c r="Y325" s="520"/>
      <c r="Z325" s="2293"/>
      <c r="AA325" s="520"/>
      <c r="AB325" s="3611"/>
      <c r="AC325" s="520"/>
      <c r="AD325" s="520"/>
      <c r="AE325" s="520"/>
      <c r="AF325" s="2344"/>
      <c r="AG325" s="520"/>
      <c r="AH325" s="520"/>
    </row>
    <row r="326" spans="1:34" ht="14.25" customHeight="1" x14ac:dyDescent="0.35">
      <c r="A326" s="601"/>
      <c r="B326" s="564"/>
      <c r="C326" s="2185"/>
      <c r="D326" s="3167"/>
      <c r="E326" s="3089"/>
      <c r="F326" s="3090"/>
      <c r="G326" s="3090"/>
      <c r="H326" s="3091"/>
      <c r="I326" s="3461"/>
      <c r="J326" s="3462"/>
      <c r="K326" s="3462"/>
      <c r="L326" s="3462"/>
      <c r="M326" s="3462"/>
      <c r="N326" s="3462"/>
      <c r="O326" s="3463"/>
      <c r="P326" s="3475"/>
      <c r="Q326" s="3476"/>
      <c r="R326" s="3476"/>
      <c r="S326" s="3477"/>
      <c r="T326" s="3487"/>
      <c r="U326" s="3487"/>
      <c r="V326" s="3487"/>
      <c r="W326" s="3487"/>
      <c r="X326" s="3491"/>
      <c r="Y326" s="520"/>
      <c r="Z326" s="2293"/>
      <c r="AA326" s="520"/>
      <c r="AB326" s="3611"/>
      <c r="AC326" s="520"/>
      <c r="AD326" s="520"/>
      <c r="AE326" s="520"/>
      <c r="AF326" s="2344"/>
      <c r="AG326" s="520"/>
      <c r="AH326" s="520"/>
    </row>
    <row r="327" spans="1:34" ht="14.25" customHeight="1" x14ac:dyDescent="0.35">
      <c r="A327" s="601"/>
      <c r="B327" s="564"/>
      <c r="C327" s="2185"/>
      <c r="D327" s="3168"/>
      <c r="E327" s="3092"/>
      <c r="F327" s="3093"/>
      <c r="G327" s="3093"/>
      <c r="H327" s="3094"/>
      <c r="I327" s="3464"/>
      <c r="J327" s="3465"/>
      <c r="K327" s="3465"/>
      <c r="L327" s="3465"/>
      <c r="M327" s="3465"/>
      <c r="N327" s="3465"/>
      <c r="O327" s="3466"/>
      <c r="P327" s="3478"/>
      <c r="Q327" s="3479"/>
      <c r="R327" s="3479"/>
      <c r="S327" s="3480"/>
      <c r="T327" s="3487"/>
      <c r="U327" s="3487"/>
      <c r="V327" s="3487"/>
      <c r="W327" s="3487"/>
      <c r="X327" s="3491"/>
      <c r="Y327" s="520"/>
      <c r="Z327" s="2293"/>
      <c r="AA327" s="520"/>
      <c r="AB327" s="3611"/>
      <c r="AC327" s="520"/>
      <c r="AD327" s="520"/>
      <c r="AE327" s="520"/>
      <c r="AF327" s="2344"/>
      <c r="AG327" s="520"/>
      <c r="AH327" s="520"/>
    </row>
    <row r="328" spans="1:34" ht="14.25" customHeight="1" x14ac:dyDescent="0.35">
      <c r="A328" s="601"/>
      <c r="B328" s="564"/>
      <c r="C328" s="2185"/>
      <c r="D328" s="3166">
        <v>2</v>
      </c>
      <c r="E328" s="3086" t="s">
        <v>795</v>
      </c>
      <c r="F328" s="3087"/>
      <c r="G328" s="3087"/>
      <c r="H328" s="3088"/>
      <c r="I328" s="3492" t="s">
        <v>1713</v>
      </c>
      <c r="J328" s="3493"/>
      <c r="K328" s="3493"/>
      <c r="L328" s="3493"/>
      <c r="M328" s="3493"/>
      <c r="N328" s="3493"/>
      <c r="O328" s="3494"/>
      <c r="P328" s="3472" t="s">
        <v>1807</v>
      </c>
      <c r="Q328" s="3473"/>
      <c r="R328" s="3473"/>
      <c r="S328" s="3474"/>
      <c r="T328" s="3486"/>
      <c r="U328" s="3486"/>
      <c r="V328" s="3486"/>
      <c r="W328" s="3486"/>
      <c r="X328" s="3490"/>
      <c r="Y328" s="520"/>
      <c r="Z328" s="2293"/>
      <c r="AA328" s="520"/>
      <c r="AB328" s="3611">
        <v>4</v>
      </c>
      <c r="AC328" s="520"/>
      <c r="AD328" s="520"/>
      <c r="AE328" s="520"/>
      <c r="AF328" s="2344"/>
      <c r="AG328" s="520"/>
      <c r="AH328" s="520"/>
    </row>
    <row r="329" spans="1:34" ht="14.25" customHeight="1" x14ac:dyDescent="0.35">
      <c r="A329" s="601"/>
      <c r="B329" s="564"/>
      <c r="C329" s="2185"/>
      <c r="D329" s="3167"/>
      <c r="E329" s="3089"/>
      <c r="F329" s="3090"/>
      <c r="G329" s="3090"/>
      <c r="H329" s="3091"/>
      <c r="I329" s="3483"/>
      <c r="J329" s="3427"/>
      <c r="K329" s="3427"/>
      <c r="L329" s="3427"/>
      <c r="M329" s="3427"/>
      <c r="N329" s="3427"/>
      <c r="O329" s="3428"/>
      <c r="P329" s="3475"/>
      <c r="Q329" s="3476"/>
      <c r="R329" s="3476"/>
      <c r="S329" s="3477"/>
      <c r="T329" s="3487"/>
      <c r="U329" s="3487"/>
      <c r="V329" s="3487"/>
      <c r="W329" s="3487"/>
      <c r="X329" s="3491"/>
      <c r="Y329" s="520"/>
      <c r="Z329" s="2293"/>
      <c r="AA329" s="520"/>
      <c r="AB329" s="3611"/>
      <c r="AC329" s="520"/>
      <c r="AD329" s="520"/>
      <c r="AE329" s="520"/>
      <c r="AF329" s="2344"/>
      <c r="AG329" s="520"/>
      <c r="AH329" s="520"/>
    </row>
    <row r="330" spans="1:34" ht="14.25" customHeight="1" x14ac:dyDescent="0.35">
      <c r="A330" s="601"/>
      <c r="B330" s="564"/>
      <c r="C330" s="2185"/>
      <c r="D330" s="3167"/>
      <c r="E330" s="3089"/>
      <c r="F330" s="3090"/>
      <c r="G330" s="3090"/>
      <c r="H330" s="3091"/>
      <c r="I330" s="3483"/>
      <c r="J330" s="3427"/>
      <c r="K330" s="3427"/>
      <c r="L330" s="3427"/>
      <c r="M330" s="3427"/>
      <c r="N330" s="3427"/>
      <c r="O330" s="3428"/>
      <c r="P330" s="3475"/>
      <c r="Q330" s="3476"/>
      <c r="R330" s="3476"/>
      <c r="S330" s="3477"/>
      <c r="T330" s="3487"/>
      <c r="U330" s="3487"/>
      <c r="V330" s="3487"/>
      <c r="W330" s="3487"/>
      <c r="X330" s="3491"/>
      <c r="Y330" s="520"/>
      <c r="Z330" s="2293"/>
      <c r="AA330" s="520"/>
      <c r="AB330" s="3611"/>
      <c r="AC330" s="520"/>
      <c r="AD330" s="520"/>
      <c r="AE330" s="520"/>
      <c r="AF330" s="2344"/>
      <c r="AG330" s="520"/>
      <c r="AH330" s="520"/>
    </row>
    <row r="331" spans="1:34" ht="14.25" customHeight="1" x14ac:dyDescent="0.35">
      <c r="A331" s="601"/>
      <c r="B331" s="564"/>
      <c r="C331" s="2185"/>
      <c r="D331" s="3167"/>
      <c r="E331" s="3089"/>
      <c r="F331" s="3090"/>
      <c r="G331" s="3090"/>
      <c r="H331" s="3091"/>
      <c r="I331" s="3483"/>
      <c r="J331" s="3427"/>
      <c r="K331" s="3427"/>
      <c r="L331" s="3427"/>
      <c r="M331" s="3427"/>
      <c r="N331" s="3427"/>
      <c r="O331" s="3428"/>
      <c r="P331" s="3475"/>
      <c r="Q331" s="3476"/>
      <c r="R331" s="3476"/>
      <c r="S331" s="3477"/>
      <c r="T331" s="3487"/>
      <c r="U331" s="3487"/>
      <c r="V331" s="3487"/>
      <c r="W331" s="3487"/>
      <c r="X331" s="3491"/>
      <c r="Y331" s="520"/>
      <c r="Z331" s="2293"/>
      <c r="AA331" s="520"/>
      <c r="AB331" s="3611"/>
      <c r="AC331" s="520"/>
      <c r="AD331" s="520"/>
      <c r="AE331" s="520"/>
      <c r="AF331" s="2344"/>
      <c r="AG331" s="520"/>
      <c r="AH331" s="520"/>
    </row>
    <row r="332" spans="1:34" ht="14.25" customHeight="1" x14ac:dyDescent="0.35">
      <c r="A332" s="601"/>
      <c r="B332" s="564"/>
      <c r="C332" s="2185"/>
      <c r="D332" s="3167"/>
      <c r="E332" s="3089"/>
      <c r="F332" s="3090"/>
      <c r="G332" s="3090"/>
      <c r="H332" s="3091"/>
      <c r="I332" s="3483"/>
      <c r="J332" s="3427"/>
      <c r="K332" s="3427"/>
      <c r="L332" s="3427"/>
      <c r="M332" s="3427"/>
      <c r="N332" s="3427"/>
      <c r="O332" s="3428"/>
      <c r="P332" s="3475"/>
      <c r="Q332" s="3476"/>
      <c r="R332" s="3476"/>
      <c r="S332" s="3477"/>
      <c r="T332" s="3487"/>
      <c r="U332" s="3487"/>
      <c r="V332" s="3487"/>
      <c r="W332" s="3487"/>
      <c r="X332" s="3491"/>
      <c r="Y332" s="520"/>
      <c r="Z332" s="2293"/>
      <c r="AA332" s="520"/>
      <c r="AB332" s="3611"/>
      <c r="AC332" s="520"/>
      <c r="AD332" s="520"/>
      <c r="AE332" s="520"/>
      <c r="AF332" s="2344"/>
      <c r="AG332" s="520"/>
      <c r="AH332" s="520"/>
    </row>
    <row r="333" spans="1:34" ht="14.25" customHeight="1" x14ac:dyDescent="0.35">
      <c r="A333" s="601"/>
      <c r="B333" s="564"/>
      <c r="C333" s="2185"/>
      <c r="D333" s="3168"/>
      <c r="E333" s="3092"/>
      <c r="F333" s="3093"/>
      <c r="G333" s="3093"/>
      <c r="H333" s="3094"/>
      <c r="I333" s="3483"/>
      <c r="J333" s="3427"/>
      <c r="K333" s="3427"/>
      <c r="L333" s="3427"/>
      <c r="M333" s="3427"/>
      <c r="N333" s="3427"/>
      <c r="O333" s="3428"/>
      <c r="P333" s="3478"/>
      <c r="Q333" s="3479"/>
      <c r="R333" s="3479"/>
      <c r="S333" s="3480"/>
      <c r="T333" s="3487"/>
      <c r="U333" s="3487"/>
      <c r="V333" s="3487"/>
      <c r="W333" s="3487"/>
      <c r="X333" s="3491"/>
      <c r="Y333" s="520"/>
      <c r="Z333" s="2293"/>
      <c r="AA333" s="520"/>
      <c r="AB333" s="3611"/>
      <c r="AC333" s="520"/>
      <c r="AD333" s="520"/>
      <c r="AE333" s="520"/>
      <c r="AF333" s="2344"/>
      <c r="AG333" s="520"/>
      <c r="AH333" s="520"/>
    </row>
    <row r="334" spans="1:34" s="15" customFormat="1" ht="33" customHeight="1" x14ac:dyDescent="0.35">
      <c r="A334" s="144"/>
      <c r="B334" s="197"/>
      <c r="C334" s="189"/>
      <c r="D334" s="3442" t="s">
        <v>1808</v>
      </c>
      <c r="E334" s="3443"/>
      <c r="F334" s="3443"/>
      <c r="G334" s="3443"/>
      <c r="H334" s="3443"/>
      <c r="I334" s="3443"/>
      <c r="J334" s="3443"/>
      <c r="K334" s="3443"/>
      <c r="L334" s="3443"/>
      <c r="M334" s="3443"/>
      <c r="N334" s="3443"/>
      <c r="O334" s="3444"/>
      <c r="P334" s="3210" t="s">
        <v>184</v>
      </c>
      <c r="Q334" s="3211"/>
      <c r="R334" s="3211"/>
      <c r="S334" s="3223"/>
      <c r="T334" s="1469">
        <f>COUNTIF(AB322:AB333,"1")*T321</f>
        <v>0</v>
      </c>
      <c r="U334" s="1469">
        <f>COUNTIF(AB322:AB333,"2")*U321</f>
        <v>0</v>
      </c>
      <c r="V334" s="1469">
        <f>COUNTIF(AB322:AB333,"3")*V321</f>
        <v>3</v>
      </c>
      <c r="W334" s="1469">
        <f>COUNTIF(AB322:AB333,"4")*W321</f>
        <v>4</v>
      </c>
      <c r="X334" s="1469">
        <f>COUNTIF(AB322:AB333,"5")*X321</f>
        <v>0</v>
      </c>
      <c r="Y334" s="520"/>
      <c r="Z334" s="2293"/>
      <c r="AA334" s="2329"/>
      <c r="AB334" s="2293"/>
      <c r="AC334" s="2329"/>
      <c r="AD334" s="2329"/>
      <c r="AE334" s="2329"/>
      <c r="AF334" s="2347"/>
      <c r="AG334" s="2329"/>
      <c r="AH334" s="2329"/>
    </row>
    <row r="335" spans="1:34" s="15" customFormat="1" ht="46.5" customHeight="1" x14ac:dyDescent="0.35">
      <c r="A335" s="144"/>
      <c r="B335" s="197"/>
      <c r="C335" s="189"/>
      <c r="D335" s="3445"/>
      <c r="E335" s="3446"/>
      <c r="F335" s="3446"/>
      <c r="G335" s="3446"/>
      <c r="H335" s="3446"/>
      <c r="I335" s="3446"/>
      <c r="J335" s="3446"/>
      <c r="K335" s="3446"/>
      <c r="L335" s="3446"/>
      <c r="M335" s="3446"/>
      <c r="N335" s="3446"/>
      <c r="O335" s="3447"/>
      <c r="P335" s="3212"/>
      <c r="Q335" s="3213"/>
      <c r="R335" s="3213"/>
      <c r="S335" s="3224"/>
      <c r="T335" s="3240">
        <f>SUM(T334:X334)</f>
        <v>7</v>
      </c>
      <c r="U335" s="3241"/>
      <c r="V335" s="3241"/>
      <c r="W335" s="3241"/>
      <c r="X335" s="3242"/>
      <c r="Y335" s="520"/>
      <c r="Z335" s="2293"/>
      <c r="AA335" s="2329"/>
      <c r="AB335" s="2329"/>
      <c r="AC335" s="2329"/>
      <c r="AD335" s="2329"/>
      <c r="AE335" s="2329"/>
      <c r="AF335" s="2347"/>
      <c r="AG335" s="2329"/>
      <c r="AH335" s="2329"/>
    </row>
    <row r="336" spans="1:34" s="15" customFormat="1" ht="93" customHeight="1" x14ac:dyDescent="0.35">
      <c r="A336" s="144"/>
      <c r="B336" s="197"/>
      <c r="C336" s="189"/>
      <c r="D336" s="3448"/>
      <c r="E336" s="3449"/>
      <c r="F336" s="3449"/>
      <c r="G336" s="3449"/>
      <c r="H336" s="3449"/>
      <c r="I336" s="3449"/>
      <c r="J336" s="3449"/>
      <c r="K336" s="3449"/>
      <c r="L336" s="3449"/>
      <c r="M336" s="3449"/>
      <c r="N336" s="3449"/>
      <c r="O336" s="3450"/>
      <c r="P336" s="3615" t="s">
        <v>182</v>
      </c>
      <c r="Q336" s="3616"/>
      <c r="R336" s="3616"/>
      <c r="S336" s="3617"/>
      <c r="T336" s="3488">
        <f>SUM(T335)/AF336</f>
        <v>3.5</v>
      </c>
      <c r="U336" s="3715"/>
      <c r="V336" s="3612" t="str">
        <f>IF(ROUND(T336,0)=1,"Sangat Tidak Memenuhi Syarat",IF(ROUND(T336,0)=2,"Kurang Memenuhi Syarat",IF(ROUND(T336,0)=3,"Cukup Memenuhi Syarat",IF(ROUND(T336,0)=4,"Memenuhi Syarat",IF(ROUND(T336,0)=5,"Sangat Memenuhi Syarat")))))</f>
        <v>Memenuhi Syarat</v>
      </c>
      <c r="W336" s="3613"/>
      <c r="X336" s="3614"/>
      <c r="Y336" s="520"/>
      <c r="Z336" s="2293"/>
      <c r="AA336" s="2329"/>
      <c r="AB336" s="2329"/>
      <c r="AC336" s="2329"/>
      <c r="AD336" s="2329"/>
      <c r="AE336" s="2329"/>
      <c r="AF336" s="2345">
        <f>COUNTIF(AB322:AB333,"&gt;0")</f>
        <v>2</v>
      </c>
      <c r="AG336" s="2329"/>
      <c r="AH336" s="2329"/>
    </row>
    <row r="337" spans="1:34" s="15" customFormat="1" ht="15" customHeight="1" x14ac:dyDescent="0.35">
      <c r="A337" s="144"/>
      <c r="B337" s="197"/>
      <c r="C337" s="189"/>
      <c r="D337" s="189"/>
      <c r="E337" s="189"/>
      <c r="F337" s="1519"/>
      <c r="G337" s="1519"/>
      <c r="H337" s="1519"/>
      <c r="I337" s="502"/>
      <c r="J337" s="502"/>
      <c r="K337" s="502"/>
      <c r="L337" s="502"/>
      <c r="M337" s="502"/>
      <c r="N337" s="502"/>
      <c r="O337" s="502"/>
      <c r="P337" s="144"/>
      <c r="Q337" s="144"/>
      <c r="R337" s="144"/>
      <c r="S337" s="144"/>
      <c r="T337" s="505"/>
      <c r="U337" s="1268"/>
      <c r="V337" s="1268"/>
      <c r="W337" s="1268"/>
      <c r="X337" s="1268"/>
      <c r="Y337" s="2329"/>
      <c r="Z337" s="2293"/>
      <c r="AA337" s="2329"/>
      <c r="AB337" s="2293"/>
      <c r="AC337" s="2329"/>
      <c r="AD337" s="2329"/>
      <c r="AE337" s="2329"/>
      <c r="AF337" s="2347"/>
      <c r="AG337" s="2329"/>
      <c r="AH337" s="2329"/>
    </row>
    <row r="338" spans="1:34" s="15" customFormat="1" ht="15" customHeight="1" x14ac:dyDescent="0.25">
      <c r="A338" s="506"/>
      <c r="B338" s="507"/>
      <c r="C338" s="2367" t="s">
        <v>139</v>
      </c>
      <c r="D338" s="3481" t="s">
        <v>137</v>
      </c>
      <c r="E338" s="3481"/>
      <c r="F338" s="3481"/>
      <c r="G338" s="3481"/>
      <c r="H338" s="3481"/>
      <c r="I338" s="3481"/>
      <c r="J338" s="3481"/>
      <c r="K338" s="3481"/>
      <c r="L338" s="3481"/>
      <c r="M338" s="3481"/>
      <c r="N338" s="3481"/>
      <c r="O338" s="3481"/>
      <c r="P338" s="3481"/>
      <c r="Q338" s="3481"/>
      <c r="R338" s="3482"/>
      <c r="S338" s="2368"/>
      <c r="T338" s="3049" t="s">
        <v>181</v>
      </c>
      <c r="U338" s="3049"/>
      <c r="V338" s="3049"/>
      <c r="W338" s="3049"/>
      <c r="X338" s="3049"/>
      <c r="Y338" s="2329"/>
      <c r="Z338" s="2293"/>
      <c r="AA338" s="2329"/>
      <c r="AB338" s="2293"/>
      <c r="AC338" s="2329"/>
      <c r="AD338" s="2329"/>
      <c r="AE338" s="2329"/>
      <c r="AF338" s="2347"/>
      <c r="AG338" s="2329"/>
      <c r="AH338" s="2329"/>
    </row>
    <row r="339" spans="1:34" s="15" customFormat="1" ht="15" customHeight="1" x14ac:dyDescent="0.25">
      <c r="A339" s="506"/>
      <c r="B339" s="507"/>
      <c r="C339" s="2367"/>
      <c r="D339" s="1453" t="s">
        <v>103</v>
      </c>
      <c r="E339" s="3204" t="s">
        <v>104</v>
      </c>
      <c r="F339" s="3205"/>
      <c r="G339" s="3205"/>
      <c r="H339" s="3206"/>
      <c r="I339" s="2992" t="s">
        <v>106</v>
      </c>
      <c r="J339" s="2992"/>
      <c r="K339" s="2992"/>
      <c r="L339" s="2992"/>
      <c r="M339" s="2992"/>
      <c r="N339" s="2992"/>
      <c r="O339" s="2992"/>
      <c r="P339" s="3082" t="s">
        <v>40</v>
      </c>
      <c r="Q339" s="3083"/>
      <c r="R339" s="3083"/>
      <c r="S339" s="3084"/>
      <c r="T339" s="1473">
        <v>1</v>
      </c>
      <c r="U339" s="1473">
        <v>2</v>
      </c>
      <c r="V339" s="1473">
        <v>3</v>
      </c>
      <c r="W339" s="1473">
        <v>4</v>
      </c>
      <c r="X339" s="1473">
        <v>5</v>
      </c>
      <c r="Y339" s="2329"/>
      <c r="Z339" s="2293"/>
      <c r="AA339" s="2329"/>
      <c r="AB339" s="2293"/>
      <c r="AC339" s="2329"/>
      <c r="AD339" s="2329"/>
      <c r="AE339" s="2329"/>
      <c r="AF339" s="2347"/>
      <c r="AG339" s="2329"/>
      <c r="AH339" s="2329"/>
    </row>
    <row r="340" spans="1:34" s="15" customFormat="1" ht="14.25" customHeight="1" x14ac:dyDescent="0.25">
      <c r="A340" s="506"/>
      <c r="B340" s="2369"/>
      <c r="C340" s="2367"/>
      <c r="D340" s="3166">
        <v>1</v>
      </c>
      <c r="E340" s="3086" t="s">
        <v>133</v>
      </c>
      <c r="F340" s="3087"/>
      <c r="G340" s="3087"/>
      <c r="H340" s="3088"/>
      <c r="I340" s="3458" t="s">
        <v>796</v>
      </c>
      <c r="J340" s="3459"/>
      <c r="K340" s="3459"/>
      <c r="L340" s="3459"/>
      <c r="M340" s="3459"/>
      <c r="N340" s="3459"/>
      <c r="O340" s="3460"/>
      <c r="P340" s="3433" t="s">
        <v>1811</v>
      </c>
      <c r="Q340" s="3434"/>
      <c r="R340" s="3434"/>
      <c r="S340" s="3435"/>
      <c r="T340" s="3153"/>
      <c r="U340" s="3153"/>
      <c r="V340" s="3153"/>
      <c r="W340" s="3153"/>
      <c r="X340" s="3153"/>
      <c r="Y340" s="2329"/>
      <c r="Z340" s="2293"/>
      <c r="AA340" s="2329"/>
      <c r="AB340" s="3611">
        <v>3</v>
      </c>
      <c r="AC340" s="2329"/>
      <c r="AD340" s="2329"/>
      <c r="AE340" s="2329"/>
      <c r="AF340" s="2347"/>
      <c r="AG340" s="2329"/>
      <c r="AH340" s="2329"/>
    </row>
    <row r="341" spans="1:34" s="15" customFormat="1" ht="14.25" customHeight="1" x14ac:dyDescent="0.25">
      <c r="A341" s="506"/>
      <c r="B341" s="2369"/>
      <c r="C341" s="2367"/>
      <c r="D341" s="3167"/>
      <c r="E341" s="3089"/>
      <c r="F341" s="3090"/>
      <c r="G341" s="3090"/>
      <c r="H341" s="3091"/>
      <c r="I341" s="3461"/>
      <c r="J341" s="3462"/>
      <c r="K341" s="3462"/>
      <c r="L341" s="3462"/>
      <c r="M341" s="3462"/>
      <c r="N341" s="3462"/>
      <c r="O341" s="3463"/>
      <c r="P341" s="3436"/>
      <c r="Q341" s="3437"/>
      <c r="R341" s="3437"/>
      <c r="S341" s="3438"/>
      <c r="T341" s="3153"/>
      <c r="U341" s="3153"/>
      <c r="V341" s="3153"/>
      <c r="W341" s="3153"/>
      <c r="X341" s="3153"/>
      <c r="Y341" s="2329"/>
      <c r="Z341" s="2293"/>
      <c r="AA341" s="2329"/>
      <c r="AB341" s="3611"/>
      <c r="AC341" s="2329"/>
      <c r="AD341" s="2329"/>
      <c r="AE341" s="2329"/>
      <c r="AF341" s="2347"/>
      <c r="AG341" s="2329"/>
      <c r="AH341" s="2329"/>
    </row>
    <row r="342" spans="1:34" s="15" customFormat="1" ht="14.25" customHeight="1" x14ac:dyDescent="0.25">
      <c r="A342" s="506"/>
      <c r="B342" s="2369"/>
      <c r="C342" s="2367"/>
      <c r="D342" s="3167"/>
      <c r="E342" s="3089"/>
      <c r="F342" s="3090"/>
      <c r="G342" s="3090"/>
      <c r="H342" s="3091"/>
      <c r="I342" s="3461"/>
      <c r="J342" s="3462"/>
      <c r="K342" s="3462"/>
      <c r="L342" s="3462"/>
      <c r="M342" s="3462"/>
      <c r="N342" s="3462"/>
      <c r="O342" s="3463"/>
      <c r="P342" s="3436"/>
      <c r="Q342" s="3437"/>
      <c r="R342" s="3437"/>
      <c r="S342" s="3438"/>
      <c r="T342" s="3153"/>
      <c r="U342" s="3153"/>
      <c r="V342" s="3153"/>
      <c r="W342" s="3153"/>
      <c r="X342" s="3153"/>
      <c r="Y342" s="2329"/>
      <c r="Z342" s="2293"/>
      <c r="AA342" s="2329"/>
      <c r="AB342" s="3611"/>
      <c r="AC342" s="2329"/>
      <c r="AD342" s="2329"/>
      <c r="AE342" s="2329"/>
      <c r="AF342" s="2347"/>
      <c r="AG342" s="2329"/>
      <c r="AH342" s="2329"/>
    </row>
    <row r="343" spans="1:34" s="15" customFormat="1" ht="14.25" customHeight="1" x14ac:dyDescent="0.25">
      <c r="A343" s="506"/>
      <c r="B343" s="2369"/>
      <c r="C343" s="2367"/>
      <c r="D343" s="3167"/>
      <c r="E343" s="3089"/>
      <c r="F343" s="3090"/>
      <c r="G343" s="3090"/>
      <c r="H343" s="3091"/>
      <c r="I343" s="3461"/>
      <c r="J343" s="3462"/>
      <c r="K343" s="3462"/>
      <c r="L343" s="3462"/>
      <c r="M343" s="3462"/>
      <c r="N343" s="3462"/>
      <c r="O343" s="3463"/>
      <c r="P343" s="3436"/>
      <c r="Q343" s="3437"/>
      <c r="R343" s="3437"/>
      <c r="S343" s="3438"/>
      <c r="T343" s="3153"/>
      <c r="U343" s="3153"/>
      <c r="V343" s="3153"/>
      <c r="W343" s="3153"/>
      <c r="X343" s="3153"/>
      <c r="Y343" s="2329"/>
      <c r="Z343" s="2293"/>
      <c r="AA343" s="2329"/>
      <c r="AB343" s="3611"/>
      <c r="AC343" s="2329"/>
      <c r="AD343" s="2329"/>
      <c r="AE343" s="2329"/>
      <c r="AF343" s="2347"/>
      <c r="AG343" s="2329"/>
      <c r="AH343" s="2329"/>
    </row>
    <row r="344" spans="1:34" s="15" customFormat="1" ht="14.25" customHeight="1" x14ac:dyDescent="0.25">
      <c r="A344" s="506"/>
      <c r="B344" s="2369"/>
      <c r="C344" s="2367"/>
      <c r="D344" s="3167"/>
      <c r="E344" s="3089"/>
      <c r="F344" s="3090"/>
      <c r="G344" s="3090"/>
      <c r="H344" s="3091"/>
      <c r="I344" s="3461"/>
      <c r="J344" s="3462"/>
      <c r="K344" s="3462"/>
      <c r="L344" s="3462"/>
      <c r="M344" s="3462"/>
      <c r="N344" s="3462"/>
      <c r="O344" s="3463"/>
      <c r="P344" s="3436"/>
      <c r="Q344" s="3437"/>
      <c r="R344" s="3437"/>
      <c r="S344" s="3438"/>
      <c r="T344" s="3153"/>
      <c r="U344" s="3153"/>
      <c r="V344" s="3153"/>
      <c r="W344" s="3153"/>
      <c r="X344" s="3153"/>
      <c r="Y344" s="2329"/>
      <c r="Z344" s="2293"/>
      <c r="AA344" s="2329"/>
      <c r="AB344" s="3611"/>
      <c r="AC344" s="2329"/>
      <c r="AD344" s="2329"/>
      <c r="AE344" s="2329"/>
      <c r="AF344" s="2347"/>
      <c r="AG344" s="2329"/>
      <c r="AH344" s="2329"/>
    </row>
    <row r="345" spans="1:34" s="15" customFormat="1" ht="14.25" customHeight="1" x14ac:dyDescent="0.25">
      <c r="A345" s="506"/>
      <c r="B345" s="2369"/>
      <c r="C345" s="2367"/>
      <c r="D345" s="3168"/>
      <c r="E345" s="3092"/>
      <c r="F345" s="3093"/>
      <c r="G345" s="3093"/>
      <c r="H345" s="3094"/>
      <c r="I345" s="3464"/>
      <c r="J345" s="3465"/>
      <c r="K345" s="3465"/>
      <c r="L345" s="3465"/>
      <c r="M345" s="3465"/>
      <c r="N345" s="3465"/>
      <c r="O345" s="3466"/>
      <c r="P345" s="3439"/>
      <c r="Q345" s="3440"/>
      <c r="R345" s="3440"/>
      <c r="S345" s="3441"/>
      <c r="T345" s="3153"/>
      <c r="U345" s="3153"/>
      <c r="V345" s="3153"/>
      <c r="W345" s="3153"/>
      <c r="X345" s="3153"/>
      <c r="Y345" s="2329"/>
      <c r="Z345" s="2293"/>
      <c r="AA345" s="2329"/>
      <c r="AB345" s="3611"/>
      <c r="AC345" s="2329"/>
      <c r="AD345" s="2329"/>
      <c r="AE345" s="2329"/>
      <c r="AF345" s="2347"/>
      <c r="AG345" s="2329"/>
      <c r="AH345" s="2329"/>
    </row>
    <row r="346" spans="1:34" s="15" customFormat="1" ht="14.25" customHeight="1" x14ac:dyDescent="0.25">
      <c r="A346" s="506"/>
      <c r="B346" s="2369"/>
      <c r="C346" s="2367"/>
      <c r="D346" s="3166">
        <v>4</v>
      </c>
      <c r="E346" s="3086" t="s">
        <v>134</v>
      </c>
      <c r="F346" s="3087"/>
      <c r="G346" s="3087"/>
      <c r="H346" s="3088"/>
      <c r="I346" s="3458" t="s">
        <v>375</v>
      </c>
      <c r="J346" s="3459"/>
      <c r="K346" s="3459"/>
      <c r="L346" s="3459"/>
      <c r="M346" s="3459"/>
      <c r="N346" s="3459"/>
      <c r="O346" s="3460"/>
      <c r="P346" s="3433" t="s">
        <v>135</v>
      </c>
      <c r="Q346" s="3434"/>
      <c r="R346" s="3434"/>
      <c r="S346" s="3435"/>
      <c r="T346" s="3486"/>
      <c r="U346" s="3486"/>
      <c r="V346" s="3486"/>
      <c r="W346" s="3486"/>
      <c r="X346" s="3490"/>
      <c r="Y346" s="2329"/>
      <c r="Z346" s="2293"/>
      <c r="AA346" s="2329"/>
      <c r="AB346" s="3611">
        <v>4</v>
      </c>
      <c r="AC346" s="2329"/>
      <c r="AD346" s="2329"/>
      <c r="AE346" s="2329"/>
      <c r="AF346" s="2347"/>
      <c r="AG346" s="2329"/>
      <c r="AH346" s="2329"/>
    </row>
    <row r="347" spans="1:34" s="15" customFormat="1" ht="14.25" customHeight="1" x14ac:dyDescent="0.25">
      <c r="A347" s="506"/>
      <c r="B347" s="2369"/>
      <c r="C347" s="2367"/>
      <c r="D347" s="3167"/>
      <c r="E347" s="3089"/>
      <c r="F347" s="3090"/>
      <c r="G347" s="3090"/>
      <c r="H347" s="3091"/>
      <c r="I347" s="3461"/>
      <c r="J347" s="3462"/>
      <c r="K347" s="3462"/>
      <c r="L347" s="3462"/>
      <c r="M347" s="3462"/>
      <c r="N347" s="3462"/>
      <c r="O347" s="3463"/>
      <c r="P347" s="3436"/>
      <c r="Q347" s="3437"/>
      <c r="R347" s="3437"/>
      <c r="S347" s="3438"/>
      <c r="T347" s="3487"/>
      <c r="U347" s="3487"/>
      <c r="V347" s="3487"/>
      <c r="W347" s="3487"/>
      <c r="X347" s="3491"/>
      <c r="Y347" s="2329"/>
      <c r="Z347" s="2293"/>
      <c r="AA347" s="2329"/>
      <c r="AB347" s="3611"/>
      <c r="AC347" s="2329"/>
      <c r="AD347" s="2329"/>
      <c r="AE347" s="2329"/>
      <c r="AF347" s="2347"/>
      <c r="AG347" s="2329"/>
      <c r="AH347" s="2329"/>
    </row>
    <row r="348" spans="1:34" s="15" customFormat="1" ht="14.25" customHeight="1" x14ac:dyDescent="0.25">
      <c r="A348" s="506"/>
      <c r="B348" s="2369"/>
      <c r="C348" s="2367"/>
      <c r="D348" s="3167"/>
      <c r="E348" s="3089"/>
      <c r="F348" s="3090"/>
      <c r="G348" s="3090"/>
      <c r="H348" s="3091"/>
      <c r="I348" s="3461"/>
      <c r="J348" s="3462"/>
      <c r="K348" s="3462"/>
      <c r="L348" s="3462"/>
      <c r="M348" s="3462"/>
      <c r="N348" s="3462"/>
      <c r="O348" s="3463"/>
      <c r="P348" s="3436"/>
      <c r="Q348" s="3437"/>
      <c r="R348" s="3437"/>
      <c r="S348" s="3438"/>
      <c r="T348" s="3487"/>
      <c r="U348" s="3487"/>
      <c r="V348" s="3487"/>
      <c r="W348" s="3487"/>
      <c r="X348" s="3491"/>
      <c r="Y348" s="2329"/>
      <c r="Z348" s="2293"/>
      <c r="AA348" s="2329"/>
      <c r="AB348" s="3611"/>
      <c r="AC348" s="2329"/>
      <c r="AD348" s="2329"/>
      <c r="AE348" s="2329"/>
      <c r="AF348" s="2347"/>
      <c r="AG348" s="2329"/>
      <c r="AH348" s="2329"/>
    </row>
    <row r="349" spans="1:34" s="15" customFormat="1" ht="14.25" customHeight="1" x14ac:dyDescent="0.25">
      <c r="A349" s="506"/>
      <c r="B349" s="2369"/>
      <c r="C349" s="2367"/>
      <c r="D349" s="3167"/>
      <c r="E349" s="3089"/>
      <c r="F349" s="3090"/>
      <c r="G349" s="3090"/>
      <c r="H349" s="3091"/>
      <c r="I349" s="3461"/>
      <c r="J349" s="3462"/>
      <c r="K349" s="3462"/>
      <c r="L349" s="3462"/>
      <c r="M349" s="3462"/>
      <c r="N349" s="3462"/>
      <c r="O349" s="3463"/>
      <c r="P349" s="3436"/>
      <c r="Q349" s="3437"/>
      <c r="R349" s="3437"/>
      <c r="S349" s="3438"/>
      <c r="T349" s="3487"/>
      <c r="U349" s="3487"/>
      <c r="V349" s="3487"/>
      <c r="W349" s="3487"/>
      <c r="X349" s="3491"/>
      <c r="Y349" s="2329"/>
      <c r="Z349" s="2293"/>
      <c r="AA349" s="2329"/>
      <c r="AB349" s="3611"/>
      <c r="AC349" s="2329"/>
      <c r="AD349" s="2329"/>
      <c r="AE349" s="2329"/>
      <c r="AF349" s="2347"/>
      <c r="AG349" s="2329"/>
      <c r="AH349" s="2329"/>
    </row>
    <row r="350" spans="1:34" s="15" customFormat="1" ht="14.25" customHeight="1" x14ac:dyDescent="0.25">
      <c r="A350" s="506"/>
      <c r="B350" s="2369"/>
      <c r="C350" s="2367"/>
      <c r="D350" s="3167"/>
      <c r="E350" s="3089"/>
      <c r="F350" s="3090"/>
      <c r="G350" s="3090"/>
      <c r="H350" s="3091"/>
      <c r="I350" s="3461"/>
      <c r="J350" s="3462"/>
      <c r="K350" s="3462"/>
      <c r="L350" s="3462"/>
      <c r="M350" s="3462"/>
      <c r="N350" s="3462"/>
      <c r="O350" s="3463"/>
      <c r="P350" s="3436"/>
      <c r="Q350" s="3437"/>
      <c r="R350" s="3437"/>
      <c r="S350" s="3438"/>
      <c r="T350" s="3487"/>
      <c r="U350" s="3487"/>
      <c r="V350" s="3487"/>
      <c r="W350" s="3487"/>
      <c r="X350" s="3491"/>
      <c r="Y350" s="2329"/>
      <c r="Z350" s="2293"/>
      <c r="AA350" s="2329"/>
      <c r="AB350" s="3611"/>
      <c r="AC350" s="2329"/>
      <c r="AD350" s="2329"/>
      <c r="AE350" s="2329"/>
      <c r="AF350" s="2347"/>
      <c r="AG350" s="2329"/>
      <c r="AH350" s="2329"/>
    </row>
    <row r="351" spans="1:34" s="15" customFormat="1" ht="14.25" customHeight="1" x14ac:dyDescent="0.25">
      <c r="A351" s="506"/>
      <c r="B351" s="2369"/>
      <c r="C351" s="2367"/>
      <c r="D351" s="3168"/>
      <c r="E351" s="3092"/>
      <c r="F351" s="3093"/>
      <c r="G351" s="3093"/>
      <c r="H351" s="3094"/>
      <c r="I351" s="3464"/>
      <c r="J351" s="3465"/>
      <c r="K351" s="3465"/>
      <c r="L351" s="3465"/>
      <c r="M351" s="3465"/>
      <c r="N351" s="3465"/>
      <c r="O351" s="3466"/>
      <c r="P351" s="3439"/>
      <c r="Q351" s="3440"/>
      <c r="R351" s="3440"/>
      <c r="S351" s="3441"/>
      <c r="T351" s="3487"/>
      <c r="U351" s="3487"/>
      <c r="V351" s="3487"/>
      <c r="W351" s="3487"/>
      <c r="X351" s="3491"/>
      <c r="Y351" s="2329"/>
      <c r="Z351" s="2293"/>
      <c r="AA351" s="2329"/>
      <c r="AB351" s="3611"/>
      <c r="AC351" s="2329"/>
      <c r="AD351" s="2329"/>
      <c r="AE351" s="2329"/>
      <c r="AF351" s="2347"/>
      <c r="AG351" s="2329"/>
      <c r="AH351" s="2329"/>
    </row>
    <row r="352" spans="1:34" s="15" customFormat="1" ht="14.25" customHeight="1" x14ac:dyDescent="0.25">
      <c r="A352" s="506"/>
      <c r="B352" s="2369"/>
      <c r="C352" s="2367"/>
      <c r="D352" s="3166">
        <v>5</v>
      </c>
      <c r="E352" s="3086" t="s">
        <v>1596</v>
      </c>
      <c r="F352" s="3087"/>
      <c r="G352" s="3087"/>
      <c r="H352" s="3088"/>
      <c r="I352" s="3086" t="s">
        <v>798</v>
      </c>
      <c r="J352" s="3087"/>
      <c r="K352" s="3087"/>
      <c r="L352" s="3087"/>
      <c r="M352" s="3087"/>
      <c r="N352" s="3087"/>
      <c r="O352" s="3088"/>
      <c r="P352" s="3433" t="s">
        <v>1809</v>
      </c>
      <c r="Q352" s="3434"/>
      <c r="R352" s="3434"/>
      <c r="S352" s="3435"/>
      <c r="T352" s="3486"/>
      <c r="U352" s="3486"/>
      <c r="V352" s="3486"/>
      <c r="W352" s="3486"/>
      <c r="X352" s="3490"/>
      <c r="Y352" s="2329"/>
      <c r="Z352" s="2293"/>
      <c r="AA352" s="2329"/>
      <c r="AB352" s="3611">
        <v>3</v>
      </c>
      <c r="AC352" s="2329"/>
      <c r="AD352" s="2329"/>
      <c r="AE352" s="2329"/>
      <c r="AF352" s="2347"/>
      <c r="AG352" s="2329"/>
      <c r="AH352" s="2329"/>
    </row>
    <row r="353" spans="1:34" s="15" customFormat="1" ht="14.25" customHeight="1" x14ac:dyDescent="0.25">
      <c r="A353" s="506"/>
      <c r="B353" s="2369"/>
      <c r="C353" s="2367"/>
      <c r="D353" s="3167"/>
      <c r="E353" s="3089"/>
      <c r="F353" s="3090"/>
      <c r="G353" s="3090"/>
      <c r="H353" s="3091"/>
      <c r="I353" s="3089"/>
      <c r="J353" s="3090"/>
      <c r="K353" s="3090"/>
      <c r="L353" s="3090"/>
      <c r="M353" s="3090"/>
      <c r="N353" s="3090"/>
      <c r="O353" s="3091"/>
      <c r="P353" s="3436"/>
      <c r="Q353" s="3437"/>
      <c r="R353" s="3437"/>
      <c r="S353" s="3438"/>
      <c r="T353" s="3487"/>
      <c r="U353" s="3487"/>
      <c r="V353" s="3487"/>
      <c r="W353" s="3487"/>
      <c r="X353" s="3491"/>
      <c r="Y353" s="2329"/>
      <c r="Z353" s="2293"/>
      <c r="AA353" s="2329"/>
      <c r="AB353" s="3611"/>
      <c r="AC353" s="2329"/>
      <c r="AD353" s="2329"/>
      <c r="AE353" s="2329"/>
      <c r="AF353" s="2347"/>
      <c r="AG353" s="2329"/>
      <c r="AH353" s="2329"/>
    </row>
    <row r="354" spans="1:34" s="15" customFormat="1" ht="14.25" customHeight="1" x14ac:dyDescent="0.25">
      <c r="A354" s="506"/>
      <c r="B354" s="2369"/>
      <c r="C354" s="2367"/>
      <c r="D354" s="3167"/>
      <c r="E354" s="3089"/>
      <c r="F354" s="3090"/>
      <c r="G354" s="3090"/>
      <c r="H354" s="3091"/>
      <c r="I354" s="3089"/>
      <c r="J354" s="3090"/>
      <c r="K354" s="3090"/>
      <c r="L354" s="3090"/>
      <c r="M354" s="3090"/>
      <c r="N354" s="3090"/>
      <c r="O354" s="3091"/>
      <c r="P354" s="3436"/>
      <c r="Q354" s="3437"/>
      <c r="R354" s="3437"/>
      <c r="S354" s="3438"/>
      <c r="T354" s="3487"/>
      <c r="U354" s="3487"/>
      <c r="V354" s="3487"/>
      <c r="W354" s="3487"/>
      <c r="X354" s="3491"/>
      <c r="Y354" s="2329"/>
      <c r="Z354" s="2293"/>
      <c r="AA354" s="2329"/>
      <c r="AB354" s="3611"/>
      <c r="AC354" s="2329"/>
      <c r="AD354" s="2329"/>
      <c r="AE354" s="2329"/>
      <c r="AF354" s="2347"/>
      <c r="AG354" s="2329"/>
      <c r="AH354" s="2329"/>
    </row>
    <row r="355" spans="1:34" s="15" customFormat="1" ht="14.25" customHeight="1" x14ac:dyDescent="0.25">
      <c r="A355" s="506"/>
      <c r="B355" s="2369"/>
      <c r="C355" s="2367"/>
      <c r="D355" s="3167"/>
      <c r="E355" s="3089"/>
      <c r="F355" s="3090"/>
      <c r="G355" s="3090"/>
      <c r="H355" s="3091"/>
      <c r="I355" s="3089"/>
      <c r="J355" s="3090"/>
      <c r="K355" s="3090"/>
      <c r="L355" s="3090"/>
      <c r="M355" s="3090"/>
      <c r="N355" s="3090"/>
      <c r="O355" s="3091"/>
      <c r="P355" s="3436"/>
      <c r="Q355" s="3437"/>
      <c r="R355" s="3437"/>
      <c r="S355" s="3438"/>
      <c r="T355" s="3487"/>
      <c r="U355" s="3487"/>
      <c r="V355" s="3487"/>
      <c r="W355" s="3487"/>
      <c r="X355" s="3491"/>
      <c r="Y355" s="2329"/>
      <c r="Z355" s="2293"/>
      <c r="AA355" s="2329"/>
      <c r="AB355" s="3611"/>
      <c r="AC355" s="2329"/>
      <c r="AD355" s="2329"/>
      <c r="AE355" s="2329"/>
      <c r="AF355" s="2347"/>
      <c r="AG355" s="2329"/>
      <c r="AH355" s="2329"/>
    </row>
    <row r="356" spans="1:34" s="15" customFormat="1" ht="14.25" customHeight="1" x14ac:dyDescent="0.25">
      <c r="A356" s="506"/>
      <c r="B356" s="2369"/>
      <c r="C356" s="2367"/>
      <c r="D356" s="3167"/>
      <c r="E356" s="3089"/>
      <c r="F356" s="3090"/>
      <c r="G356" s="3090"/>
      <c r="H356" s="3091"/>
      <c r="I356" s="3089"/>
      <c r="J356" s="3090"/>
      <c r="K356" s="3090"/>
      <c r="L356" s="3090"/>
      <c r="M356" s="3090"/>
      <c r="N356" s="3090"/>
      <c r="O356" s="3091"/>
      <c r="P356" s="3436"/>
      <c r="Q356" s="3437"/>
      <c r="R356" s="3437"/>
      <c r="S356" s="3438"/>
      <c r="T356" s="3487"/>
      <c r="U356" s="3487"/>
      <c r="V356" s="3487"/>
      <c r="W356" s="3487"/>
      <c r="X356" s="3491"/>
      <c r="Y356" s="2329"/>
      <c r="Z356" s="2293"/>
      <c r="AA356" s="2329"/>
      <c r="AB356" s="3611"/>
      <c r="AC356" s="2329"/>
      <c r="AD356" s="2329"/>
      <c r="AE356" s="2329"/>
      <c r="AF356" s="2347"/>
      <c r="AG356" s="2329"/>
      <c r="AH356" s="2329"/>
    </row>
    <row r="357" spans="1:34" s="15" customFormat="1" ht="14.25" customHeight="1" x14ac:dyDescent="0.25">
      <c r="A357" s="506"/>
      <c r="B357" s="2369"/>
      <c r="C357" s="2367"/>
      <c r="D357" s="3167"/>
      <c r="E357" s="3092"/>
      <c r="F357" s="3093"/>
      <c r="G357" s="3093"/>
      <c r="H357" s="3094"/>
      <c r="I357" s="3092"/>
      <c r="J357" s="3093"/>
      <c r="K357" s="3093"/>
      <c r="L357" s="3093"/>
      <c r="M357" s="3093"/>
      <c r="N357" s="3093"/>
      <c r="O357" s="3094"/>
      <c r="P357" s="3439"/>
      <c r="Q357" s="3440"/>
      <c r="R357" s="3440"/>
      <c r="S357" s="3441"/>
      <c r="T357" s="3487"/>
      <c r="U357" s="3487"/>
      <c r="V357" s="3487"/>
      <c r="W357" s="3487"/>
      <c r="X357" s="3491"/>
      <c r="Y357" s="2329"/>
      <c r="Z357" s="2293"/>
      <c r="AA357" s="2329"/>
      <c r="AB357" s="3611"/>
      <c r="AC357" s="2329"/>
      <c r="AD357" s="2329"/>
      <c r="AE357" s="2329"/>
      <c r="AF357" s="2347"/>
      <c r="AG357" s="2329"/>
      <c r="AH357" s="2329"/>
    </row>
    <row r="358" spans="1:34" s="15" customFormat="1" ht="14.25" customHeight="1" x14ac:dyDescent="0.25">
      <c r="A358" s="506"/>
      <c r="B358" s="2369"/>
      <c r="C358" s="2367"/>
      <c r="D358" s="3166">
        <v>6</v>
      </c>
      <c r="E358" s="3086" t="s">
        <v>797</v>
      </c>
      <c r="F358" s="3087"/>
      <c r="G358" s="3087"/>
      <c r="H358" s="3088"/>
      <c r="I358" s="3086" t="s">
        <v>798</v>
      </c>
      <c r="J358" s="3087"/>
      <c r="K358" s="3087"/>
      <c r="L358" s="3087"/>
      <c r="M358" s="3087"/>
      <c r="N358" s="3087"/>
      <c r="O358" s="3088"/>
      <c r="P358" s="3433" t="s">
        <v>1810</v>
      </c>
      <c r="Q358" s="3434"/>
      <c r="R358" s="3434"/>
      <c r="S358" s="3435"/>
      <c r="T358" s="3486"/>
      <c r="U358" s="3486"/>
      <c r="V358" s="3486"/>
      <c r="W358" s="3486"/>
      <c r="X358" s="3490"/>
      <c r="Y358" s="2329"/>
      <c r="Z358" s="2293"/>
      <c r="AA358" s="2329"/>
      <c r="AB358" s="3611">
        <v>4</v>
      </c>
      <c r="AC358" s="2329"/>
      <c r="AD358" s="2329"/>
      <c r="AE358" s="2329"/>
      <c r="AF358" s="2347"/>
      <c r="AG358" s="2329"/>
      <c r="AH358" s="2329"/>
    </row>
    <row r="359" spans="1:34" s="15" customFormat="1" ht="14.25" customHeight="1" x14ac:dyDescent="0.25">
      <c r="A359" s="506"/>
      <c r="B359" s="2369"/>
      <c r="C359" s="2367"/>
      <c r="D359" s="3167"/>
      <c r="E359" s="3089"/>
      <c r="F359" s="3090"/>
      <c r="G359" s="3090"/>
      <c r="H359" s="3091"/>
      <c r="I359" s="3089"/>
      <c r="J359" s="3090"/>
      <c r="K359" s="3090"/>
      <c r="L359" s="3090"/>
      <c r="M359" s="3090"/>
      <c r="N359" s="3090"/>
      <c r="O359" s="3091"/>
      <c r="P359" s="3436"/>
      <c r="Q359" s="3437"/>
      <c r="R359" s="3437"/>
      <c r="S359" s="3438"/>
      <c r="T359" s="3487"/>
      <c r="U359" s="3487"/>
      <c r="V359" s="3487"/>
      <c r="W359" s="3487"/>
      <c r="X359" s="3491"/>
      <c r="Y359" s="2329"/>
      <c r="Z359" s="2293"/>
      <c r="AA359" s="2329"/>
      <c r="AB359" s="3611"/>
      <c r="AC359" s="2329"/>
      <c r="AD359" s="2329"/>
      <c r="AE359" s="2329"/>
      <c r="AF359" s="2347"/>
      <c r="AG359" s="2329"/>
      <c r="AH359" s="2329"/>
    </row>
    <row r="360" spans="1:34" s="15" customFormat="1" ht="14.25" customHeight="1" x14ac:dyDescent="0.25">
      <c r="A360" s="506"/>
      <c r="B360" s="2369"/>
      <c r="C360" s="2367"/>
      <c r="D360" s="3167"/>
      <c r="E360" s="3089"/>
      <c r="F360" s="3090"/>
      <c r="G360" s="3090"/>
      <c r="H360" s="3091"/>
      <c r="I360" s="3089"/>
      <c r="J360" s="3090"/>
      <c r="K360" s="3090"/>
      <c r="L360" s="3090"/>
      <c r="M360" s="3090"/>
      <c r="N360" s="3090"/>
      <c r="O360" s="3091"/>
      <c r="P360" s="3436"/>
      <c r="Q360" s="3437"/>
      <c r="R360" s="3437"/>
      <c r="S360" s="3438"/>
      <c r="T360" s="3487"/>
      <c r="U360" s="3487"/>
      <c r="V360" s="3487"/>
      <c r="W360" s="3487"/>
      <c r="X360" s="3491"/>
      <c r="Y360" s="2329"/>
      <c r="Z360" s="2293"/>
      <c r="AA360" s="2329"/>
      <c r="AB360" s="3611"/>
      <c r="AC360" s="2329"/>
      <c r="AD360" s="2329"/>
      <c r="AE360" s="2329"/>
      <c r="AF360" s="2347"/>
      <c r="AG360" s="2329"/>
      <c r="AH360" s="2329"/>
    </row>
    <row r="361" spans="1:34" s="15" customFormat="1" ht="14.25" customHeight="1" x14ac:dyDescent="0.25">
      <c r="A361" s="506"/>
      <c r="B361" s="2369"/>
      <c r="C361" s="2367"/>
      <c r="D361" s="3167"/>
      <c r="E361" s="3089"/>
      <c r="F361" s="3090"/>
      <c r="G361" s="3090"/>
      <c r="H361" s="3091"/>
      <c r="I361" s="3089"/>
      <c r="J361" s="3090"/>
      <c r="K361" s="3090"/>
      <c r="L361" s="3090"/>
      <c r="M361" s="3090"/>
      <c r="N361" s="3090"/>
      <c r="O361" s="3091"/>
      <c r="P361" s="3436"/>
      <c r="Q361" s="3437"/>
      <c r="R361" s="3437"/>
      <c r="S361" s="3438"/>
      <c r="T361" s="3487"/>
      <c r="U361" s="3487"/>
      <c r="V361" s="3487"/>
      <c r="W361" s="3487"/>
      <c r="X361" s="3491"/>
      <c r="Y361" s="2329"/>
      <c r="Z361" s="2293"/>
      <c r="AA361" s="2329"/>
      <c r="AB361" s="3611"/>
      <c r="AC361" s="2329"/>
      <c r="AD361" s="2329"/>
      <c r="AE361" s="2329"/>
      <c r="AF361" s="2347"/>
      <c r="AG361" s="2329"/>
      <c r="AH361" s="2329"/>
    </row>
    <row r="362" spans="1:34" s="15" customFormat="1" ht="14.25" customHeight="1" x14ac:dyDescent="0.25">
      <c r="A362" s="506"/>
      <c r="B362" s="2369"/>
      <c r="C362" s="2367"/>
      <c r="D362" s="3167"/>
      <c r="E362" s="3089"/>
      <c r="F362" s="3090"/>
      <c r="G362" s="3090"/>
      <c r="H362" s="3091"/>
      <c r="I362" s="3089"/>
      <c r="J362" s="3090"/>
      <c r="K362" s="3090"/>
      <c r="L362" s="3090"/>
      <c r="M362" s="3090"/>
      <c r="N362" s="3090"/>
      <c r="O362" s="3091"/>
      <c r="P362" s="3436"/>
      <c r="Q362" s="3437"/>
      <c r="R362" s="3437"/>
      <c r="S362" s="3438"/>
      <c r="T362" s="3487"/>
      <c r="U362" s="3487"/>
      <c r="V362" s="3487"/>
      <c r="W362" s="3487"/>
      <c r="X362" s="3491"/>
      <c r="Y362" s="2329"/>
      <c r="Z362" s="2293"/>
      <c r="AA362" s="2329"/>
      <c r="AB362" s="3611"/>
      <c r="AC362" s="2329"/>
      <c r="AD362" s="2329"/>
      <c r="AE362" s="2329"/>
      <c r="AF362" s="2347"/>
      <c r="AG362" s="2329"/>
      <c r="AH362" s="2329"/>
    </row>
    <row r="363" spans="1:34" s="15" customFormat="1" ht="14.25" customHeight="1" x14ac:dyDescent="0.25">
      <c r="A363" s="506"/>
      <c r="B363" s="2369"/>
      <c r="C363" s="2367"/>
      <c r="D363" s="3167"/>
      <c r="E363" s="3092"/>
      <c r="F363" s="3093"/>
      <c r="G363" s="3093"/>
      <c r="H363" s="3094"/>
      <c r="I363" s="3092"/>
      <c r="J363" s="3093"/>
      <c r="K363" s="3093"/>
      <c r="L363" s="3093"/>
      <c r="M363" s="3093"/>
      <c r="N363" s="3093"/>
      <c r="O363" s="3094"/>
      <c r="P363" s="3439"/>
      <c r="Q363" s="3440"/>
      <c r="R363" s="3440"/>
      <c r="S363" s="3441"/>
      <c r="T363" s="3487"/>
      <c r="U363" s="3487"/>
      <c r="V363" s="3487"/>
      <c r="W363" s="3487"/>
      <c r="X363" s="3491"/>
      <c r="Y363" s="2329"/>
      <c r="Z363" s="2293"/>
      <c r="AA363" s="2329"/>
      <c r="AB363" s="3611"/>
      <c r="AC363" s="2329"/>
      <c r="AD363" s="2329"/>
      <c r="AE363" s="2329"/>
      <c r="AF363" s="2347"/>
      <c r="AG363" s="2329"/>
      <c r="AH363" s="2329"/>
    </row>
    <row r="364" spans="1:34" ht="39" customHeight="1" x14ac:dyDescent="0.3">
      <c r="A364" s="506"/>
      <c r="B364" s="507"/>
      <c r="C364" s="504"/>
      <c r="D364" s="3442" t="s">
        <v>1812</v>
      </c>
      <c r="E364" s="3443"/>
      <c r="F364" s="3443"/>
      <c r="G364" s="3443"/>
      <c r="H364" s="3443"/>
      <c r="I364" s="3443"/>
      <c r="J364" s="3443"/>
      <c r="K364" s="3443"/>
      <c r="L364" s="3443"/>
      <c r="M364" s="3443"/>
      <c r="N364" s="3443"/>
      <c r="O364" s="3444"/>
      <c r="P364" s="3210" t="s">
        <v>184</v>
      </c>
      <c r="Q364" s="3211"/>
      <c r="R364" s="3211"/>
      <c r="S364" s="3223"/>
      <c r="T364" s="1469">
        <f>COUNTIF(AB340:AB363,"1")*T339</f>
        <v>0</v>
      </c>
      <c r="U364" s="1469">
        <f>COUNTIF(AB340:AB363,"2")*U339</f>
        <v>0</v>
      </c>
      <c r="V364" s="1469">
        <f>COUNTIF(AB340:AB363,"3")*V339</f>
        <v>6</v>
      </c>
      <c r="W364" s="1469">
        <f>COUNTIF(AB340:AB363,"4")*W339</f>
        <v>8</v>
      </c>
      <c r="X364" s="1469">
        <f>COUNTIF(AB340:AB363,"5")*X339</f>
        <v>0</v>
      </c>
      <c r="Y364" s="2329"/>
      <c r="Z364" s="2293"/>
      <c r="AA364" s="520"/>
      <c r="AC364" s="520"/>
      <c r="AD364" s="520"/>
      <c r="AE364" s="520"/>
      <c r="AF364" s="2344"/>
      <c r="AG364" s="520"/>
      <c r="AH364" s="520"/>
    </row>
    <row r="365" spans="1:34" ht="53.25" customHeight="1" x14ac:dyDescent="0.3">
      <c r="A365" s="506"/>
      <c r="B365" s="507"/>
      <c r="C365" s="504"/>
      <c r="D365" s="3445"/>
      <c r="E365" s="3446"/>
      <c r="F365" s="3446"/>
      <c r="G365" s="3446"/>
      <c r="H365" s="3446"/>
      <c r="I365" s="3446"/>
      <c r="J365" s="3446"/>
      <c r="K365" s="3446"/>
      <c r="L365" s="3446"/>
      <c r="M365" s="3446"/>
      <c r="N365" s="3446"/>
      <c r="O365" s="3447"/>
      <c r="P365" s="3212"/>
      <c r="Q365" s="3213"/>
      <c r="R365" s="3213"/>
      <c r="S365" s="3224"/>
      <c r="T365" s="3240">
        <f>SUM(T364:X364)</f>
        <v>14</v>
      </c>
      <c r="U365" s="3241"/>
      <c r="V365" s="3241"/>
      <c r="W365" s="3241"/>
      <c r="X365" s="3242"/>
      <c r="Y365" s="2329"/>
      <c r="Z365" s="2293"/>
      <c r="AA365" s="520"/>
      <c r="AC365" s="520"/>
      <c r="AD365" s="520"/>
      <c r="AE365" s="520"/>
      <c r="AF365" s="2344"/>
      <c r="AG365" s="520"/>
      <c r="AH365" s="520"/>
    </row>
    <row r="366" spans="1:34" s="4" customFormat="1" ht="87.75" customHeight="1" x14ac:dyDescent="0.25">
      <c r="A366" s="506"/>
      <c r="B366" s="507"/>
      <c r="C366" s="504"/>
      <c r="D366" s="3448"/>
      <c r="E366" s="3449"/>
      <c r="F366" s="3449"/>
      <c r="G366" s="3449"/>
      <c r="H366" s="3449"/>
      <c r="I366" s="3449"/>
      <c r="J366" s="3449"/>
      <c r="K366" s="3449"/>
      <c r="L366" s="3449"/>
      <c r="M366" s="3449"/>
      <c r="N366" s="3449"/>
      <c r="O366" s="3450"/>
      <c r="P366" s="3615" t="s">
        <v>182</v>
      </c>
      <c r="Q366" s="3616"/>
      <c r="R366" s="3616"/>
      <c r="S366" s="3617"/>
      <c r="T366" s="3125">
        <f>SUM(T364:X364)/AF366</f>
        <v>3.5</v>
      </c>
      <c r="U366" s="3125"/>
      <c r="V366" s="3612" t="str">
        <f>IF(ROUND(T366,0)=1,"Sangat Tidak Memenuhi Syarat",IF(ROUND(T366,0)=2,"Kurang Memenuhi Syarat",IF(ROUND(T366,0)=3,"Cukup Memenuhi Syarat",IF(ROUND(T366,0)=4,"Memenuhi Syarat",IF(ROUND(T366,0)=5,"Sangat Memenuhi Syarat")))))</f>
        <v>Memenuhi Syarat</v>
      </c>
      <c r="W366" s="3613"/>
      <c r="X366" s="3614"/>
      <c r="Y366" s="2329"/>
      <c r="Z366" s="2293"/>
      <c r="AA366" s="2330"/>
      <c r="AB366" s="2330"/>
      <c r="AC366" s="2330"/>
      <c r="AD366" s="2330"/>
      <c r="AE366" s="2330"/>
      <c r="AF366" s="2345">
        <f>COUNTIF(AB340:AB363,"&gt;0")</f>
        <v>4</v>
      </c>
      <c r="AG366" s="2330"/>
      <c r="AH366" s="2330"/>
    </row>
    <row r="367" spans="1:34" ht="17.25" x14ac:dyDescent="0.35">
      <c r="A367" s="506"/>
      <c r="B367" s="507"/>
      <c r="C367" s="504"/>
      <c r="D367" s="1488"/>
      <c r="E367" s="1488"/>
      <c r="F367" s="1488"/>
      <c r="G367" s="1488"/>
      <c r="H367" s="1488"/>
      <c r="I367" s="1488"/>
      <c r="J367" s="1488"/>
      <c r="K367" s="1488"/>
      <c r="L367" s="1488"/>
      <c r="M367" s="1488"/>
      <c r="N367" s="1488"/>
      <c r="O367" s="1488"/>
      <c r="P367" s="460"/>
      <c r="Q367" s="460"/>
      <c r="R367" s="460"/>
      <c r="S367" s="460"/>
      <c r="T367" s="508"/>
      <c r="U367" s="509"/>
      <c r="V367" s="509"/>
      <c r="W367" s="509"/>
      <c r="X367" s="509"/>
      <c r="Y367" s="2329"/>
      <c r="Z367" s="2331"/>
      <c r="AA367" s="520"/>
      <c r="AC367" s="520"/>
      <c r="AD367" s="520"/>
      <c r="AE367" s="520"/>
      <c r="AF367" s="2344"/>
      <c r="AG367" s="520"/>
      <c r="AH367" s="520"/>
    </row>
    <row r="368" spans="1:34" ht="15" customHeight="1" x14ac:dyDescent="0.35">
      <c r="A368" s="506"/>
      <c r="B368" s="507"/>
      <c r="C368" s="504"/>
      <c r="D368" s="1488"/>
      <c r="E368" s="1488"/>
      <c r="F368" s="1488"/>
      <c r="G368" s="1488"/>
      <c r="H368" s="1488"/>
      <c r="I368" s="1488"/>
      <c r="J368" s="1488"/>
      <c r="K368" s="1488"/>
      <c r="L368" s="1488"/>
      <c r="M368" s="1488"/>
      <c r="N368" s="1488"/>
      <c r="O368" s="1488"/>
      <c r="P368" s="460"/>
      <c r="Q368" s="460"/>
      <c r="R368" s="460"/>
      <c r="S368" s="460"/>
      <c r="T368" s="509"/>
      <c r="U368" s="509"/>
      <c r="V368" s="509"/>
      <c r="W368" s="509"/>
      <c r="X368" s="509"/>
      <c r="Y368" s="520"/>
      <c r="Z368" s="2293"/>
      <c r="AA368" s="520"/>
      <c r="AC368" s="520"/>
      <c r="AD368" s="520"/>
      <c r="AE368" s="520"/>
      <c r="AF368" s="2344"/>
      <c r="AG368" s="520"/>
      <c r="AH368" s="520"/>
    </row>
    <row r="369" spans="1:46" ht="17.25" x14ac:dyDescent="0.35">
      <c r="A369" s="601"/>
      <c r="B369" s="2370"/>
      <c r="C369" s="3507" t="s">
        <v>148</v>
      </c>
      <c r="D369" s="3507"/>
      <c r="E369" s="3507"/>
      <c r="F369" s="3507"/>
      <c r="G369" s="3507"/>
      <c r="H369" s="3507"/>
      <c r="I369" s="3507"/>
      <c r="J369" s="3507"/>
      <c r="K369" s="3507"/>
      <c r="L369" s="3507"/>
      <c r="M369" s="3507"/>
      <c r="N369" s="3507"/>
      <c r="O369" s="3507"/>
      <c r="P369" s="3507"/>
      <c r="Q369" s="3507"/>
      <c r="R369" s="3508"/>
      <c r="S369" s="2371"/>
      <c r="T369" s="2372"/>
      <c r="U369" s="1536"/>
      <c r="V369" s="1536"/>
      <c r="W369" s="1536"/>
      <c r="X369" s="2373"/>
      <c r="Y369" s="2330"/>
      <c r="Z369" s="2293"/>
      <c r="AA369" s="520"/>
      <c r="AC369" s="520"/>
      <c r="AD369" s="520"/>
      <c r="AE369" s="520"/>
      <c r="AF369" s="2344"/>
      <c r="AG369" s="520"/>
      <c r="AH369" s="520"/>
    </row>
    <row r="370" spans="1:46" ht="19.7" customHeight="1" x14ac:dyDescent="0.35">
      <c r="A370" s="600"/>
      <c r="B370" s="2366"/>
      <c r="C370" s="2164" t="s">
        <v>61</v>
      </c>
      <c r="D370" s="600" t="s">
        <v>799</v>
      </c>
      <c r="E370" s="600"/>
      <c r="F370" s="600"/>
      <c r="G370" s="600"/>
      <c r="H370" s="600"/>
      <c r="I370" s="600"/>
      <c r="J370" s="600"/>
      <c r="K370" s="600"/>
      <c r="L370" s="600"/>
      <c r="M370" s="600"/>
      <c r="N370" s="600"/>
      <c r="O370" s="600"/>
      <c r="P370" s="600"/>
      <c r="Q370" s="600"/>
      <c r="R370" s="2374"/>
      <c r="S370" s="2374"/>
      <c r="T370" s="2992" t="s">
        <v>181</v>
      </c>
      <c r="U370" s="2992"/>
      <c r="V370" s="2992"/>
      <c r="W370" s="2992"/>
      <c r="X370" s="2992"/>
      <c r="Y370" s="520"/>
      <c r="Z370" s="2293"/>
      <c r="AA370" s="520"/>
      <c r="AC370" s="520"/>
      <c r="AD370" s="520"/>
      <c r="AE370" s="520"/>
      <c r="AF370" s="2344"/>
      <c r="AG370" s="520"/>
      <c r="AH370" s="520"/>
    </row>
    <row r="371" spans="1:46" ht="16.5" customHeight="1" x14ac:dyDescent="0.35">
      <c r="A371" s="601"/>
      <c r="B371" s="564"/>
      <c r="C371" s="2185"/>
      <c r="D371" s="1470" t="s">
        <v>103</v>
      </c>
      <c r="E371" s="2992" t="s">
        <v>104</v>
      </c>
      <c r="F371" s="2992"/>
      <c r="G371" s="2992"/>
      <c r="H371" s="2992"/>
      <c r="I371" s="3205" t="s">
        <v>106</v>
      </c>
      <c r="J371" s="3205"/>
      <c r="K371" s="3205"/>
      <c r="L371" s="3205"/>
      <c r="M371" s="3205"/>
      <c r="N371" s="3205"/>
      <c r="O371" s="3205"/>
      <c r="P371" s="3083" t="s">
        <v>40</v>
      </c>
      <c r="Q371" s="3083"/>
      <c r="R371" s="3083"/>
      <c r="S371" s="3084"/>
      <c r="T371" s="1473">
        <v>1</v>
      </c>
      <c r="U371" s="1473">
        <v>2</v>
      </c>
      <c r="V371" s="1473">
        <v>3</v>
      </c>
      <c r="W371" s="1473">
        <v>4</v>
      </c>
      <c r="X371" s="1473">
        <v>5</v>
      </c>
      <c r="Y371" s="520"/>
      <c r="Z371" s="2293"/>
      <c r="AA371" s="520"/>
      <c r="AC371" s="520"/>
      <c r="AD371" s="520"/>
      <c r="AE371" s="520"/>
      <c r="AF371" s="2344"/>
      <c r="AG371" s="520"/>
      <c r="AH371" s="520"/>
    </row>
    <row r="372" spans="1:46" ht="47.25" customHeight="1" x14ac:dyDescent="0.35">
      <c r="A372" s="601"/>
      <c r="B372" s="564"/>
      <c r="C372" s="2185"/>
      <c r="D372" s="3452">
        <v>1</v>
      </c>
      <c r="E372" s="3086" t="s">
        <v>799</v>
      </c>
      <c r="F372" s="3087"/>
      <c r="G372" s="3087"/>
      <c r="H372" s="3088"/>
      <c r="I372" s="3087" t="s">
        <v>944</v>
      </c>
      <c r="J372" s="3087"/>
      <c r="K372" s="3087"/>
      <c r="L372" s="3087"/>
      <c r="M372" s="3087"/>
      <c r="N372" s="3087"/>
      <c r="O372" s="3088"/>
      <c r="P372" s="3472" t="s">
        <v>1813</v>
      </c>
      <c r="Q372" s="3473"/>
      <c r="R372" s="3473"/>
      <c r="S372" s="3474"/>
      <c r="T372" s="2980"/>
      <c r="U372" s="2980"/>
      <c r="V372" s="2980"/>
      <c r="W372" s="2980"/>
      <c r="X372" s="2980"/>
      <c r="Y372" s="520"/>
      <c r="Z372" s="2293"/>
      <c r="AA372" s="520"/>
      <c r="AB372" s="3611">
        <v>4</v>
      </c>
      <c r="AC372" s="520"/>
      <c r="AD372" s="520"/>
      <c r="AE372" s="520"/>
      <c r="AF372" s="2344"/>
      <c r="AG372" s="520"/>
      <c r="AH372" s="520"/>
    </row>
    <row r="373" spans="1:46" ht="47.25" customHeight="1" x14ac:dyDescent="0.35">
      <c r="A373" s="601"/>
      <c r="B373" s="564"/>
      <c r="C373" s="2185"/>
      <c r="D373" s="3453"/>
      <c r="E373" s="3089"/>
      <c r="F373" s="3090"/>
      <c r="G373" s="3090"/>
      <c r="H373" s="3091"/>
      <c r="I373" s="3090"/>
      <c r="J373" s="3090"/>
      <c r="K373" s="3090"/>
      <c r="L373" s="3090"/>
      <c r="M373" s="3090"/>
      <c r="N373" s="3090"/>
      <c r="O373" s="3091"/>
      <c r="P373" s="3475"/>
      <c r="Q373" s="3476"/>
      <c r="R373" s="3476"/>
      <c r="S373" s="3477"/>
      <c r="T373" s="3588"/>
      <c r="U373" s="3588"/>
      <c r="V373" s="3588"/>
      <c r="W373" s="3588"/>
      <c r="X373" s="3588"/>
      <c r="Y373" s="520"/>
      <c r="Z373" s="2293"/>
      <c r="AA373" s="520"/>
      <c r="AB373" s="3611"/>
      <c r="AC373" s="520"/>
      <c r="AD373" s="520"/>
      <c r="AE373" s="520"/>
      <c r="AF373" s="2344"/>
      <c r="AG373" s="520"/>
      <c r="AH373" s="520"/>
    </row>
    <row r="374" spans="1:46" ht="47.25" customHeight="1" x14ac:dyDescent="0.35">
      <c r="A374" s="601"/>
      <c r="B374" s="564"/>
      <c r="C374" s="2185"/>
      <c r="D374" s="3454"/>
      <c r="E374" s="3092"/>
      <c r="F374" s="3093"/>
      <c r="G374" s="3093"/>
      <c r="H374" s="3094"/>
      <c r="I374" s="3090"/>
      <c r="J374" s="3090"/>
      <c r="K374" s="3090"/>
      <c r="L374" s="3090"/>
      <c r="M374" s="3090"/>
      <c r="N374" s="3090"/>
      <c r="O374" s="3091"/>
      <c r="P374" s="3478"/>
      <c r="Q374" s="3479"/>
      <c r="R374" s="3479"/>
      <c r="S374" s="3480"/>
      <c r="T374" s="3588"/>
      <c r="U374" s="3588"/>
      <c r="V374" s="3588"/>
      <c r="W374" s="3588"/>
      <c r="X374" s="3588"/>
      <c r="Y374" s="520"/>
      <c r="Z374" s="2293"/>
      <c r="AA374" s="520"/>
      <c r="AB374" s="3611"/>
      <c r="AC374" s="520"/>
      <c r="AD374" s="520"/>
      <c r="AE374" s="520"/>
      <c r="AF374" s="2344"/>
      <c r="AG374" s="520"/>
      <c r="AH374" s="520"/>
    </row>
    <row r="375" spans="1:46" ht="47.25" customHeight="1" x14ac:dyDescent="0.35">
      <c r="A375" s="601"/>
      <c r="B375" s="564"/>
      <c r="C375" s="2185"/>
      <c r="D375" s="3166">
        <v>2</v>
      </c>
      <c r="E375" s="3086" t="s">
        <v>140</v>
      </c>
      <c r="F375" s="3087"/>
      <c r="G375" s="3087"/>
      <c r="H375" s="3088"/>
      <c r="I375" s="3086" t="s">
        <v>824</v>
      </c>
      <c r="J375" s="3087"/>
      <c r="K375" s="3087"/>
      <c r="L375" s="3087"/>
      <c r="M375" s="3087"/>
      <c r="N375" s="3087"/>
      <c r="O375" s="3088"/>
      <c r="P375" s="3472" t="s">
        <v>1814</v>
      </c>
      <c r="Q375" s="3473"/>
      <c r="R375" s="3473"/>
      <c r="S375" s="3474"/>
      <c r="T375" s="3026"/>
      <c r="U375" s="3026"/>
      <c r="V375" s="3026"/>
      <c r="W375" s="3026"/>
      <c r="X375" s="3026"/>
      <c r="Y375" s="520"/>
      <c r="Z375" s="2293"/>
      <c r="AA375" s="520"/>
      <c r="AB375" s="3611">
        <v>4</v>
      </c>
      <c r="AC375" s="520"/>
      <c r="AD375" s="520"/>
      <c r="AE375" s="520"/>
      <c r="AF375" s="2344"/>
      <c r="AG375" s="520"/>
      <c r="AH375" s="520"/>
    </row>
    <row r="376" spans="1:46" ht="47.25" customHeight="1" x14ac:dyDescent="0.35">
      <c r="A376" s="601"/>
      <c r="B376" s="564"/>
      <c r="C376" s="2185"/>
      <c r="D376" s="3167"/>
      <c r="E376" s="3089"/>
      <c r="F376" s="3090"/>
      <c r="G376" s="3090"/>
      <c r="H376" s="3091"/>
      <c r="I376" s="3089"/>
      <c r="J376" s="3090"/>
      <c r="K376" s="3090"/>
      <c r="L376" s="3090"/>
      <c r="M376" s="3090"/>
      <c r="N376" s="3090"/>
      <c r="O376" s="3091"/>
      <c r="P376" s="3475"/>
      <c r="Q376" s="3476"/>
      <c r="R376" s="3476"/>
      <c r="S376" s="3477"/>
      <c r="T376" s="3026"/>
      <c r="U376" s="3026"/>
      <c r="V376" s="3026"/>
      <c r="W376" s="3026"/>
      <c r="X376" s="3026"/>
      <c r="Y376" s="520"/>
      <c r="Z376" s="2293"/>
      <c r="AA376" s="520"/>
      <c r="AB376" s="3611"/>
      <c r="AC376" s="520"/>
      <c r="AD376" s="520"/>
      <c r="AE376" s="520"/>
      <c r="AF376" s="2344"/>
      <c r="AG376" s="520"/>
      <c r="AH376" s="520"/>
    </row>
    <row r="377" spans="1:46" ht="47.25" customHeight="1" x14ac:dyDescent="0.35">
      <c r="A377" s="601"/>
      <c r="B377" s="564"/>
      <c r="C377" s="2185"/>
      <c r="D377" s="3167"/>
      <c r="E377" s="3092"/>
      <c r="F377" s="3093"/>
      <c r="G377" s="3093"/>
      <c r="H377" s="3094"/>
      <c r="I377" s="3089"/>
      <c r="J377" s="3090"/>
      <c r="K377" s="3090"/>
      <c r="L377" s="3090"/>
      <c r="M377" s="3090"/>
      <c r="N377" s="3090"/>
      <c r="O377" s="3091"/>
      <c r="P377" s="3478"/>
      <c r="Q377" s="3479"/>
      <c r="R377" s="3479"/>
      <c r="S377" s="3480"/>
      <c r="T377" s="3026"/>
      <c r="U377" s="3026"/>
      <c r="V377" s="3026"/>
      <c r="W377" s="3026"/>
      <c r="X377" s="3026"/>
      <c r="Y377" s="2329"/>
      <c r="Z377" s="2293"/>
      <c r="AA377" s="520"/>
      <c r="AB377" s="3611"/>
      <c r="AC377" s="520"/>
      <c r="AD377" s="520"/>
      <c r="AE377" s="520"/>
      <c r="AF377" s="2344"/>
      <c r="AG377" s="520"/>
      <c r="AH377" s="520"/>
    </row>
    <row r="378" spans="1:46" ht="76.5" customHeight="1" x14ac:dyDescent="0.35">
      <c r="A378" s="601"/>
      <c r="B378" s="564"/>
      <c r="C378" s="2185"/>
      <c r="D378" s="1475">
        <v>3</v>
      </c>
      <c r="E378" s="2982" t="s">
        <v>141</v>
      </c>
      <c r="F378" s="2983"/>
      <c r="G378" s="2983"/>
      <c r="H378" s="2984"/>
      <c r="I378" s="3001" t="s">
        <v>823</v>
      </c>
      <c r="J378" s="3743"/>
      <c r="K378" s="3743"/>
      <c r="L378" s="3743"/>
      <c r="M378" s="3743"/>
      <c r="N378" s="3743"/>
      <c r="O378" s="3743"/>
      <c r="P378" s="2996" t="s">
        <v>1815</v>
      </c>
      <c r="Q378" s="2997"/>
      <c r="R378" s="2997"/>
      <c r="S378" s="2998"/>
      <c r="T378" s="1451"/>
      <c r="U378" s="1451"/>
      <c r="V378" s="1451"/>
      <c r="W378" s="1451"/>
      <c r="X378" s="1451"/>
      <c r="Y378" s="520"/>
      <c r="Z378" s="2293"/>
      <c r="AA378" s="520"/>
      <c r="AB378" s="2293">
        <v>4</v>
      </c>
      <c r="AC378" s="520"/>
      <c r="AD378" s="520"/>
      <c r="AE378" s="520"/>
      <c r="AF378" s="2344"/>
      <c r="AG378" s="520"/>
      <c r="AH378" s="520"/>
    </row>
    <row r="379" spans="1:46" s="4" customFormat="1" ht="91.5" customHeight="1" x14ac:dyDescent="0.35">
      <c r="A379" s="601"/>
      <c r="B379" s="564"/>
      <c r="C379" s="2185"/>
      <c r="D379" s="1475">
        <v>4</v>
      </c>
      <c r="E379" s="2982" t="s">
        <v>142</v>
      </c>
      <c r="F379" s="2983"/>
      <c r="G379" s="2983"/>
      <c r="H379" s="2984"/>
      <c r="I379" s="3471" t="s">
        <v>1583</v>
      </c>
      <c r="J379" s="3471"/>
      <c r="K379" s="3471"/>
      <c r="L379" s="3471"/>
      <c r="M379" s="3471"/>
      <c r="N379" s="3471"/>
      <c r="O379" s="3471"/>
      <c r="P379" s="2996" t="s">
        <v>1816</v>
      </c>
      <c r="Q379" s="2997"/>
      <c r="R379" s="2997"/>
      <c r="S379" s="2998"/>
      <c r="T379" s="1451"/>
      <c r="U379" s="1451"/>
      <c r="V379" s="1451"/>
      <c r="W379" s="1451"/>
      <c r="X379" s="1451"/>
      <c r="Y379" s="520"/>
      <c r="Z379" s="2293"/>
      <c r="AA379" s="2330"/>
      <c r="AB379" s="2331">
        <v>5</v>
      </c>
      <c r="AC379" s="2330"/>
      <c r="AD379" s="2330"/>
      <c r="AE379" s="2330"/>
      <c r="AF379" s="2348"/>
      <c r="AG379" s="2330"/>
      <c r="AH379" s="2330"/>
    </row>
    <row r="380" spans="1:46" s="5" customFormat="1" ht="29.25" customHeight="1" x14ac:dyDescent="0.35">
      <c r="A380" s="144"/>
      <c r="B380" s="197"/>
      <c r="C380" s="189"/>
      <c r="D380" s="3442" t="s">
        <v>1817</v>
      </c>
      <c r="E380" s="3443"/>
      <c r="F380" s="3443"/>
      <c r="G380" s="3443"/>
      <c r="H380" s="3443"/>
      <c r="I380" s="3443"/>
      <c r="J380" s="3443"/>
      <c r="K380" s="3443"/>
      <c r="L380" s="3443"/>
      <c r="M380" s="3443"/>
      <c r="N380" s="3443"/>
      <c r="O380" s="3444"/>
      <c r="P380" s="3210" t="s">
        <v>184</v>
      </c>
      <c r="Q380" s="3211"/>
      <c r="R380" s="3211"/>
      <c r="S380" s="3223"/>
      <c r="T380" s="1469">
        <f>COUNTIF(AB372:AB379,"1")*T371</f>
        <v>0</v>
      </c>
      <c r="U380" s="1469">
        <f>COUNTIF(AB372:AB379,"2")*U371</f>
        <v>0</v>
      </c>
      <c r="V380" s="1469">
        <f>COUNTIF(AB372:AB379,"3")*V371</f>
        <v>0</v>
      </c>
      <c r="W380" s="1469">
        <f>COUNTIF(AB372:AB379,"4")*W371</f>
        <v>12</v>
      </c>
      <c r="X380" s="1469">
        <f>COUNTIF(AB372:AB379,"5")*X371</f>
        <v>5</v>
      </c>
      <c r="Y380" s="520"/>
      <c r="Z380" s="2331"/>
      <c r="AA380" s="520"/>
      <c r="AB380" s="2293"/>
      <c r="AC380" s="520"/>
      <c r="AD380" s="520"/>
      <c r="AE380" s="520"/>
      <c r="AF380" s="2344"/>
      <c r="AG380" s="520"/>
      <c r="AH380" s="520"/>
      <c r="AI380" s="2"/>
      <c r="AJ380" s="2"/>
      <c r="AK380" s="2"/>
      <c r="AL380" s="2"/>
      <c r="AM380" s="2"/>
      <c r="AN380" s="2"/>
      <c r="AO380" s="2"/>
      <c r="AP380" s="2"/>
      <c r="AQ380" s="2"/>
      <c r="AR380" s="2"/>
      <c r="AS380" s="2"/>
      <c r="AT380" s="2"/>
    </row>
    <row r="381" spans="1:46" ht="39.75" customHeight="1" x14ac:dyDescent="0.35">
      <c r="A381" s="144"/>
      <c r="B381" s="197"/>
      <c r="C381" s="189"/>
      <c r="D381" s="3445"/>
      <c r="E381" s="3446"/>
      <c r="F381" s="3446"/>
      <c r="G381" s="3446"/>
      <c r="H381" s="3446"/>
      <c r="I381" s="3446"/>
      <c r="J381" s="3446"/>
      <c r="K381" s="3446"/>
      <c r="L381" s="3446"/>
      <c r="M381" s="3446"/>
      <c r="N381" s="3446"/>
      <c r="O381" s="3447"/>
      <c r="P381" s="3212"/>
      <c r="Q381" s="3213"/>
      <c r="R381" s="3213"/>
      <c r="S381" s="3224"/>
      <c r="T381" s="3240">
        <f>SUM(T380:X380)</f>
        <v>17</v>
      </c>
      <c r="U381" s="3241"/>
      <c r="V381" s="3241"/>
      <c r="W381" s="3241"/>
      <c r="X381" s="3242"/>
      <c r="Y381" s="520"/>
      <c r="Z381" s="2331"/>
      <c r="AA381" s="520"/>
      <c r="AC381" s="520"/>
      <c r="AD381" s="520"/>
      <c r="AE381" s="520"/>
      <c r="AF381" s="2344"/>
      <c r="AG381" s="520"/>
      <c r="AH381" s="520"/>
    </row>
    <row r="382" spans="1:46" ht="90.75" customHeight="1" x14ac:dyDescent="0.35">
      <c r="A382" s="144"/>
      <c r="B382" s="197"/>
      <c r="C382" s="189"/>
      <c r="D382" s="3448"/>
      <c r="E382" s="3449"/>
      <c r="F382" s="3449"/>
      <c r="G382" s="3449"/>
      <c r="H382" s="3449"/>
      <c r="I382" s="3449"/>
      <c r="J382" s="3449"/>
      <c r="K382" s="3449"/>
      <c r="L382" s="3449"/>
      <c r="M382" s="3449"/>
      <c r="N382" s="3449"/>
      <c r="O382" s="3450"/>
      <c r="P382" s="3615" t="s">
        <v>182</v>
      </c>
      <c r="Q382" s="3616"/>
      <c r="R382" s="3616"/>
      <c r="S382" s="3617"/>
      <c r="T382" s="3125">
        <f>SUM(T381:X381)/AE382</f>
        <v>4.25</v>
      </c>
      <c r="U382" s="3125"/>
      <c r="V382" s="3612" t="str">
        <f>IF(ROUND(T382,0)=1,"Sangat Tidak Memenuhi Syarat",IF(ROUND(T382,0)=2,"Kurang Memenuhi Syarat",IF(ROUND(T382,0)=3,"Cukup Memenuhi Syarat",IF(ROUND(T382,0)=4,"Memenuhi Syarat",IF(ROUND(T382,0)=5,"Sangat Memenuhi Syarat")))))</f>
        <v>Memenuhi Syarat</v>
      </c>
      <c r="W382" s="3613"/>
      <c r="X382" s="3614"/>
      <c r="Y382" s="520"/>
      <c r="Z382" s="2293"/>
      <c r="AA382" s="520"/>
      <c r="AC382" s="520"/>
      <c r="AD382" s="520"/>
      <c r="AE382" s="2293">
        <f>COUNTIF(AB372:AB379,"&gt;0")</f>
        <v>4</v>
      </c>
      <c r="AF382" s="2344"/>
      <c r="AG382" s="520"/>
      <c r="AH382" s="520"/>
    </row>
    <row r="383" spans="1:46" ht="17.25" x14ac:dyDescent="0.35">
      <c r="A383" s="601"/>
      <c r="B383" s="564"/>
      <c r="C383" s="2185"/>
      <c r="D383" s="601"/>
      <c r="E383" s="601"/>
      <c r="F383" s="1509"/>
      <c r="G383" s="1509"/>
      <c r="H383" s="1509"/>
      <c r="I383" s="1509"/>
      <c r="J383" s="1509"/>
      <c r="K383" s="1509"/>
      <c r="L383" s="1509"/>
      <c r="M383" s="1509"/>
      <c r="N383" s="1509"/>
      <c r="O383" s="1509"/>
      <c r="P383" s="1531"/>
      <c r="Q383" s="1531"/>
      <c r="R383" s="601"/>
      <c r="S383" s="601"/>
      <c r="T383" s="1477"/>
      <c r="U383" s="1477"/>
      <c r="V383" s="1477"/>
      <c r="W383" s="1477"/>
      <c r="X383" s="1477"/>
      <c r="Y383" s="2330"/>
      <c r="Z383" s="2293"/>
      <c r="AA383" s="520"/>
      <c r="AC383" s="520"/>
      <c r="AD383" s="520"/>
      <c r="AE383" s="520"/>
      <c r="AF383" s="2344"/>
      <c r="AG383" s="520"/>
      <c r="AH383" s="520"/>
    </row>
    <row r="384" spans="1:46" ht="17.45" customHeight="1" x14ac:dyDescent="0.35">
      <c r="A384" s="600"/>
      <c r="B384" s="2366"/>
      <c r="C384" s="2164" t="s">
        <v>143</v>
      </c>
      <c r="D384" s="600" t="s">
        <v>144</v>
      </c>
      <c r="E384" s="600"/>
      <c r="F384" s="600"/>
      <c r="G384" s="600"/>
      <c r="H384" s="600"/>
      <c r="I384" s="600"/>
      <c r="J384" s="600"/>
      <c r="K384" s="600"/>
      <c r="L384" s="600"/>
      <c r="M384" s="600"/>
      <c r="N384" s="600"/>
      <c r="O384" s="600"/>
      <c r="P384" s="600"/>
      <c r="Q384" s="600"/>
      <c r="R384" s="600"/>
      <c r="S384" s="600"/>
      <c r="T384" s="3204" t="s">
        <v>181</v>
      </c>
      <c r="U384" s="3205"/>
      <c r="V384" s="3205"/>
      <c r="W384" s="3205"/>
      <c r="X384" s="3206"/>
      <c r="Y384" s="520"/>
      <c r="Z384" s="2293"/>
      <c r="AA384" s="520"/>
      <c r="AC384" s="520"/>
      <c r="AD384" s="520"/>
      <c r="AE384" s="520"/>
      <c r="AF384" s="2344"/>
      <c r="AG384" s="520"/>
      <c r="AH384" s="520"/>
    </row>
    <row r="385" spans="1:34" ht="16.5" customHeight="1" x14ac:dyDescent="0.35">
      <c r="A385" s="601"/>
      <c r="B385" s="564"/>
      <c r="C385" s="2185"/>
      <c r="D385" s="2155" t="s">
        <v>103</v>
      </c>
      <c r="E385" s="2992" t="s">
        <v>104</v>
      </c>
      <c r="F385" s="2992"/>
      <c r="G385" s="2992"/>
      <c r="H385" s="2992"/>
      <c r="I385" s="3601" t="s">
        <v>106</v>
      </c>
      <c r="J385" s="3601"/>
      <c r="K385" s="3601"/>
      <c r="L385" s="3601"/>
      <c r="M385" s="3601"/>
      <c r="N385" s="3601"/>
      <c r="O385" s="3601"/>
      <c r="P385" s="3082" t="s">
        <v>40</v>
      </c>
      <c r="Q385" s="3083"/>
      <c r="R385" s="3084"/>
      <c r="S385" s="1454"/>
      <c r="T385" s="2375">
        <v>1</v>
      </c>
      <c r="U385" s="2376">
        <v>2</v>
      </c>
      <c r="V385" s="2376">
        <v>3</v>
      </c>
      <c r="W385" s="2376">
        <v>4</v>
      </c>
      <c r="X385" s="2376">
        <v>5</v>
      </c>
      <c r="Y385" s="520"/>
      <c r="Z385" s="2293"/>
      <c r="AA385" s="520"/>
      <c r="AC385" s="520"/>
      <c r="AD385" s="520"/>
      <c r="AE385" s="520"/>
      <c r="AF385" s="2344"/>
      <c r="AG385" s="520"/>
      <c r="AH385" s="520"/>
    </row>
    <row r="386" spans="1:34" ht="15" customHeight="1" x14ac:dyDescent="0.35">
      <c r="A386" s="601"/>
      <c r="B386" s="564"/>
      <c r="C386" s="2185"/>
      <c r="D386" s="3166">
        <v>1</v>
      </c>
      <c r="E386" s="3086" t="s">
        <v>1587</v>
      </c>
      <c r="F386" s="3087"/>
      <c r="G386" s="3087"/>
      <c r="H386" s="3088"/>
      <c r="I386" s="556" t="s">
        <v>306</v>
      </c>
      <c r="J386" s="557"/>
      <c r="K386" s="557"/>
      <c r="L386" s="557"/>
      <c r="M386" s="557"/>
      <c r="N386" s="557"/>
      <c r="O386" s="558"/>
      <c r="P386" s="3433" t="s">
        <v>486</v>
      </c>
      <c r="Q386" s="3434"/>
      <c r="R386" s="3434"/>
      <c r="S386" s="3435"/>
      <c r="T386" s="3153"/>
      <c r="U386" s="3153"/>
      <c r="V386" s="3153"/>
      <c r="W386" s="3153"/>
      <c r="X386" s="3153" t="s">
        <v>194</v>
      </c>
      <c r="Y386" s="520"/>
      <c r="Z386" s="2293"/>
      <c r="AA386" s="520"/>
      <c r="AB386" s="3611">
        <v>3</v>
      </c>
      <c r="AC386" s="520"/>
      <c r="AD386" s="520"/>
      <c r="AE386" s="520"/>
      <c r="AF386" s="2344"/>
      <c r="AG386" s="520"/>
      <c r="AH386" s="520"/>
    </row>
    <row r="387" spans="1:34" ht="15" customHeight="1" x14ac:dyDescent="0.35">
      <c r="A387" s="601"/>
      <c r="B387" s="564"/>
      <c r="C387" s="2185"/>
      <c r="D387" s="3167"/>
      <c r="E387" s="3089"/>
      <c r="F387" s="3090"/>
      <c r="G387" s="3090"/>
      <c r="H387" s="3091"/>
      <c r="I387" s="559" t="s">
        <v>303</v>
      </c>
      <c r="J387" s="560"/>
      <c r="K387" s="560"/>
      <c r="L387" s="560"/>
      <c r="M387" s="560"/>
      <c r="N387" s="560"/>
      <c r="O387" s="561"/>
      <c r="P387" s="3436"/>
      <c r="Q387" s="3437"/>
      <c r="R387" s="3437"/>
      <c r="S387" s="3438"/>
      <c r="T387" s="3153"/>
      <c r="U387" s="3153"/>
      <c r="V387" s="3153"/>
      <c r="W387" s="3153"/>
      <c r="X387" s="3153"/>
      <c r="Y387" s="520"/>
      <c r="Z387" s="2293"/>
      <c r="AA387" s="520"/>
      <c r="AB387" s="3611"/>
      <c r="AC387" s="520"/>
      <c r="AD387" s="520"/>
      <c r="AE387" s="520"/>
      <c r="AF387" s="2344"/>
      <c r="AG387" s="520"/>
      <c r="AH387" s="520"/>
    </row>
    <row r="388" spans="1:34" ht="15" customHeight="1" x14ac:dyDescent="0.35">
      <c r="A388" s="601"/>
      <c r="B388" s="564"/>
      <c r="C388" s="2185"/>
      <c r="D388" s="3167"/>
      <c r="E388" s="3089"/>
      <c r="F388" s="3090"/>
      <c r="G388" s="3090"/>
      <c r="H388" s="3091"/>
      <c r="I388" s="559" t="s">
        <v>264</v>
      </c>
      <c r="J388" s="562"/>
      <c r="K388" s="562"/>
      <c r="L388" s="562"/>
      <c r="M388" s="562"/>
      <c r="N388" s="562"/>
      <c r="O388" s="563"/>
      <c r="P388" s="3436"/>
      <c r="Q388" s="3437"/>
      <c r="R388" s="3437"/>
      <c r="S388" s="3438"/>
      <c r="T388" s="3153"/>
      <c r="U388" s="3153"/>
      <c r="V388" s="3153"/>
      <c r="W388" s="3153"/>
      <c r="X388" s="3153"/>
      <c r="Y388" s="520"/>
      <c r="Z388" s="2293"/>
      <c r="AA388" s="520"/>
      <c r="AB388" s="3611"/>
      <c r="AC388" s="520"/>
      <c r="AD388" s="520"/>
      <c r="AE388" s="520"/>
      <c r="AF388" s="2344"/>
      <c r="AG388" s="520"/>
      <c r="AH388" s="520"/>
    </row>
    <row r="389" spans="1:34" ht="15" customHeight="1" x14ac:dyDescent="0.35">
      <c r="A389" s="601"/>
      <c r="B389" s="564"/>
      <c r="C389" s="2185"/>
      <c r="D389" s="3167"/>
      <c r="E389" s="3089"/>
      <c r="F389" s="3090"/>
      <c r="G389" s="3090"/>
      <c r="H389" s="3091"/>
      <c r="I389" s="559" t="s">
        <v>304</v>
      </c>
      <c r="J389" s="562"/>
      <c r="K389" s="562"/>
      <c r="L389" s="562"/>
      <c r="M389" s="562"/>
      <c r="N389" s="562"/>
      <c r="O389" s="563"/>
      <c r="P389" s="3436"/>
      <c r="Q389" s="3437"/>
      <c r="R389" s="3437"/>
      <c r="S389" s="3438"/>
      <c r="T389" s="3153"/>
      <c r="U389" s="3153"/>
      <c r="V389" s="3153"/>
      <c r="W389" s="3153"/>
      <c r="X389" s="3153"/>
      <c r="Y389" s="520"/>
      <c r="Z389" s="2293"/>
      <c r="AA389" s="520"/>
      <c r="AB389" s="3611"/>
      <c r="AC389" s="520"/>
      <c r="AD389" s="520"/>
      <c r="AE389" s="520"/>
      <c r="AF389" s="2344"/>
      <c r="AG389" s="520"/>
      <c r="AH389" s="520"/>
    </row>
    <row r="390" spans="1:34" ht="15" customHeight="1" x14ac:dyDescent="0.35">
      <c r="A390" s="601"/>
      <c r="B390" s="564"/>
      <c r="C390" s="2185"/>
      <c r="D390" s="3167"/>
      <c r="E390" s="3089"/>
      <c r="F390" s="3090"/>
      <c r="G390" s="3090"/>
      <c r="H390" s="3091"/>
      <c r="I390" s="559" t="s">
        <v>305</v>
      </c>
      <c r="J390" s="562"/>
      <c r="K390" s="562"/>
      <c r="L390" s="562"/>
      <c r="M390" s="562"/>
      <c r="N390" s="562"/>
      <c r="O390" s="563"/>
      <c r="P390" s="3436"/>
      <c r="Q390" s="3437"/>
      <c r="R390" s="3437"/>
      <c r="S390" s="3438"/>
      <c r="T390" s="3153"/>
      <c r="U390" s="3153"/>
      <c r="V390" s="3153"/>
      <c r="W390" s="3153"/>
      <c r="X390" s="3153"/>
      <c r="Y390" s="520"/>
      <c r="Z390" s="2293"/>
      <c r="AA390" s="520"/>
      <c r="AB390" s="3611"/>
      <c r="AC390" s="520"/>
      <c r="AD390" s="520"/>
      <c r="AE390" s="520"/>
      <c r="AF390" s="2344"/>
      <c r="AG390" s="520"/>
      <c r="AH390" s="520"/>
    </row>
    <row r="391" spans="1:34" ht="15" customHeight="1" x14ac:dyDescent="0.35">
      <c r="A391" s="601"/>
      <c r="B391" s="564"/>
      <c r="C391" s="2185"/>
      <c r="D391" s="3167"/>
      <c r="E391" s="3089"/>
      <c r="F391" s="3090"/>
      <c r="G391" s="3090"/>
      <c r="H391" s="3091"/>
      <c r="I391" s="564"/>
      <c r="J391" s="562"/>
      <c r="K391" s="562"/>
      <c r="L391" s="562"/>
      <c r="M391" s="562"/>
      <c r="N391" s="562"/>
      <c r="O391" s="563"/>
      <c r="P391" s="3436"/>
      <c r="Q391" s="3437"/>
      <c r="R391" s="3437"/>
      <c r="S391" s="3438"/>
      <c r="T391" s="3153"/>
      <c r="U391" s="3153"/>
      <c r="V391" s="3153"/>
      <c r="W391" s="3153"/>
      <c r="X391" s="3153"/>
      <c r="Y391" s="520"/>
      <c r="Z391" s="2293"/>
      <c r="AA391" s="520"/>
      <c r="AB391" s="3611"/>
      <c r="AC391" s="520"/>
      <c r="AD391" s="520"/>
      <c r="AE391" s="520"/>
      <c r="AF391" s="2344"/>
      <c r="AG391" s="520"/>
      <c r="AH391" s="520"/>
    </row>
    <row r="392" spans="1:34" ht="15" customHeight="1" x14ac:dyDescent="0.35">
      <c r="A392" s="601"/>
      <c r="B392" s="564"/>
      <c r="C392" s="2185"/>
      <c r="D392" s="3168"/>
      <c r="E392" s="3092"/>
      <c r="F392" s="3093"/>
      <c r="G392" s="3093"/>
      <c r="H392" s="3094"/>
      <c r="I392" s="565"/>
      <c r="J392" s="566"/>
      <c r="K392" s="566"/>
      <c r="L392" s="566"/>
      <c r="M392" s="566"/>
      <c r="N392" s="566"/>
      <c r="O392" s="567"/>
      <c r="P392" s="3439"/>
      <c r="Q392" s="3440"/>
      <c r="R392" s="3440"/>
      <c r="S392" s="3441"/>
      <c r="T392" s="3153"/>
      <c r="U392" s="3153"/>
      <c r="V392" s="3153"/>
      <c r="W392" s="3153"/>
      <c r="X392" s="3153"/>
      <c r="Y392" s="520"/>
      <c r="Z392" s="2293"/>
      <c r="AA392" s="520"/>
      <c r="AB392" s="3611"/>
      <c r="AC392" s="520"/>
      <c r="AD392" s="520"/>
      <c r="AE392" s="520"/>
      <c r="AF392" s="2344"/>
      <c r="AG392" s="520"/>
      <c r="AH392" s="520"/>
    </row>
    <row r="393" spans="1:34" ht="15" customHeight="1" x14ac:dyDescent="0.35">
      <c r="A393" s="601"/>
      <c r="B393" s="564"/>
      <c r="C393" s="2185"/>
      <c r="D393" s="3166">
        <v>2</v>
      </c>
      <c r="E393" s="3086" t="s">
        <v>800</v>
      </c>
      <c r="F393" s="3087"/>
      <c r="G393" s="3087"/>
      <c r="H393" s="3088"/>
      <c r="I393" s="1497" t="s">
        <v>265</v>
      </c>
      <c r="J393" s="1498"/>
      <c r="K393" s="1498"/>
      <c r="L393" s="1498"/>
      <c r="M393" s="1498"/>
      <c r="N393" s="1498"/>
      <c r="O393" s="1499"/>
      <c r="P393" s="3433" t="s">
        <v>487</v>
      </c>
      <c r="Q393" s="3434"/>
      <c r="R393" s="3434"/>
      <c r="S393" s="3435"/>
      <c r="T393" s="3490"/>
      <c r="U393" s="3490"/>
      <c r="V393" s="3490"/>
      <c r="W393" s="3490" t="s">
        <v>194</v>
      </c>
      <c r="X393" s="3490"/>
      <c r="Y393" s="520"/>
      <c r="Z393" s="2293"/>
      <c r="AA393" s="520"/>
      <c r="AB393" s="3611">
        <v>4</v>
      </c>
      <c r="AC393" s="520"/>
      <c r="AD393" s="520"/>
      <c r="AE393" s="520"/>
      <c r="AF393" s="2344"/>
      <c r="AG393" s="520"/>
      <c r="AH393" s="520"/>
    </row>
    <row r="394" spans="1:34" ht="15" customHeight="1" x14ac:dyDescent="0.35">
      <c r="A394" s="601"/>
      <c r="B394" s="564"/>
      <c r="C394" s="2185"/>
      <c r="D394" s="3167"/>
      <c r="E394" s="3089"/>
      <c r="F394" s="3090"/>
      <c r="G394" s="3090"/>
      <c r="H394" s="3091"/>
      <c r="I394" s="1497" t="s">
        <v>266</v>
      </c>
      <c r="J394" s="1498"/>
      <c r="K394" s="1498"/>
      <c r="L394" s="1498"/>
      <c r="M394" s="1498"/>
      <c r="N394" s="1498"/>
      <c r="O394" s="1499"/>
      <c r="P394" s="3436"/>
      <c r="Q394" s="3437"/>
      <c r="R394" s="3437"/>
      <c r="S394" s="3438"/>
      <c r="T394" s="3491"/>
      <c r="U394" s="3491"/>
      <c r="V394" s="3491"/>
      <c r="W394" s="3491"/>
      <c r="X394" s="3491"/>
      <c r="Y394" s="520"/>
      <c r="Z394" s="2293"/>
      <c r="AA394" s="520"/>
      <c r="AB394" s="3611"/>
      <c r="AC394" s="520"/>
      <c r="AD394" s="520"/>
      <c r="AE394" s="520"/>
      <c r="AF394" s="2344"/>
      <c r="AG394" s="520"/>
      <c r="AH394" s="520"/>
    </row>
    <row r="395" spans="1:34" ht="15" customHeight="1" x14ac:dyDescent="0.35">
      <c r="A395" s="601"/>
      <c r="B395" s="564"/>
      <c r="C395" s="2185"/>
      <c r="D395" s="3167"/>
      <c r="E395" s="3089"/>
      <c r="F395" s="3090"/>
      <c r="G395" s="3090"/>
      <c r="H395" s="3091"/>
      <c r="I395" s="1497" t="s">
        <v>267</v>
      </c>
      <c r="J395" s="1498"/>
      <c r="K395" s="1498"/>
      <c r="L395" s="1498"/>
      <c r="M395" s="1498"/>
      <c r="N395" s="1498"/>
      <c r="O395" s="1499"/>
      <c r="P395" s="3436"/>
      <c r="Q395" s="3437"/>
      <c r="R395" s="3437"/>
      <c r="S395" s="3438"/>
      <c r="T395" s="3491"/>
      <c r="U395" s="3491"/>
      <c r="V395" s="3491"/>
      <c r="W395" s="3491"/>
      <c r="X395" s="3491"/>
      <c r="Y395" s="520"/>
      <c r="Z395" s="2293"/>
      <c r="AA395" s="520"/>
      <c r="AB395" s="3611"/>
      <c r="AC395" s="520"/>
      <c r="AD395" s="520"/>
      <c r="AE395" s="520"/>
      <c r="AF395" s="2344"/>
      <c r="AG395" s="520"/>
      <c r="AH395" s="520"/>
    </row>
    <row r="396" spans="1:34" ht="15" customHeight="1" x14ac:dyDescent="0.35">
      <c r="A396" s="601"/>
      <c r="B396" s="564"/>
      <c r="C396" s="2185"/>
      <c r="D396" s="3167"/>
      <c r="E396" s="3089"/>
      <c r="F396" s="3090"/>
      <c r="G396" s="3090"/>
      <c r="H396" s="3091"/>
      <c r="I396" s="3455" t="s">
        <v>268</v>
      </c>
      <c r="J396" s="3456"/>
      <c r="K396" s="3456"/>
      <c r="L396" s="3456"/>
      <c r="M396" s="3456"/>
      <c r="N396" s="3456"/>
      <c r="O396" s="3457"/>
      <c r="P396" s="3436"/>
      <c r="Q396" s="3437"/>
      <c r="R396" s="3437"/>
      <c r="S396" s="3438"/>
      <c r="T396" s="3491"/>
      <c r="U396" s="3491"/>
      <c r="V396" s="3491"/>
      <c r="W396" s="3491"/>
      <c r="X396" s="3491"/>
      <c r="Y396" s="520"/>
      <c r="Z396" s="2293"/>
      <c r="AA396" s="520"/>
      <c r="AB396" s="3611"/>
      <c r="AC396" s="520"/>
      <c r="AD396" s="520"/>
      <c r="AE396" s="520"/>
      <c r="AF396" s="2344"/>
      <c r="AG396" s="520"/>
      <c r="AH396" s="520"/>
    </row>
    <row r="397" spans="1:34" ht="15" customHeight="1" x14ac:dyDescent="0.35">
      <c r="A397" s="601"/>
      <c r="B397" s="564"/>
      <c r="C397" s="2185"/>
      <c r="D397" s="3167"/>
      <c r="E397" s="3089"/>
      <c r="F397" s="3090"/>
      <c r="G397" s="3090"/>
      <c r="H397" s="3091"/>
      <c r="I397" s="3455" t="s">
        <v>269</v>
      </c>
      <c r="J397" s="3456"/>
      <c r="K397" s="3456"/>
      <c r="L397" s="3456"/>
      <c r="M397" s="3456"/>
      <c r="N397" s="3456"/>
      <c r="O397" s="3457"/>
      <c r="P397" s="3436"/>
      <c r="Q397" s="3437"/>
      <c r="R397" s="3437"/>
      <c r="S397" s="3438"/>
      <c r="T397" s="3491"/>
      <c r="U397" s="3491"/>
      <c r="V397" s="3491"/>
      <c r="W397" s="3491"/>
      <c r="X397" s="3491"/>
      <c r="Y397" s="520"/>
      <c r="Z397" s="2293"/>
      <c r="AA397" s="520"/>
      <c r="AB397" s="3611"/>
      <c r="AC397" s="520"/>
      <c r="AD397" s="520"/>
      <c r="AE397" s="520"/>
      <c r="AF397" s="2344"/>
      <c r="AG397" s="520"/>
      <c r="AH397" s="520"/>
    </row>
    <row r="398" spans="1:34" s="15" customFormat="1" ht="15" customHeight="1" x14ac:dyDescent="0.35">
      <c r="A398" s="601"/>
      <c r="B398" s="564"/>
      <c r="C398" s="2185"/>
      <c r="D398" s="3167"/>
      <c r="E398" s="3089"/>
      <c r="F398" s="3090"/>
      <c r="G398" s="3090"/>
      <c r="H398" s="3091"/>
      <c r="I398" s="3455"/>
      <c r="J398" s="3456"/>
      <c r="K398" s="3456"/>
      <c r="L398" s="3456"/>
      <c r="M398" s="3456"/>
      <c r="N398" s="3456"/>
      <c r="O398" s="3457"/>
      <c r="P398" s="3436"/>
      <c r="Q398" s="3437"/>
      <c r="R398" s="3437"/>
      <c r="S398" s="3438"/>
      <c r="T398" s="3491"/>
      <c r="U398" s="3491"/>
      <c r="V398" s="3491"/>
      <c r="W398" s="3491"/>
      <c r="X398" s="3491"/>
      <c r="Y398" s="520"/>
      <c r="Z398" s="2293"/>
      <c r="AA398" s="2329"/>
      <c r="AB398" s="3611"/>
      <c r="AC398" s="2329"/>
      <c r="AD398" s="2329"/>
      <c r="AE398" s="2329"/>
      <c r="AF398" s="2347"/>
      <c r="AG398" s="2329"/>
      <c r="AH398" s="2329"/>
    </row>
    <row r="399" spans="1:34" s="15" customFormat="1" ht="15" customHeight="1" x14ac:dyDescent="0.35">
      <c r="A399" s="601"/>
      <c r="B399" s="564"/>
      <c r="C399" s="2185"/>
      <c r="D399" s="3168"/>
      <c r="E399" s="3092"/>
      <c r="F399" s="3093"/>
      <c r="G399" s="3093"/>
      <c r="H399" s="3094"/>
      <c r="I399" s="3455"/>
      <c r="J399" s="3456"/>
      <c r="K399" s="3456"/>
      <c r="L399" s="3456"/>
      <c r="M399" s="3456"/>
      <c r="N399" s="3456"/>
      <c r="O399" s="3457"/>
      <c r="P399" s="3439"/>
      <c r="Q399" s="3440"/>
      <c r="R399" s="3440"/>
      <c r="S399" s="3441"/>
      <c r="T399" s="3491"/>
      <c r="U399" s="3491"/>
      <c r="V399" s="3491"/>
      <c r="W399" s="3491"/>
      <c r="X399" s="3491"/>
      <c r="Y399" s="520"/>
      <c r="Z399" s="2293"/>
      <c r="AA399" s="2329"/>
      <c r="AB399" s="3611"/>
      <c r="AC399" s="2329"/>
      <c r="AD399" s="2329"/>
      <c r="AE399" s="2329"/>
      <c r="AF399" s="2347"/>
      <c r="AG399" s="2329"/>
      <c r="AH399" s="2329"/>
    </row>
    <row r="400" spans="1:34" s="15" customFormat="1" ht="15" customHeight="1" x14ac:dyDescent="0.25">
      <c r="A400" s="2377"/>
      <c r="B400" s="2369"/>
      <c r="C400" s="2378"/>
      <c r="D400" s="3166">
        <v>3</v>
      </c>
      <c r="E400" s="3086" t="s">
        <v>801</v>
      </c>
      <c r="F400" s="3087"/>
      <c r="G400" s="3087"/>
      <c r="H400" s="3088"/>
      <c r="I400" s="3451" t="s">
        <v>307</v>
      </c>
      <c r="J400" s="3429"/>
      <c r="K400" s="3429"/>
      <c r="L400" s="3429"/>
      <c r="M400" s="3429"/>
      <c r="N400" s="3429"/>
      <c r="O400" s="3430"/>
      <c r="P400" s="3433" t="s">
        <v>488</v>
      </c>
      <c r="Q400" s="3434"/>
      <c r="R400" s="3434"/>
      <c r="S400" s="3435"/>
      <c r="T400" s="3490"/>
      <c r="U400" s="3490"/>
      <c r="V400" s="3490"/>
      <c r="W400" s="3490" t="s">
        <v>194</v>
      </c>
      <c r="X400" s="3490"/>
      <c r="Y400" s="2329"/>
      <c r="Z400" s="2293"/>
      <c r="AA400" s="2329"/>
      <c r="AB400" s="3611">
        <v>4</v>
      </c>
      <c r="AC400" s="2329"/>
      <c r="AD400" s="2329"/>
      <c r="AE400" s="2329"/>
      <c r="AF400" s="2347"/>
      <c r="AG400" s="2329"/>
      <c r="AH400" s="2329"/>
    </row>
    <row r="401" spans="1:34" ht="15" customHeight="1" x14ac:dyDescent="0.3">
      <c r="A401" s="2377"/>
      <c r="B401" s="2369"/>
      <c r="C401" s="2378"/>
      <c r="D401" s="3167"/>
      <c r="E401" s="3089"/>
      <c r="F401" s="3090"/>
      <c r="G401" s="3090"/>
      <c r="H401" s="3091"/>
      <c r="I401" s="3467"/>
      <c r="J401" s="3431"/>
      <c r="K401" s="3431"/>
      <c r="L401" s="3431"/>
      <c r="M401" s="3431"/>
      <c r="N401" s="3431"/>
      <c r="O401" s="3432"/>
      <c r="P401" s="3436"/>
      <c r="Q401" s="3437"/>
      <c r="R401" s="3437"/>
      <c r="S401" s="3438"/>
      <c r="T401" s="3491"/>
      <c r="U401" s="3491"/>
      <c r="V401" s="3491"/>
      <c r="W401" s="3491"/>
      <c r="X401" s="3491"/>
      <c r="Y401" s="2329"/>
      <c r="Z401" s="2293"/>
      <c r="AA401" s="520"/>
      <c r="AB401" s="3611"/>
      <c r="AC401" s="520"/>
      <c r="AD401" s="520"/>
      <c r="AE401" s="520"/>
      <c r="AF401" s="2344"/>
      <c r="AG401" s="520"/>
      <c r="AH401" s="520"/>
    </row>
    <row r="402" spans="1:34" ht="15" customHeight="1" x14ac:dyDescent="0.35">
      <c r="A402" s="601"/>
      <c r="B402" s="564"/>
      <c r="C402" s="2185"/>
      <c r="D402" s="3167"/>
      <c r="E402" s="3089"/>
      <c r="F402" s="3090"/>
      <c r="G402" s="3090"/>
      <c r="H402" s="3091"/>
      <c r="I402" s="3467"/>
      <c r="J402" s="3431"/>
      <c r="K402" s="3431"/>
      <c r="L402" s="3431"/>
      <c r="M402" s="3431"/>
      <c r="N402" s="3431"/>
      <c r="O402" s="3432"/>
      <c r="P402" s="3436"/>
      <c r="Q402" s="3437"/>
      <c r="R402" s="3437"/>
      <c r="S402" s="3438"/>
      <c r="T402" s="3491"/>
      <c r="U402" s="3491"/>
      <c r="V402" s="3491"/>
      <c r="W402" s="3491"/>
      <c r="X402" s="3491"/>
      <c r="Y402" s="520"/>
      <c r="Z402" s="2293"/>
      <c r="AA402" s="520"/>
      <c r="AB402" s="3611"/>
      <c r="AC402" s="520"/>
      <c r="AD402" s="520"/>
      <c r="AE402" s="520"/>
      <c r="AF402" s="2344"/>
      <c r="AG402" s="520"/>
      <c r="AH402" s="520"/>
    </row>
    <row r="403" spans="1:34" ht="15" customHeight="1" x14ac:dyDescent="0.35">
      <c r="A403" s="601"/>
      <c r="B403" s="564"/>
      <c r="C403" s="2185"/>
      <c r="D403" s="3167"/>
      <c r="E403" s="3089"/>
      <c r="F403" s="3090"/>
      <c r="G403" s="3090"/>
      <c r="H403" s="3091"/>
      <c r="I403" s="3467"/>
      <c r="J403" s="3431"/>
      <c r="K403" s="3431"/>
      <c r="L403" s="3431"/>
      <c r="M403" s="3431"/>
      <c r="N403" s="3431"/>
      <c r="O403" s="3432"/>
      <c r="P403" s="3436"/>
      <c r="Q403" s="3437"/>
      <c r="R403" s="3437"/>
      <c r="S403" s="3438"/>
      <c r="T403" s="3491"/>
      <c r="U403" s="3491"/>
      <c r="V403" s="3491"/>
      <c r="W403" s="3491"/>
      <c r="X403" s="3491"/>
      <c r="Y403" s="520"/>
      <c r="Z403" s="2293"/>
      <c r="AA403" s="520"/>
      <c r="AB403" s="3611"/>
      <c r="AC403" s="520"/>
      <c r="AD403" s="520"/>
      <c r="AE403" s="520"/>
      <c r="AF403" s="2344"/>
      <c r="AG403" s="520"/>
      <c r="AH403" s="520"/>
    </row>
    <row r="404" spans="1:34" ht="15" customHeight="1" x14ac:dyDescent="0.35">
      <c r="A404" s="601"/>
      <c r="B404" s="564"/>
      <c r="C404" s="2185"/>
      <c r="D404" s="3167"/>
      <c r="E404" s="3089"/>
      <c r="F404" s="3090"/>
      <c r="G404" s="3090"/>
      <c r="H404" s="3091"/>
      <c r="I404" s="3467"/>
      <c r="J404" s="3431"/>
      <c r="K404" s="3431"/>
      <c r="L404" s="3431"/>
      <c r="M404" s="3431"/>
      <c r="N404" s="3431"/>
      <c r="O404" s="3432"/>
      <c r="P404" s="3436"/>
      <c r="Q404" s="3437"/>
      <c r="R404" s="3437"/>
      <c r="S404" s="3438"/>
      <c r="T404" s="3491"/>
      <c r="U404" s="3491"/>
      <c r="V404" s="3491"/>
      <c r="W404" s="3491"/>
      <c r="X404" s="3491"/>
      <c r="Y404" s="520"/>
      <c r="Z404" s="2293"/>
      <c r="AA404" s="520"/>
      <c r="AB404" s="3611"/>
      <c r="AC404" s="520"/>
      <c r="AD404" s="520"/>
      <c r="AE404" s="520"/>
      <c r="AF404" s="2344"/>
      <c r="AG404" s="520"/>
      <c r="AH404" s="520"/>
    </row>
    <row r="405" spans="1:34" ht="15" customHeight="1" x14ac:dyDescent="0.35">
      <c r="A405" s="601"/>
      <c r="B405" s="564"/>
      <c r="C405" s="2185"/>
      <c r="D405" s="3167"/>
      <c r="E405" s="3089"/>
      <c r="F405" s="3090"/>
      <c r="G405" s="3090"/>
      <c r="H405" s="3091"/>
      <c r="I405" s="3467"/>
      <c r="J405" s="3431"/>
      <c r="K405" s="3431"/>
      <c r="L405" s="3431"/>
      <c r="M405" s="3431"/>
      <c r="N405" s="3431"/>
      <c r="O405" s="3432"/>
      <c r="P405" s="3436"/>
      <c r="Q405" s="3437"/>
      <c r="R405" s="3437"/>
      <c r="S405" s="3438"/>
      <c r="T405" s="3491"/>
      <c r="U405" s="3491"/>
      <c r="V405" s="3491"/>
      <c r="W405" s="3491"/>
      <c r="X405" s="3491"/>
      <c r="Y405" s="520"/>
      <c r="Z405" s="2293"/>
      <c r="AA405" s="520"/>
      <c r="AB405" s="3611"/>
      <c r="AC405" s="520"/>
      <c r="AD405" s="520"/>
      <c r="AE405" s="520"/>
      <c r="AF405" s="2344"/>
      <c r="AG405" s="520"/>
      <c r="AH405" s="520"/>
    </row>
    <row r="406" spans="1:34" ht="15" customHeight="1" x14ac:dyDescent="0.35">
      <c r="A406" s="601"/>
      <c r="B406" s="564"/>
      <c r="C406" s="2185"/>
      <c r="D406" s="3168"/>
      <c r="E406" s="3092"/>
      <c r="F406" s="3093"/>
      <c r="G406" s="3093"/>
      <c r="H406" s="3094"/>
      <c r="I406" s="3467"/>
      <c r="J406" s="3431"/>
      <c r="K406" s="3431"/>
      <c r="L406" s="3431"/>
      <c r="M406" s="3431"/>
      <c r="N406" s="3431"/>
      <c r="O406" s="3432"/>
      <c r="P406" s="3439"/>
      <c r="Q406" s="3440"/>
      <c r="R406" s="3440"/>
      <c r="S406" s="3441"/>
      <c r="T406" s="3618"/>
      <c r="U406" s="3618"/>
      <c r="V406" s="3618"/>
      <c r="W406" s="3618"/>
      <c r="X406" s="3618"/>
      <c r="Y406" s="520"/>
      <c r="Z406" s="2293"/>
      <c r="AA406" s="520"/>
      <c r="AB406" s="3611"/>
      <c r="AC406" s="520"/>
      <c r="AD406" s="520"/>
      <c r="AE406" s="520"/>
      <c r="AF406" s="2344"/>
      <c r="AG406" s="520"/>
      <c r="AH406" s="520"/>
    </row>
    <row r="407" spans="1:34" ht="15" customHeight="1" x14ac:dyDescent="0.35">
      <c r="A407" s="601"/>
      <c r="B407" s="564"/>
      <c r="C407" s="2185"/>
      <c r="D407" s="3166">
        <v>4</v>
      </c>
      <c r="E407" s="3086" t="s">
        <v>802</v>
      </c>
      <c r="F407" s="3087"/>
      <c r="G407" s="3087"/>
      <c r="H407" s="3088"/>
      <c r="I407" s="3451" t="s">
        <v>804</v>
      </c>
      <c r="J407" s="3429"/>
      <c r="K407" s="3429"/>
      <c r="L407" s="3429"/>
      <c r="M407" s="3429"/>
      <c r="N407" s="3429"/>
      <c r="O407" s="3430"/>
      <c r="P407" s="3433" t="s">
        <v>1818</v>
      </c>
      <c r="Q407" s="3434"/>
      <c r="R407" s="3434"/>
      <c r="S407" s="3435"/>
      <c r="T407" s="3490"/>
      <c r="U407" s="3490"/>
      <c r="V407" s="3490"/>
      <c r="W407" s="3490" t="s">
        <v>194</v>
      </c>
      <c r="X407" s="3490"/>
      <c r="Y407" s="520"/>
      <c r="Z407" s="2293"/>
      <c r="AA407" s="520"/>
      <c r="AB407" s="3611">
        <v>5</v>
      </c>
      <c r="AC407" s="520"/>
      <c r="AD407" s="520"/>
      <c r="AE407" s="520"/>
      <c r="AF407" s="2344"/>
      <c r="AG407" s="520"/>
      <c r="AH407" s="520"/>
    </row>
    <row r="408" spans="1:34" ht="15" customHeight="1" x14ac:dyDescent="0.35">
      <c r="A408" s="601"/>
      <c r="B408" s="564"/>
      <c r="C408" s="2185"/>
      <c r="D408" s="3167"/>
      <c r="E408" s="3089"/>
      <c r="F408" s="3090"/>
      <c r="G408" s="3090"/>
      <c r="H408" s="3091"/>
      <c r="I408" s="3467"/>
      <c r="J408" s="3431"/>
      <c r="K408" s="3431"/>
      <c r="L408" s="3431"/>
      <c r="M408" s="3431"/>
      <c r="N408" s="3431"/>
      <c r="O408" s="3432"/>
      <c r="P408" s="3436"/>
      <c r="Q408" s="3437"/>
      <c r="R408" s="3437"/>
      <c r="S408" s="3438"/>
      <c r="T408" s="3491"/>
      <c r="U408" s="3491"/>
      <c r="V408" s="3491"/>
      <c r="W408" s="3491"/>
      <c r="X408" s="3491"/>
      <c r="Y408" s="520"/>
      <c r="Z408" s="2293"/>
      <c r="AA408" s="520"/>
      <c r="AB408" s="3611"/>
      <c r="AC408" s="520"/>
      <c r="AD408" s="520"/>
      <c r="AE408" s="520"/>
      <c r="AF408" s="2344"/>
      <c r="AG408" s="520"/>
      <c r="AH408" s="520"/>
    </row>
    <row r="409" spans="1:34" ht="15" customHeight="1" x14ac:dyDescent="0.35">
      <c r="A409" s="601"/>
      <c r="B409" s="564"/>
      <c r="C409" s="2185"/>
      <c r="D409" s="3167"/>
      <c r="E409" s="3089"/>
      <c r="F409" s="3090"/>
      <c r="G409" s="3090"/>
      <c r="H409" s="3091"/>
      <c r="I409" s="3467"/>
      <c r="J409" s="3431"/>
      <c r="K409" s="3431"/>
      <c r="L409" s="3431"/>
      <c r="M409" s="3431"/>
      <c r="N409" s="3431"/>
      <c r="O409" s="3432"/>
      <c r="P409" s="3436"/>
      <c r="Q409" s="3437"/>
      <c r="R409" s="3437"/>
      <c r="S409" s="3438"/>
      <c r="T409" s="3491"/>
      <c r="U409" s="3491"/>
      <c r="V409" s="3491"/>
      <c r="W409" s="3491"/>
      <c r="X409" s="3491"/>
      <c r="Y409" s="520"/>
      <c r="Z409" s="2293"/>
      <c r="AA409" s="520"/>
      <c r="AB409" s="3611"/>
      <c r="AC409" s="520"/>
      <c r="AD409" s="520"/>
      <c r="AE409" s="520"/>
      <c r="AF409" s="2344"/>
      <c r="AG409" s="520"/>
      <c r="AH409" s="520"/>
    </row>
    <row r="410" spans="1:34" ht="15" customHeight="1" x14ac:dyDescent="0.35">
      <c r="A410" s="601"/>
      <c r="B410" s="564"/>
      <c r="C410" s="2185"/>
      <c r="D410" s="3167"/>
      <c r="E410" s="3089"/>
      <c r="F410" s="3090"/>
      <c r="G410" s="3090"/>
      <c r="H410" s="3091"/>
      <c r="I410" s="3467"/>
      <c r="J410" s="3431"/>
      <c r="K410" s="3431"/>
      <c r="L410" s="3431"/>
      <c r="M410" s="3431"/>
      <c r="N410" s="3431"/>
      <c r="O410" s="3432"/>
      <c r="P410" s="3436"/>
      <c r="Q410" s="3437"/>
      <c r="R410" s="3437"/>
      <c r="S410" s="3438"/>
      <c r="T410" s="3491"/>
      <c r="U410" s="3491"/>
      <c r="V410" s="3491"/>
      <c r="W410" s="3491"/>
      <c r="X410" s="3491"/>
      <c r="Y410" s="520"/>
      <c r="Z410" s="2293"/>
      <c r="AA410" s="520"/>
      <c r="AB410" s="3611"/>
      <c r="AC410" s="520"/>
      <c r="AD410" s="520"/>
      <c r="AE410" s="520"/>
      <c r="AF410" s="2344"/>
      <c r="AG410" s="520"/>
      <c r="AH410" s="520"/>
    </row>
    <row r="411" spans="1:34" ht="15" customHeight="1" x14ac:dyDescent="0.35">
      <c r="A411" s="601"/>
      <c r="B411" s="564"/>
      <c r="C411" s="2185"/>
      <c r="D411" s="3167"/>
      <c r="E411" s="3089"/>
      <c r="F411" s="3090"/>
      <c r="G411" s="3090"/>
      <c r="H411" s="3091"/>
      <c r="I411" s="3467"/>
      <c r="J411" s="3431"/>
      <c r="K411" s="3431"/>
      <c r="L411" s="3431"/>
      <c r="M411" s="3431"/>
      <c r="N411" s="3431"/>
      <c r="O411" s="3432"/>
      <c r="P411" s="3436"/>
      <c r="Q411" s="3437"/>
      <c r="R411" s="3437"/>
      <c r="S411" s="3438"/>
      <c r="T411" s="3491"/>
      <c r="U411" s="3491"/>
      <c r="V411" s="3491"/>
      <c r="W411" s="3491"/>
      <c r="X411" s="3491"/>
      <c r="Y411" s="520"/>
      <c r="Z411" s="2293"/>
      <c r="AA411" s="520"/>
      <c r="AB411" s="3611"/>
      <c r="AC411" s="520"/>
      <c r="AD411" s="520"/>
      <c r="AE411" s="520"/>
      <c r="AF411" s="2344"/>
      <c r="AG411" s="520"/>
      <c r="AH411" s="520"/>
    </row>
    <row r="412" spans="1:34" ht="15" customHeight="1" x14ac:dyDescent="0.35">
      <c r="A412" s="601"/>
      <c r="B412" s="564"/>
      <c r="C412" s="2185"/>
      <c r="D412" s="3167"/>
      <c r="E412" s="3089"/>
      <c r="F412" s="3090"/>
      <c r="G412" s="3090"/>
      <c r="H412" s="3091"/>
      <c r="I412" s="3467"/>
      <c r="J412" s="3431"/>
      <c r="K412" s="3431"/>
      <c r="L412" s="3431"/>
      <c r="M412" s="3431"/>
      <c r="N412" s="3431"/>
      <c r="O412" s="3432"/>
      <c r="P412" s="3436"/>
      <c r="Q412" s="3437"/>
      <c r="R412" s="3437"/>
      <c r="S412" s="3438"/>
      <c r="T412" s="3491"/>
      <c r="U412" s="3491"/>
      <c r="V412" s="3491"/>
      <c r="W412" s="3491"/>
      <c r="X412" s="3491"/>
      <c r="Y412" s="520"/>
      <c r="Z412" s="2293"/>
      <c r="AA412" s="520"/>
      <c r="AB412" s="3611"/>
      <c r="AC412" s="520"/>
      <c r="AD412" s="520"/>
      <c r="AE412" s="520"/>
      <c r="AF412" s="2344"/>
      <c r="AG412" s="520"/>
      <c r="AH412" s="520"/>
    </row>
    <row r="413" spans="1:34" ht="15" customHeight="1" x14ac:dyDescent="0.35">
      <c r="A413" s="601"/>
      <c r="B413" s="564"/>
      <c r="C413" s="2185"/>
      <c r="D413" s="3168"/>
      <c r="E413" s="3092"/>
      <c r="F413" s="3093"/>
      <c r="G413" s="3093"/>
      <c r="H413" s="3094"/>
      <c r="I413" s="3468"/>
      <c r="J413" s="3469"/>
      <c r="K413" s="3469"/>
      <c r="L413" s="3469"/>
      <c r="M413" s="3469"/>
      <c r="N413" s="3469"/>
      <c r="O413" s="3470"/>
      <c r="P413" s="3439"/>
      <c r="Q413" s="3440"/>
      <c r="R413" s="3440"/>
      <c r="S413" s="3441"/>
      <c r="T413" s="3618"/>
      <c r="U413" s="3618"/>
      <c r="V413" s="3618"/>
      <c r="W413" s="3618"/>
      <c r="X413" s="3618"/>
      <c r="Y413" s="520"/>
      <c r="Z413" s="2293"/>
      <c r="AA413" s="520"/>
      <c r="AB413" s="3611"/>
      <c r="AC413" s="520"/>
      <c r="AD413" s="520"/>
      <c r="AE413" s="520"/>
      <c r="AF413" s="2344"/>
      <c r="AG413" s="520"/>
      <c r="AH413" s="520"/>
    </row>
    <row r="414" spans="1:34" ht="15" customHeight="1" x14ac:dyDescent="0.35">
      <c r="A414" s="601"/>
      <c r="B414" s="564"/>
      <c r="C414" s="2185"/>
      <c r="D414" s="3166">
        <v>5</v>
      </c>
      <c r="E414" s="3086" t="s">
        <v>803</v>
      </c>
      <c r="F414" s="3087"/>
      <c r="G414" s="3087"/>
      <c r="H414" s="3088"/>
      <c r="I414" s="3429"/>
      <c r="J414" s="3429"/>
      <c r="K414" s="3429"/>
      <c r="L414" s="3429"/>
      <c r="M414" s="3429"/>
      <c r="N414" s="3429"/>
      <c r="O414" s="3430"/>
      <c r="P414" s="3433" t="s">
        <v>1819</v>
      </c>
      <c r="Q414" s="3434"/>
      <c r="R414" s="3434"/>
      <c r="S414" s="3435"/>
      <c r="T414" s="3153"/>
      <c r="U414" s="3153"/>
      <c r="V414" s="3153"/>
      <c r="W414" s="3153"/>
      <c r="X414" s="3153" t="s">
        <v>194</v>
      </c>
      <c r="Y414" s="520"/>
      <c r="Z414" s="2293"/>
      <c r="AA414" s="520"/>
      <c r="AB414" s="3611">
        <v>4</v>
      </c>
      <c r="AC414" s="520"/>
      <c r="AD414" s="520"/>
      <c r="AE414" s="520"/>
      <c r="AF414" s="2344"/>
      <c r="AG414" s="520"/>
      <c r="AH414" s="520"/>
    </row>
    <row r="415" spans="1:34" ht="15" customHeight="1" x14ac:dyDescent="0.35">
      <c r="A415" s="601"/>
      <c r="B415" s="564"/>
      <c r="C415" s="2185"/>
      <c r="D415" s="3167"/>
      <c r="E415" s="3089"/>
      <c r="F415" s="3090"/>
      <c r="G415" s="3090"/>
      <c r="H415" s="3091"/>
      <c r="I415" s="3431"/>
      <c r="J415" s="3431"/>
      <c r="K415" s="3431"/>
      <c r="L415" s="3431"/>
      <c r="M415" s="3431"/>
      <c r="N415" s="3431"/>
      <c r="O415" s="3432"/>
      <c r="P415" s="3436"/>
      <c r="Q415" s="3437"/>
      <c r="R415" s="3437"/>
      <c r="S415" s="3438"/>
      <c r="T415" s="3153"/>
      <c r="U415" s="3153"/>
      <c r="V415" s="3153"/>
      <c r="W415" s="3153"/>
      <c r="X415" s="3153"/>
      <c r="Y415" s="520"/>
      <c r="Z415" s="2293"/>
      <c r="AA415" s="520"/>
      <c r="AB415" s="3611"/>
      <c r="AC415" s="520"/>
      <c r="AD415" s="520"/>
      <c r="AE415" s="520"/>
      <c r="AF415" s="2344"/>
      <c r="AG415" s="520"/>
      <c r="AH415" s="520"/>
    </row>
    <row r="416" spans="1:34" ht="15" customHeight="1" x14ac:dyDescent="0.35">
      <c r="A416" s="601"/>
      <c r="B416" s="564"/>
      <c r="C416" s="2185"/>
      <c r="D416" s="3167"/>
      <c r="E416" s="3089"/>
      <c r="F416" s="3090"/>
      <c r="G416" s="3090"/>
      <c r="H416" s="3091"/>
      <c r="I416" s="3427" t="s">
        <v>352</v>
      </c>
      <c r="J416" s="3427"/>
      <c r="K416" s="3427"/>
      <c r="L416" s="3427"/>
      <c r="M416" s="3427"/>
      <c r="N416" s="3427"/>
      <c r="O416" s="3428"/>
      <c r="P416" s="3436"/>
      <c r="Q416" s="3437"/>
      <c r="R416" s="3437"/>
      <c r="S416" s="3438"/>
      <c r="T416" s="3153"/>
      <c r="U416" s="3153"/>
      <c r="V416" s="3153"/>
      <c r="W416" s="3153"/>
      <c r="X416" s="3153"/>
      <c r="Y416" s="520"/>
      <c r="Z416" s="2293"/>
      <c r="AA416" s="520"/>
      <c r="AB416" s="3611"/>
      <c r="AC416" s="520"/>
      <c r="AD416" s="520"/>
      <c r="AE416" s="520"/>
      <c r="AF416" s="2344"/>
      <c r="AG416" s="520"/>
      <c r="AH416" s="520"/>
    </row>
    <row r="417" spans="1:34" ht="15" customHeight="1" x14ac:dyDescent="0.35">
      <c r="A417" s="601"/>
      <c r="B417" s="564"/>
      <c r="C417" s="2185"/>
      <c r="D417" s="3167"/>
      <c r="E417" s="3089"/>
      <c r="F417" s="3090"/>
      <c r="G417" s="3090"/>
      <c r="H417" s="3091"/>
      <c r="I417" s="3427" t="s">
        <v>353</v>
      </c>
      <c r="J417" s="3427"/>
      <c r="K417" s="3427"/>
      <c r="L417" s="3427"/>
      <c r="M417" s="3427"/>
      <c r="N417" s="3427"/>
      <c r="O417" s="3428"/>
      <c r="P417" s="3436"/>
      <c r="Q417" s="3437"/>
      <c r="R417" s="3437"/>
      <c r="S417" s="3438"/>
      <c r="T417" s="3153"/>
      <c r="U417" s="3153"/>
      <c r="V417" s="3153"/>
      <c r="W417" s="3153"/>
      <c r="X417" s="3153"/>
      <c r="Y417" s="520"/>
      <c r="Z417" s="2293"/>
      <c r="AA417" s="520"/>
      <c r="AB417" s="3611"/>
      <c r="AC417" s="520"/>
      <c r="AD417" s="520"/>
      <c r="AE417" s="520"/>
      <c r="AF417" s="2344"/>
      <c r="AG417" s="520"/>
      <c r="AH417" s="520"/>
    </row>
    <row r="418" spans="1:34" ht="15" customHeight="1" x14ac:dyDescent="0.35">
      <c r="A418" s="601"/>
      <c r="B418" s="564"/>
      <c r="C418" s="2185"/>
      <c r="D418" s="3167"/>
      <c r="E418" s="3089"/>
      <c r="F418" s="3090"/>
      <c r="G418" s="3090"/>
      <c r="H418" s="3091"/>
      <c r="I418" s="3427" t="s">
        <v>354</v>
      </c>
      <c r="J418" s="3427"/>
      <c r="K418" s="3427"/>
      <c r="L418" s="3427"/>
      <c r="M418" s="3427"/>
      <c r="N418" s="3427"/>
      <c r="O418" s="3428"/>
      <c r="P418" s="3436"/>
      <c r="Q418" s="3437"/>
      <c r="R418" s="3437"/>
      <c r="S418" s="3438"/>
      <c r="T418" s="3153"/>
      <c r="U418" s="3153"/>
      <c r="V418" s="3153"/>
      <c r="W418" s="3153"/>
      <c r="X418" s="3153"/>
      <c r="Y418" s="520"/>
      <c r="Z418" s="2293"/>
      <c r="AA418" s="520"/>
      <c r="AB418" s="3611"/>
      <c r="AC418" s="520"/>
      <c r="AD418" s="520"/>
      <c r="AE418" s="520"/>
      <c r="AF418" s="2344"/>
      <c r="AG418" s="520"/>
      <c r="AH418" s="520"/>
    </row>
    <row r="419" spans="1:34" ht="15" customHeight="1" x14ac:dyDescent="0.35">
      <c r="A419" s="601"/>
      <c r="B419" s="564"/>
      <c r="C419" s="2185"/>
      <c r="D419" s="3167"/>
      <c r="E419" s="3089"/>
      <c r="F419" s="3090"/>
      <c r="G419" s="3090"/>
      <c r="H419" s="3091"/>
      <c r="I419" s="3427" t="s">
        <v>355</v>
      </c>
      <c r="J419" s="3427"/>
      <c r="K419" s="3427"/>
      <c r="L419" s="3427"/>
      <c r="M419" s="3427"/>
      <c r="N419" s="3427"/>
      <c r="O419" s="3428"/>
      <c r="P419" s="3436"/>
      <c r="Q419" s="3437"/>
      <c r="R419" s="3437"/>
      <c r="S419" s="3438"/>
      <c r="T419" s="3153"/>
      <c r="U419" s="3153"/>
      <c r="V419" s="3153"/>
      <c r="W419" s="3153"/>
      <c r="X419" s="3153"/>
      <c r="Y419" s="520"/>
      <c r="Z419" s="2293"/>
      <c r="AA419" s="520"/>
      <c r="AB419" s="3611"/>
      <c r="AC419" s="520"/>
      <c r="AD419" s="520"/>
      <c r="AE419" s="520"/>
      <c r="AF419" s="2344"/>
      <c r="AG419" s="520"/>
      <c r="AH419" s="520"/>
    </row>
    <row r="420" spans="1:34" ht="15" customHeight="1" x14ac:dyDescent="0.35">
      <c r="A420" s="601"/>
      <c r="B420" s="564"/>
      <c r="C420" s="2185"/>
      <c r="D420" s="3168"/>
      <c r="E420" s="3092"/>
      <c r="F420" s="3093"/>
      <c r="G420" s="3093"/>
      <c r="H420" s="3094"/>
      <c r="I420" s="3427" t="s">
        <v>356</v>
      </c>
      <c r="J420" s="3427"/>
      <c r="K420" s="3427"/>
      <c r="L420" s="3427"/>
      <c r="M420" s="3427"/>
      <c r="N420" s="3427"/>
      <c r="O420" s="3428"/>
      <c r="P420" s="3439"/>
      <c r="Q420" s="3440"/>
      <c r="R420" s="3440"/>
      <c r="S420" s="3441"/>
      <c r="T420" s="3153"/>
      <c r="U420" s="3153"/>
      <c r="V420" s="3153"/>
      <c r="W420" s="3153"/>
      <c r="X420" s="3153"/>
      <c r="Y420" s="520"/>
      <c r="Z420" s="2293"/>
      <c r="AA420" s="520"/>
      <c r="AB420" s="3611"/>
      <c r="AC420" s="520"/>
      <c r="AD420" s="520"/>
      <c r="AE420" s="520"/>
      <c r="AF420" s="2344"/>
      <c r="AG420" s="520"/>
      <c r="AH420" s="520"/>
    </row>
    <row r="421" spans="1:34" ht="15" customHeight="1" x14ac:dyDescent="0.35">
      <c r="A421" s="601"/>
      <c r="B421" s="564"/>
      <c r="C421" s="2185"/>
      <c r="D421" s="3166">
        <v>6</v>
      </c>
      <c r="E421" s="3086" t="s">
        <v>1588</v>
      </c>
      <c r="F421" s="3087"/>
      <c r="G421" s="3087"/>
      <c r="H421" s="3088"/>
      <c r="I421" s="3451" t="s">
        <v>805</v>
      </c>
      <c r="J421" s="3429"/>
      <c r="K421" s="3429"/>
      <c r="L421" s="3429"/>
      <c r="M421" s="3429"/>
      <c r="N421" s="3429"/>
      <c r="O421" s="3430"/>
      <c r="P421" s="3433" t="s">
        <v>1820</v>
      </c>
      <c r="Q421" s="3434"/>
      <c r="R421" s="3434"/>
      <c r="S421" s="3435"/>
      <c r="T421" s="3153"/>
      <c r="U421" s="3153"/>
      <c r="V421" s="3153"/>
      <c r="W421" s="3153" t="s">
        <v>194</v>
      </c>
      <c r="X421" s="3153"/>
      <c r="Y421" s="520"/>
      <c r="Z421" s="2293"/>
      <c r="AA421" s="520"/>
      <c r="AB421" s="3611">
        <v>3</v>
      </c>
      <c r="AC421" s="520"/>
      <c r="AD421" s="520"/>
      <c r="AE421" s="520"/>
      <c r="AF421" s="2344"/>
      <c r="AG421" s="520"/>
      <c r="AH421" s="520"/>
    </row>
    <row r="422" spans="1:34" ht="15" customHeight="1" x14ac:dyDescent="0.35">
      <c r="A422" s="601"/>
      <c r="B422" s="564"/>
      <c r="C422" s="2185"/>
      <c r="D422" s="3167"/>
      <c r="E422" s="3089"/>
      <c r="F422" s="3090"/>
      <c r="G422" s="3090"/>
      <c r="H422" s="3091"/>
      <c r="I422" s="3467"/>
      <c r="J422" s="3431"/>
      <c r="K422" s="3431"/>
      <c r="L422" s="3431"/>
      <c r="M422" s="3431"/>
      <c r="N422" s="3431"/>
      <c r="O422" s="3432"/>
      <c r="P422" s="3436"/>
      <c r="Q422" s="3437"/>
      <c r="R422" s="3437"/>
      <c r="S422" s="3438"/>
      <c r="T422" s="3153"/>
      <c r="U422" s="3153"/>
      <c r="V422" s="3153"/>
      <c r="W422" s="3153"/>
      <c r="X422" s="3153"/>
      <c r="Y422" s="520"/>
      <c r="Z422" s="2293"/>
      <c r="AA422" s="520"/>
      <c r="AB422" s="3611"/>
      <c r="AC422" s="520"/>
      <c r="AD422" s="520"/>
      <c r="AE422" s="520"/>
      <c r="AF422" s="2344"/>
      <c r="AG422" s="520"/>
      <c r="AH422" s="520"/>
    </row>
    <row r="423" spans="1:34" ht="15" customHeight="1" x14ac:dyDescent="0.35">
      <c r="A423" s="601"/>
      <c r="B423" s="564"/>
      <c r="C423" s="2185"/>
      <c r="D423" s="3167"/>
      <c r="E423" s="3089"/>
      <c r="F423" s="3090"/>
      <c r="G423" s="3090"/>
      <c r="H423" s="3091"/>
      <c r="I423" s="3467"/>
      <c r="J423" s="3431"/>
      <c r="K423" s="3431"/>
      <c r="L423" s="3431"/>
      <c r="M423" s="3431"/>
      <c r="N423" s="3431"/>
      <c r="O423" s="3432"/>
      <c r="P423" s="3436"/>
      <c r="Q423" s="3437"/>
      <c r="R423" s="3437"/>
      <c r="S423" s="3438"/>
      <c r="T423" s="3153"/>
      <c r="U423" s="3153"/>
      <c r="V423" s="3153"/>
      <c r="W423" s="3153"/>
      <c r="X423" s="3153"/>
      <c r="Y423" s="520"/>
      <c r="Z423" s="2293"/>
      <c r="AA423" s="520"/>
      <c r="AB423" s="3611"/>
      <c r="AC423" s="520"/>
      <c r="AD423" s="520"/>
      <c r="AE423" s="520"/>
      <c r="AF423" s="2344"/>
      <c r="AG423" s="520"/>
      <c r="AH423" s="520"/>
    </row>
    <row r="424" spans="1:34" ht="15" customHeight="1" x14ac:dyDescent="0.35">
      <c r="A424" s="601"/>
      <c r="B424" s="564"/>
      <c r="C424" s="2185"/>
      <c r="D424" s="3167"/>
      <c r="E424" s="3089"/>
      <c r="F424" s="3090"/>
      <c r="G424" s="3090"/>
      <c r="H424" s="3091"/>
      <c r="I424" s="3467"/>
      <c r="J424" s="3431"/>
      <c r="K424" s="3431"/>
      <c r="L424" s="3431"/>
      <c r="M424" s="3431"/>
      <c r="N424" s="3431"/>
      <c r="O424" s="3432"/>
      <c r="P424" s="3436"/>
      <c r="Q424" s="3437"/>
      <c r="R424" s="3437"/>
      <c r="S424" s="3438"/>
      <c r="T424" s="3153"/>
      <c r="U424" s="3153"/>
      <c r="V424" s="3153"/>
      <c r="W424" s="3153"/>
      <c r="X424" s="3153"/>
      <c r="Y424" s="520"/>
      <c r="Z424" s="2293"/>
      <c r="AA424" s="520"/>
      <c r="AB424" s="3611"/>
      <c r="AC424" s="520"/>
      <c r="AD424" s="520"/>
      <c r="AE424" s="520"/>
      <c r="AF424" s="2344"/>
      <c r="AG424" s="520"/>
      <c r="AH424" s="520"/>
    </row>
    <row r="425" spans="1:34" ht="15" customHeight="1" x14ac:dyDescent="0.35">
      <c r="A425" s="601"/>
      <c r="B425" s="564"/>
      <c r="C425" s="2185"/>
      <c r="D425" s="3167"/>
      <c r="E425" s="3089"/>
      <c r="F425" s="3090"/>
      <c r="G425" s="3090"/>
      <c r="H425" s="3091"/>
      <c r="I425" s="3467"/>
      <c r="J425" s="3431"/>
      <c r="K425" s="3431"/>
      <c r="L425" s="3431"/>
      <c r="M425" s="3431"/>
      <c r="N425" s="3431"/>
      <c r="O425" s="3432"/>
      <c r="P425" s="3436"/>
      <c r="Q425" s="3437"/>
      <c r="R425" s="3437"/>
      <c r="S425" s="3438"/>
      <c r="T425" s="3153"/>
      <c r="U425" s="3153"/>
      <c r="V425" s="3153"/>
      <c r="W425" s="3153"/>
      <c r="X425" s="3153"/>
      <c r="Y425" s="520"/>
      <c r="Z425" s="2293"/>
      <c r="AA425" s="520"/>
      <c r="AB425" s="3611"/>
      <c r="AC425" s="520"/>
      <c r="AD425" s="520"/>
      <c r="AE425" s="520"/>
      <c r="AF425" s="2344"/>
      <c r="AG425" s="520"/>
      <c r="AH425" s="520"/>
    </row>
    <row r="426" spans="1:34" ht="15" customHeight="1" x14ac:dyDescent="0.35">
      <c r="A426" s="601"/>
      <c r="B426" s="564"/>
      <c r="C426" s="2185"/>
      <c r="D426" s="3167"/>
      <c r="E426" s="3089"/>
      <c r="F426" s="3090"/>
      <c r="G426" s="3090"/>
      <c r="H426" s="3091"/>
      <c r="I426" s="3467"/>
      <c r="J426" s="3431"/>
      <c r="K426" s="3431"/>
      <c r="L426" s="3431"/>
      <c r="M426" s="3431"/>
      <c r="N426" s="3431"/>
      <c r="O426" s="3432"/>
      <c r="P426" s="3436"/>
      <c r="Q426" s="3437"/>
      <c r="R426" s="3437"/>
      <c r="S426" s="3438"/>
      <c r="T426" s="3153"/>
      <c r="U426" s="3153"/>
      <c r="V426" s="3153"/>
      <c r="W426" s="3153"/>
      <c r="X426" s="3153"/>
      <c r="Y426" s="520"/>
      <c r="Z426" s="2293"/>
      <c r="AA426" s="520"/>
      <c r="AB426" s="3611"/>
      <c r="AC426" s="520"/>
      <c r="AD426" s="520"/>
      <c r="AE426" s="520"/>
      <c r="AF426" s="2344"/>
      <c r="AG426" s="520"/>
      <c r="AH426" s="520"/>
    </row>
    <row r="427" spans="1:34" ht="15" customHeight="1" x14ac:dyDescent="0.35">
      <c r="A427" s="601"/>
      <c r="B427" s="564"/>
      <c r="C427" s="2185"/>
      <c r="D427" s="3168"/>
      <c r="E427" s="3092"/>
      <c r="F427" s="3093"/>
      <c r="G427" s="3093"/>
      <c r="H427" s="3094"/>
      <c r="I427" s="3468"/>
      <c r="J427" s="3469"/>
      <c r="K427" s="3469"/>
      <c r="L427" s="3469"/>
      <c r="M427" s="3469"/>
      <c r="N427" s="3469"/>
      <c r="O427" s="3470"/>
      <c r="P427" s="3439"/>
      <c r="Q427" s="3440"/>
      <c r="R427" s="3440"/>
      <c r="S427" s="3441"/>
      <c r="T427" s="3153"/>
      <c r="U427" s="3153"/>
      <c r="V427" s="3153"/>
      <c r="W427" s="3153"/>
      <c r="X427" s="3153"/>
      <c r="Y427" s="520"/>
      <c r="Z427" s="2293"/>
      <c r="AA427" s="520"/>
      <c r="AB427" s="3611"/>
      <c r="AC427" s="520"/>
      <c r="AD427" s="520"/>
      <c r="AE427" s="520"/>
      <c r="AF427" s="2344"/>
      <c r="AG427" s="520"/>
      <c r="AH427" s="520"/>
    </row>
    <row r="428" spans="1:34" ht="29.25" customHeight="1" x14ac:dyDescent="0.35">
      <c r="A428" s="144"/>
      <c r="B428" s="197"/>
      <c r="C428" s="189"/>
      <c r="D428" s="3442" t="s">
        <v>1821</v>
      </c>
      <c r="E428" s="3443"/>
      <c r="F428" s="3443"/>
      <c r="G428" s="3443"/>
      <c r="H428" s="3443"/>
      <c r="I428" s="3443"/>
      <c r="J428" s="3443"/>
      <c r="K428" s="3443"/>
      <c r="L428" s="3443"/>
      <c r="M428" s="3443"/>
      <c r="N428" s="3443"/>
      <c r="O428" s="3444"/>
      <c r="P428" s="3210" t="s">
        <v>184</v>
      </c>
      <c r="Q428" s="3211"/>
      <c r="R428" s="3211"/>
      <c r="S428" s="3223"/>
      <c r="T428" s="1469">
        <f>COUNTIF(AB386:AB427,"1")*T385</f>
        <v>0</v>
      </c>
      <c r="U428" s="1469">
        <f>COUNTIF(AB386:AB427,"2")*U385</f>
        <v>0</v>
      </c>
      <c r="V428" s="1469">
        <f>COUNTIF(AB386:AB427,"3")*V385</f>
        <v>6</v>
      </c>
      <c r="W428" s="1469">
        <f>COUNTIF(AB386:AB427,"4")*W385</f>
        <v>12</v>
      </c>
      <c r="X428" s="1469">
        <f>COUNTIF(AB386:AB427,"5")*X385</f>
        <v>5</v>
      </c>
      <c r="Y428" s="520"/>
      <c r="Z428" s="2293"/>
      <c r="AA428" s="520"/>
      <c r="AC428" s="520"/>
      <c r="AD428" s="520"/>
      <c r="AE428" s="520"/>
      <c r="AF428" s="2344"/>
      <c r="AG428" s="520"/>
      <c r="AH428" s="520"/>
    </row>
    <row r="429" spans="1:34" ht="34.5" customHeight="1" x14ac:dyDescent="0.35">
      <c r="A429" s="144"/>
      <c r="B429" s="197"/>
      <c r="C429" s="189"/>
      <c r="D429" s="3445"/>
      <c r="E429" s="3446"/>
      <c r="F429" s="3446"/>
      <c r="G429" s="3446"/>
      <c r="H429" s="3446"/>
      <c r="I429" s="3446"/>
      <c r="J429" s="3446"/>
      <c r="K429" s="3446"/>
      <c r="L429" s="3446"/>
      <c r="M429" s="3446"/>
      <c r="N429" s="3446"/>
      <c r="O429" s="3447"/>
      <c r="P429" s="3212"/>
      <c r="Q429" s="3213"/>
      <c r="R429" s="3213"/>
      <c r="S429" s="3224"/>
      <c r="T429" s="3240">
        <f>SUM(T428:X428)</f>
        <v>23</v>
      </c>
      <c r="U429" s="3241"/>
      <c r="V429" s="3241"/>
      <c r="W429" s="3241"/>
      <c r="X429" s="3242"/>
      <c r="Y429" s="520"/>
      <c r="Z429" s="2293"/>
      <c r="AA429" s="520"/>
      <c r="AC429" s="520"/>
      <c r="AD429" s="520"/>
      <c r="AE429" s="520"/>
      <c r="AF429" s="2344"/>
      <c r="AG429" s="520"/>
      <c r="AH429" s="520"/>
    </row>
    <row r="430" spans="1:34" ht="92.25" customHeight="1" x14ac:dyDescent="0.35">
      <c r="A430" s="144"/>
      <c r="B430" s="201"/>
      <c r="C430" s="511"/>
      <c r="D430" s="3448"/>
      <c r="E430" s="3449"/>
      <c r="F430" s="3449"/>
      <c r="G430" s="3449"/>
      <c r="H430" s="3449"/>
      <c r="I430" s="3449"/>
      <c r="J430" s="3449"/>
      <c r="K430" s="3449"/>
      <c r="L430" s="3449"/>
      <c r="M430" s="3449"/>
      <c r="N430" s="3449"/>
      <c r="O430" s="3450"/>
      <c r="P430" s="3615" t="s">
        <v>182</v>
      </c>
      <c r="Q430" s="3616"/>
      <c r="R430" s="3616"/>
      <c r="S430" s="3617"/>
      <c r="T430" s="3125">
        <f>SUM(T429:X429)/AF430</f>
        <v>3.8333333333333335</v>
      </c>
      <c r="U430" s="3125"/>
      <c r="V430" s="3612" t="str">
        <f>IF(ROUND(T430,0)=1,"Sangat Tidak Memenuhi Syarat",IF(ROUND(T430,0)=2,"Kurang Memenuhi Syarat",IF(ROUND(T430,0)=3,"Cukup Memenuhi Syarat",IF(ROUND(T430,0)=4,"Memenuhi Syarat",IF(ROUND(T430,0)=5,"Sangat Memenuhi Syarat")))))</f>
        <v>Memenuhi Syarat</v>
      </c>
      <c r="W430" s="3613"/>
      <c r="X430" s="3614"/>
      <c r="Y430" s="520"/>
      <c r="Z430" s="2293"/>
      <c r="AA430" s="520"/>
      <c r="AC430" s="520"/>
      <c r="AD430" s="520"/>
      <c r="AE430" s="520"/>
      <c r="AF430" s="2345">
        <f>COUNTIF(AB386:AB427,"&gt;0")</f>
        <v>6</v>
      </c>
      <c r="AG430" s="520"/>
      <c r="AH430" s="520"/>
    </row>
    <row r="431" spans="1:34" ht="15" customHeight="1" x14ac:dyDescent="0.35">
      <c r="A431" s="601"/>
      <c r="B431" s="568"/>
      <c r="C431" s="2379"/>
      <c r="D431" s="569"/>
      <c r="E431" s="569"/>
      <c r="F431" s="1507"/>
      <c r="G431" s="1507"/>
      <c r="H431" s="1507"/>
      <c r="I431" s="1500"/>
      <c r="J431" s="1500"/>
      <c r="K431" s="1500"/>
      <c r="L431" s="1500"/>
      <c r="M431" s="1500"/>
      <c r="N431" s="1500"/>
      <c r="O431" s="1500"/>
      <c r="P431" s="1530"/>
      <c r="Q431" s="1530"/>
      <c r="R431" s="569"/>
      <c r="S431" s="569"/>
      <c r="T431" s="2372"/>
      <c r="U431" s="2372"/>
      <c r="V431" s="2372"/>
      <c r="W431" s="2372"/>
      <c r="X431" s="2372"/>
      <c r="Y431" s="520"/>
      <c r="Z431" s="2293"/>
      <c r="AA431" s="520"/>
      <c r="AC431" s="520"/>
      <c r="AD431" s="520"/>
      <c r="AE431" s="520"/>
      <c r="AF431" s="2344"/>
      <c r="AG431" s="520"/>
      <c r="AH431" s="520"/>
    </row>
    <row r="432" spans="1:34" ht="24" customHeight="1" x14ac:dyDescent="0.35">
      <c r="A432" s="601"/>
      <c r="B432" s="2366"/>
      <c r="C432" s="2185"/>
      <c r="D432" s="601"/>
      <c r="E432" s="601"/>
      <c r="F432" s="1509"/>
      <c r="G432" s="1509"/>
      <c r="H432" s="1509"/>
      <c r="I432" s="1509"/>
      <c r="J432" s="1509"/>
      <c r="K432" s="1509" t="s">
        <v>298</v>
      </c>
      <c r="L432" s="1509"/>
      <c r="M432" s="1509"/>
      <c r="N432" s="1509"/>
      <c r="O432" s="1509"/>
      <c r="P432" s="601"/>
      <c r="Q432" s="601"/>
      <c r="R432" s="601"/>
      <c r="S432" s="601"/>
      <c r="T432" s="1536"/>
      <c r="U432" s="1477"/>
      <c r="V432" s="1477"/>
      <c r="W432" s="1477"/>
      <c r="X432" s="1477"/>
      <c r="Y432" s="520"/>
      <c r="Z432" s="2293"/>
      <c r="AA432" s="520"/>
      <c r="AC432" s="520"/>
      <c r="AD432" s="520"/>
      <c r="AE432" s="520"/>
      <c r="AF432" s="2344"/>
      <c r="AG432" s="520"/>
      <c r="AH432" s="520"/>
    </row>
    <row r="433" spans="1:34" ht="15" customHeight="1" x14ac:dyDescent="0.35">
      <c r="A433" s="601"/>
      <c r="B433" s="2366"/>
      <c r="C433" s="2185"/>
      <c r="D433" s="601"/>
      <c r="E433" s="601"/>
      <c r="F433" s="1509"/>
      <c r="G433" s="1509"/>
      <c r="H433" s="1509"/>
      <c r="I433" s="1509"/>
      <c r="J433" s="1509"/>
      <c r="K433" s="1509"/>
      <c r="L433" s="1509"/>
      <c r="M433" s="1509"/>
      <c r="N433" s="1509"/>
      <c r="O433" s="1509"/>
      <c r="P433" s="601"/>
      <c r="Q433" s="601"/>
      <c r="R433" s="601"/>
      <c r="S433" s="601"/>
      <c r="T433" s="1459"/>
      <c r="U433" s="1477"/>
      <c r="V433" s="1477"/>
      <c r="W433" s="1477"/>
      <c r="X433" s="1477"/>
      <c r="Y433" s="520"/>
      <c r="Z433" s="2293"/>
      <c r="AA433" s="520"/>
      <c r="AC433" s="520"/>
      <c r="AD433" s="520"/>
      <c r="AE433" s="520"/>
      <c r="AF433" s="2344"/>
      <c r="AG433" s="520"/>
      <c r="AH433" s="520"/>
    </row>
    <row r="434" spans="1:34" ht="17.25" x14ac:dyDescent="0.35">
      <c r="A434" s="601"/>
      <c r="B434" s="2370"/>
      <c r="C434" s="3507" t="s">
        <v>1584</v>
      </c>
      <c r="D434" s="3507"/>
      <c r="E434" s="3507"/>
      <c r="F434" s="3507"/>
      <c r="G434" s="3507"/>
      <c r="H434" s="3507"/>
      <c r="I434" s="3507"/>
      <c r="J434" s="3507"/>
      <c r="K434" s="3507"/>
      <c r="L434" s="3507"/>
      <c r="M434" s="3507"/>
      <c r="N434" s="3507"/>
      <c r="O434" s="3507"/>
      <c r="P434" s="3507"/>
      <c r="Q434" s="3507"/>
      <c r="R434" s="3508"/>
      <c r="S434" s="2380"/>
      <c r="T434" s="1536"/>
      <c r="U434" s="1536"/>
      <c r="V434" s="1536"/>
      <c r="W434" s="1536"/>
      <c r="X434" s="2381"/>
      <c r="Y434" s="520"/>
      <c r="Z434" s="2293"/>
      <c r="AA434" s="520"/>
      <c r="AC434" s="520"/>
      <c r="AD434" s="520"/>
      <c r="AE434" s="520"/>
      <c r="AF434" s="2344"/>
      <c r="AG434" s="520"/>
      <c r="AH434" s="520"/>
    </row>
    <row r="435" spans="1:34" ht="15" customHeight="1" x14ac:dyDescent="0.35">
      <c r="A435" s="601"/>
      <c r="B435" s="564"/>
      <c r="C435" s="2164" t="s">
        <v>373</v>
      </c>
      <c r="D435" s="600" t="s">
        <v>102</v>
      </c>
      <c r="E435" s="600"/>
      <c r="F435" s="601"/>
      <c r="G435" s="601"/>
      <c r="H435" s="601"/>
      <c r="I435" s="601"/>
      <c r="J435" s="601"/>
      <c r="K435" s="601"/>
      <c r="L435" s="601"/>
      <c r="M435" s="601"/>
      <c r="N435" s="601"/>
      <c r="O435" s="601"/>
      <c r="P435" s="601"/>
      <c r="Q435" s="601"/>
      <c r="R435" s="2198"/>
      <c r="S435" s="601"/>
      <c r="T435" s="3067" t="s">
        <v>181</v>
      </c>
      <c r="U435" s="2999"/>
      <c r="V435" s="2999"/>
      <c r="W435" s="2999"/>
      <c r="X435" s="3000"/>
      <c r="Y435" s="520"/>
      <c r="Z435" s="2293"/>
      <c r="AA435" s="520"/>
      <c r="AC435" s="520"/>
      <c r="AD435" s="520"/>
      <c r="AE435" s="520"/>
      <c r="AF435" s="2344"/>
      <c r="AG435" s="520"/>
      <c r="AH435" s="520"/>
    </row>
    <row r="436" spans="1:34" ht="27.2" customHeight="1" x14ac:dyDescent="0.35">
      <c r="A436" s="601"/>
      <c r="B436" s="564"/>
      <c r="C436" s="2185"/>
      <c r="D436" s="1453" t="s">
        <v>103</v>
      </c>
      <c r="E436" s="2992" t="s">
        <v>104</v>
      </c>
      <c r="F436" s="2992"/>
      <c r="G436" s="2992"/>
      <c r="H436" s="2992"/>
      <c r="I436" s="2992" t="s">
        <v>106</v>
      </c>
      <c r="J436" s="2992"/>
      <c r="K436" s="2992"/>
      <c r="L436" s="2992"/>
      <c r="M436" s="2992"/>
      <c r="N436" s="2992"/>
      <c r="O436" s="2992"/>
      <c r="P436" s="3082" t="s">
        <v>40</v>
      </c>
      <c r="Q436" s="3083"/>
      <c r="R436" s="3083"/>
      <c r="S436" s="3084"/>
      <c r="T436" s="1456">
        <v>1</v>
      </c>
      <c r="U436" s="1456">
        <v>2</v>
      </c>
      <c r="V436" s="1456">
        <v>3</v>
      </c>
      <c r="W436" s="1456">
        <v>4</v>
      </c>
      <c r="X436" s="1456">
        <v>5</v>
      </c>
      <c r="Y436" s="520"/>
      <c r="Z436" s="2293"/>
      <c r="AA436" s="520"/>
      <c r="AC436" s="520"/>
      <c r="AD436" s="520"/>
      <c r="AE436" s="520"/>
      <c r="AF436" s="2344"/>
      <c r="AG436" s="520"/>
      <c r="AH436" s="520"/>
    </row>
    <row r="437" spans="1:34" ht="15.75" customHeight="1" x14ac:dyDescent="0.35">
      <c r="A437" s="601"/>
      <c r="B437" s="564"/>
      <c r="C437" s="2185"/>
      <c r="D437" s="3166">
        <v>1</v>
      </c>
      <c r="E437" s="3516" t="s">
        <v>107</v>
      </c>
      <c r="F437" s="3517"/>
      <c r="G437" s="3517"/>
      <c r="H437" s="3518"/>
      <c r="I437" s="3086" t="s">
        <v>357</v>
      </c>
      <c r="J437" s="3087"/>
      <c r="K437" s="3087"/>
      <c r="L437" s="3087"/>
      <c r="M437" s="3087"/>
      <c r="N437" s="3087"/>
      <c r="O437" s="3088"/>
      <c r="P437" s="3706" t="s">
        <v>308</v>
      </c>
      <c r="Q437" s="3707"/>
      <c r="R437" s="3707"/>
      <c r="S437" s="3708"/>
      <c r="T437" s="3472"/>
      <c r="U437" s="3472"/>
      <c r="V437" s="3472"/>
      <c r="W437" s="3472"/>
      <c r="X437" s="2980"/>
      <c r="Y437" s="520"/>
      <c r="Z437" s="2293"/>
      <c r="AA437" s="520"/>
      <c r="AB437" s="3611">
        <v>4</v>
      </c>
      <c r="AC437" s="520"/>
      <c r="AD437" s="520"/>
      <c r="AE437" s="520"/>
      <c r="AF437" s="2344"/>
      <c r="AG437" s="520"/>
      <c r="AH437" s="520"/>
    </row>
    <row r="438" spans="1:34" ht="15.75" customHeight="1" x14ac:dyDescent="0.35">
      <c r="A438" s="601"/>
      <c r="B438" s="564"/>
      <c r="C438" s="2185"/>
      <c r="D438" s="3167"/>
      <c r="E438" s="3519"/>
      <c r="F438" s="3520"/>
      <c r="G438" s="3520"/>
      <c r="H438" s="3521"/>
      <c r="I438" s="3089"/>
      <c r="J438" s="3090"/>
      <c r="K438" s="3090"/>
      <c r="L438" s="3090"/>
      <c r="M438" s="3090"/>
      <c r="N438" s="3090"/>
      <c r="O438" s="3091"/>
      <c r="P438" s="3709"/>
      <c r="Q438" s="3710"/>
      <c r="R438" s="3710"/>
      <c r="S438" s="3711"/>
      <c r="T438" s="3475"/>
      <c r="U438" s="3475"/>
      <c r="V438" s="3475"/>
      <c r="W438" s="3475"/>
      <c r="X438" s="3588"/>
      <c r="Y438" s="520"/>
      <c r="Z438" s="2293"/>
      <c r="AA438" s="520"/>
      <c r="AB438" s="3611"/>
      <c r="AC438" s="520"/>
      <c r="AD438" s="520"/>
      <c r="AE438" s="520"/>
      <c r="AF438" s="2344"/>
      <c r="AG438" s="520"/>
      <c r="AH438" s="520"/>
    </row>
    <row r="439" spans="1:34" ht="15.75" customHeight="1" x14ac:dyDescent="0.35">
      <c r="A439" s="601"/>
      <c r="B439" s="564"/>
      <c r="C439" s="2185"/>
      <c r="D439" s="3167"/>
      <c r="E439" s="3519"/>
      <c r="F439" s="3520"/>
      <c r="G439" s="3520"/>
      <c r="H439" s="3521"/>
      <c r="I439" s="3089"/>
      <c r="J439" s="3090"/>
      <c r="K439" s="3090"/>
      <c r="L439" s="3090"/>
      <c r="M439" s="3090"/>
      <c r="N439" s="3090"/>
      <c r="O439" s="3091"/>
      <c r="P439" s="3709"/>
      <c r="Q439" s="3710"/>
      <c r="R439" s="3710"/>
      <c r="S439" s="3711"/>
      <c r="T439" s="3475"/>
      <c r="U439" s="3475"/>
      <c r="V439" s="3475"/>
      <c r="W439" s="3475"/>
      <c r="X439" s="3588"/>
      <c r="Y439" s="520"/>
      <c r="Z439" s="2293"/>
      <c r="AA439" s="520"/>
      <c r="AB439" s="3611"/>
      <c r="AC439" s="520"/>
      <c r="AD439" s="520"/>
      <c r="AE439" s="520"/>
      <c r="AF439" s="2344"/>
      <c r="AG439" s="520"/>
      <c r="AH439" s="520"/>
    </row>
    <row r="440" spans="1:34" ht="15.75" customHeight="1" x14ac:dyDescent="0.35">
      <c r="A440" s="601"/>
      <c r="B440" s="564"/>
      <c r="C440" s="2185"/>
      <c r="D440" s="3167"/>
      <c r="E440" s="3519"/>
      <c r="F440" s="3520"/>
      <c r="G440" s="3520"/>
      <c r="H440" s="3521"/>
      <c r="I440" s="3089"/>
      <c r="J440" s="3090"/>
      <c r="K440" s="3090"/>
      <c r="L440" s="3090"/>
      <c r="M440" s="3090"/>
      <c r="N440" s="3090"/>
      <c r="O440" s="3091"/>
      <c r="P440" s="3709"/>
      <c r="Q440" s="3710"/>
      <c r="R440" s="3710"/>
      <c r="S440" s="3711"/>
      <c r="T440" s="3475"/>
      <c r="U440" s="3475"/>
      <c r="V440" s="3475"/>
      <c r="W440" s="3475"/>
      <c r="X440" s="3588"/>
      <c r="Y440" s="520"/>
      <c r="Z440" s="2293"/>
      <c r="AA440" s="520"/>
      <c r="AB440" s="3611"/>
      <c r="AC440" s="520"/>
      <c r="AD440" s="520"/>
      <c r="AE440" s="520"/>
      <c r="AF440" s="2344"/>
      <c r="AG440" s="520"/>
      <c r="AH440" s="520"/>
    </row>
    <row r="441" spans="1:34" ht="15.75" customHeight="1" x14ac:dyDescent="0.35">
      <c r="A441" s="601"/>
      <c r="B441" s="564"/>
      <c r="C441" s="2185"/>
      <c r="D441" s="3167"/>
      <c r="E441" s="3519"/>
      <c r="F441" s="3520"/>
      <c r="G441" s="3520"/>
      <c r="H441" s="3521"/>
      <c r="I441" s="3089"/>
      <c r="J441" s="3090"/>
      <c r="K441" s="3090"/>
      <c r="L441" s="3090"/>
      <c r="M441" s="3090"/>
      <c r="N441" s="3090"/>
      <c r="O441" s="3091"/>
      <c r="P441" s="3709"/>
      <c r="Q441" s="3710"/>
      <c r="R441" s="3710"/>
      <c r="S441" s="3711"/>
      <c r="T441" s="3475"/>
      <c r="U441" s="3475"/>
      <c r="V441" s="3475"/>
      <c r="W441" s="3475"/>
      <c r="X441" s="3588"/>
      <c r="Y441" s="520"/>
      <c r="Z441" s="2293"/>
      <c r="AA441" s="520"/>
      <c r="AB441" s="3611"/>
      <c r="AC441" s="520"/>
      <c r="AD441" s="520"/>
      <c r="AE441" s="520"/>
      <c r="AF441" s="2344"/>
      <c r="AG441" s="520"/>
      <c r="AH441" s="520"/>
    </row>
    <row r="442" spans="1:34" ht="15.75" customHeight="1" x14ac:dyDescent="0.35">
      <c r="A442" s="601"/>
      <c r="B442" s="564"/>
      <c r="C442" s="2185"/>
      <c r="D442" s="3167"/>
      <c r="E442" s="3519"/>
      <c r="F442" s="3520"/>
      <c r="G442" s="3520"/>
      <c r="H442" s="3521"/>
      <c r="I442" s="3089"/>
      <c r="J442" s="3090"/>
      <c r="K442" s="3090"/>
      <c r="L442" s="3090"/>
      <c r="M442" s="3090"/>
      <c r="N442" s="3090"/>
      <c r="O442" s="3091"/>
      <c r="P442" s="3709"/>
      <c r="Q442" s="3710"/>
      <c r="R442" s="3710"/>
      <c r="S442" s="3711"/>
      <c r="T442" s="3475"/>
      <c r="U442" s="3475"/>
      <c r="V442" s="3475"/>
      <c r="W442" s="3475"/>
      <c r="X442" s="3588"/>
      <c r="Y442" s="520"/>
      <c r="Z442" s="2293"/>
      <c r="AA442" s="520"/>
      <c r="AB442" s="3611"/>
      <c r="AC442" s="520"/>
      <c r="AD442" s="520"/>
      <c r="AE442" s="520"/>
      <c r="AF442" s="2344"/>
      <c r="AG442" s="520"/>
      <c r="AH442" s="520"/>
    </row>
    <row r="443" spans="1:34" ht="15.75" customHeight="1" x14ac:dyDescent="0.35">
      <c r="A443" s="601"/>
      <c r="B443" s="564"/>
      <c r="C443" s="2185"/>
      <c r="D443" s="3167"/>
      <c r="E443" s="3522"/>
      <c r="F443" s="3523"/>
      <c r="G443" s="3523"/>
      <c r="H443" s="3524"/>
      <c r="I443" s="3092"/>
      <c r="J443" s="3093"/>
      <c r="K443" s="3093"/>
      <c r="L443" s="3093"/>
      <c r="M443" s="3093"/>
      <c r="N443" s="3093"/>
      <c r="O443" s="3094"/>
      <c r="P443" s="3712"/>
      <c r="Q443" s="3713"/>
      <c r="R443" s="3713"/>
      <c r="S443" s="3714"/>
      <c r="T443" s="3475"/>
      <c r="U443" s="3475"/>
      <c r="V443" s="3475"/>
      <c r="W443" s="3475"/>
      <c r="X443" s="3588"/>
      <c r="Y443" s="520"/>
      <c r="Z443" s="2293"/>
      <c r="AA443" s="520"/>
      <c r="AB443" s="3611"/>
      <c r="AC443" s="520"/>
      <c r="AD443" s="520"/>
      <c r="AE443" s="520"/>
      <c r="AF443" s="2344"/>
      <c r="AG443" s="520"/>
      <c r="AH443" s="520"/>
    </row>
    <row r="444" spans="1:34" ht="15.75" customHeight="1" x14ac:dyDescent="0.35">
      <c r="A444" s="601"/>
      <c r="B444" s="564"/>
      <c r="C444" s="2185"/>
      <c r="D444" s="3166">
        <v>2</v>
      </c>
      <c r="E444" s="3516" t="s">
        <v>108</v>
      </c>
      <c r="F444" s="3517"/>
      <c r="G444" s="3517"/>
      <c r="H444" s="3518"/>
      <c r="I444" s="3458" t="s">
        <v>378</v>
      </c>
      <c r="J444" s="3459"/>
      <c r="K444" s="3459"/>
      <c r="L444" s="3459"/>
      <c r="M444" s="3459"/>
      <c r="N444" s="3459"/>
      <c r="O444" s="3460"/>
      <c r="P444" s="3706" t="s">
        <v>1822</v>
      </c>
      <c r="Q444" s="3707"/>
      <c r="R444" s="3707"/>
      <c r="S444" s="3708"/>
      <c r="T444" s="3472"/>
      <c r="U444" s="3472"/>
      <c r="V444" s="3472"/>
      <c r="W444" s="3472"/>
      <c r="X444" s="2980"/>
      <c r="Y444" s="520"/>
      <c r="Z444" s="2293"/>
      <c r="AA444" s="520"/>
      <c r="AB444" s="3611">
        <v>4</v>
      </c>
      <c r="AC444" s="520"/>
      <c r="AD444" s="520"/>
      <c r="AE444" s="520"/>
      <c r="AF444" s="2344"/>
      <c r="AG444" s="520"/>
      <c r="AH444" s="520"/>
    </row>
    <row r="445" spans="1:34" ht="15.75" customHeight="1" x14ac:dyDescent="0.35">
      <c r="A445" s="601"/>
      <c r="B445" s="564"/>
      <c r="C445" s="2185"/>
      <c r="D445" s="3167"/>
      <c r="E445" s="3519"/>
      <c r="F445" s="3520"/>
      <c r="G445" s="3520"/>
      <c r="H445" s="3521"/>
      <c r="I445" s="3461"/>
      <c r="J445" s="3462"/>
      <c r="K445" s="3462"/>
      <c r="L445" s="3462"/>
      <c r="M445" s="3462"/>
      <c r="N445" s="3462"/>
      <c r="O445" s="3463"/>
      <c r="P445" s="3709"/>
      <c r="Q445" s="3710"/>
      <c r="R445" s="3710"/>
      <c r="S445" s="3711"/>
      <c r="T445" s="3475"/>
      <c r="U445" s="3475"/>
      <c r="V445" s="3475"/>
      <c r="W445" s="3475"/>
      <c r="X445" s="3588"/>
      <c r="Y445" s="520"/>
      <c r="Z445" s="2293"/>
      <c r="AA445" s="520"/>
      <c r="AB445" s="3611"/>
      <c r="AC445" s="520"/>
      <c r="AD445" s="520"/>
      <c r="AE445" s="520"/>
      <c r="AF445" s="2344"/>
      <c r="AG445" s="520"/>
      <c r="AH445" s="520"/>
    </row>
    <row r="446" spans="1:34" ht="15.75" customHeight="1" x14ac:dyDescent="0.35">
      <c r="A446" s="601"/>
      <c r="B446" s="564"/>
      <c r="C446" s="2185"/>
      <c r="D446" s="3167"/>
      <c r="E446" s="3519"/>
      <c r="F446" s="3520"/>
      <c r="G446" s="3520"/>
      <c r="H446" s="3521"/>
      <c r="I446" s="3461"/>
      <c r="J446" s="3462"/>
      <c r="K446" s="3462"/>
      <c r="L446" s="3462"/>
      <c r="M446" s="3462"/>
      <c r="N446" s="3462"/>
      <c r="O446" s="3463"/>
      <c r="P446" s="3709"/>
      <c r="Q446" s="3710"/>
      <c r="R446" s="3710"/>
      <c r="S446" s="3711"/>
      <c r="T446" s="3475"/>
      <c r="U446" s="3475"/>
      <c r="V446" s="3475"/>
      <c r="W446" s="3475"/>
      <c r="X446" s="3588"/>
      <c r="Y446" s="520"/>
      <c r="Z446" s="2293"/>
      <c r="AA446" s="520"/>
      <c r="AB446" s="3611"/>
      <c r="AC446" s="520"/>
      <c r="AD446" s="520"/>
      <c r="AE446" s="520"/>
      <c r="AF446" s="2344"/>
      <c r="AG446" s="520"/>
      <c r="AH446" s="520"/>
    </row>
    <row r="447" spans="1:34" ht="15.75" customHeight="1" x14ac:dyDescent="0.35">
      <c r="A447" s="601"/>
      <c r="B447" s="564"/>
      <c r="C447" s="2185"/>
      <c r="D447" s="3167"/>
      <c r="E447" s="3519"/>
      <c r="F447" s="3520"/>
      <c r="G447" s="3520"/>
      <c r="H447" s="3521"/>
      <c r="I447" s="3461"/>
      <c r="J447" s="3462"/>
      <c r="K447" s="3462"/>
      <c r="L447" s="3462"/>
      <c r="M447" s="3462"/>
      <c r="N447" s="3462"/>
      <c r="O447" s="3463"/>
      <c r="P447" s="3709"/>
      <c r="Q447" s="3710"/>
      <c r="R447" s="3710"/>
      <c r="S447" s="3711"/>
      <c r="T447" s="3475"/>
      <c r="U447" s="3475"/>
      <c r="V447" s="3475"/>
      <c r="W447" s="3475"/>
      <c r="X447" s="3588"/>
      <c r="Y447" s="520"/>
      <c r="Z447" s="2293"/>
      <c r="AA447" s="520"/>
      <c r="AB447" s="3611"/>
      <c r="AC447" s="520"/>
      <c r="AD447" s="520"/>
      <c r="AE447" s="520"/>
      <c r="AF447" s="2344"/>
      <c r="AG447" s="520"/>
      <c r="AH447" s="520"/>
    </row>
    <row r="448" spans="1:34" ht="15.75" customHeight="1" x14ac:dyDescent="0.35">
      <c r="A448" s="601"/>
      <c r="B448" s="564"/>
      <c r="C448" s="2185"/>
      <c r="D448" s="3167"/>
      <c r="E448" s="3519"/>
      <c r="F448" s="3520"/>
      <c r="G448" s="3520"/>
      <c r="H448" s="3521"/>
      <c r="I448" s="3461"/>
      <c r="J448" s="3462"/>
      <c r="K448" s="3462"/>
      <c r="L448" s="3462"/>
      <c r="M448" s="3462"/>
      <c r="N448" s="3462"/>
      <c r="O448" s="3463"/>
      <c r="P448" s="3709"/>
      <c r="Q448" s="3710"/>
      <c r="R448" s="3710"/>
      <c r="S448" s="3711"/>
      <c r="T448" s="3475"/>
      <c r="U448" s="3475"/>
      <c r="V448" s="3475"/>
      <c r="W448" s="3475"/>
      <c r="X448" s="3588"/>
      <c r="Y448" s="520"/>
      <c r="Z448" s="2293"/>
      <c r="AA448" s="520"/>
      <c r="AB448" s="3611"/>
      <c r="AC448" s="520"/>
      <c r="AD448" s="520"/>
      <c r="AE448" s="520"/>
      <c r="AF448" s="2344"/>
      <c r="AG448" s="520"/>
      <c r="AH448" s="520"/>
    </row>
    <row r="449" spans="1:34" ht="15.75" customHeight="1" x14ac:dyDescent="0.35">
      <c r="A449" s="601"/>
      <c r="B449" s="564"/>
      <c r="C449" s="2185"/>
      <c r="D449" s="3167"/>
      <c r="E449" s="3519"/>
      <c r="F449" s="3520"/>
      <c r="G449" s="3520"/>
      <c r="H449" s="3521"/>
      <c r="I449" s="3461"/>
      <c r="J449" s="3462"/>
      <c r="K449" s="3462"/>
      <c r="L449" s="3462"/>
      <c r="M449" s="3462"/>
      <c r="N449" s="3462"/>
      <c r="O449" s="3463"/>
      <c r="P449" s="3709"/>
      <c r="Q449" s="3710"/>
      <c r="R449" s="3710"/>
      <c r="S449" s="3711"/>
      <c r="T449" s="3475"/>
      <c r="U449" s="3475"/>
      <c r="V449" s="3475"/>
      <c r="W449" s="3475"/>
      <c r="X449" s="3588"/>
      <c r="Y449" s="520"/>
      <c r="Z449" s="2293"/>
      <c r="AA449" s="520"/>
      <c r="AB449" s="3611"/>
      <c r="AC449" s="520"/>
      <c r="AD449" s="520"/>
      <c r="AE449" s="520"/>
      <c r="AF449" s="2344"/>
      <c r="AG449" s="520"/>
      <c r="AH449" s="520"/>
    </row>
    <row r="450" spans="1:34" ht="15.75" customHeight="1" x14ac:dyDescent="0.35">
      <c r="A450" s="601"/>
      <c r="B450" s="564"/>
      <c r="C450" s="2185"/>
      <c r="D450" s="3167"/>
      <c r="E450" s="3522"/>
      <c r="F450" s="3523"/>
      <c r="G450" s="3523"/>
      <c r="H450" s="3524"/>
      <c r="I450" s="3464"/>
      <c r="J450" s="3465"/>
      <c r="K450" s="3465"/>
      <c r="L450" s="3465"/>
      <c r="M450" s="3465"/>
      <c r="N450" s="3465"/>
      <c r="O450" s="3466"/>
      <c r="P450" s="3712"/>
      <c r="Q450" s="3713"/>
      <c r="R450" s="3713"/>
      <c r="S450" s="3714"/>
      <c r="T450" s="3475"/>
      <c r="U450" s="3475"/>
      <c r="V450" s="3475"/>
      <c r="W450" s="3475"/>
      <c r="X450" s="3588"/>
      <c r="Y450" s="520"/>
      <c r="Z450" s="2293"/>
      <c r="AA450" s="520"/>
      <c r="AB450" s="3611"/>
      <c r="AC450" s="520"/>
      <c r="AD450" s="520"/>
      <c r="AE450" s="520"/>
      <c r="AF450" s="2344"/>
      <c r="AG450" s="520"/>
      <c r="AH450" s="520"/>
    </row>
    <row r="451" spans="1:34" ht="85.5" customHeight="1" x14ac:dyDescent="0.35">
      <c r="A451" s="601"/>
      <c r="B451" s="564"/>
      <c r="C451" s="2185"/>
      <c r="D451" s="1475">
        <v>3</v>
      </c>
      <c r="E451" s="3001" t="s">
        <v>109</v>
      </c>
      <c r="F451" s="3001"/>
      <c r="G451" s="3001"/>
      <c r="H451" s="3001"/>
      <c r="I451" s="2982" t="s">
        <v>360</v>
      </c>
      <c r="J451" s="3130"/>
      <c r="K451" s="3130"/>
      <c r="L451" s="3130"/>
      <c r="M451" s="3130"/>
      <c r="N451" s="3130"/>
      <c r="O451" s="3155"/>
      <c r="P451" s="3096" t="s">
        <v>309</v>
      </c>
      <c r="Q451" s="3097"/>
      <c r="R451" s="3097"/>
      <c r="S451" s="3098"/>
      <c r="T451" s="1467"/>
      <c r="U451" s="1467"/>
      <c r="V451" s="1467"/>
      <c r="W451" s="1451"/>
      <c r="X451" s="1467"/>
      <c r="Y451" s="520"/>
      <c r="Z451" s="2293"/>
      <c r="AA451" s="520"/>
      <c r="AB451" s="2293">
        <v>4</v>
      </c>
      <c r="AC451" s="520"/>
      <c r="AD451" s="520"/>
      <c r="AE451" s="520"/>
      <c r="AF451" s="2344"/>
      <c r="AG451" s="520"/>
      <c r="AH451" s="520"/>
    </row>
    <row r="452" spans="1:34" ht="85.5" customHeight="1" x14ac:dyDescent="0.35">
      <c r="A452" s="601"/>
      <c r="B452" s="564"/>
      <c r="C452" s="2185"/>
      <c r="D452" s="1476" t="s">
        <v>340</v>
      </c>
      <c r="E452" s="3092" t="s">
        <v>110</v>
      </c>
      <c r="F452" s="3093"/>
      <c r="G452" s="3093"/>
      <c r="H452" s="3094"/>
      <c r="I452" s="2982" t="s">
        <v>376</v>
      </c>
      <c r="J452" s="3130"/>
      <c r="K452" s="3130"/>
      <c r="L452" s="3130"/>
      <c r="M452" s="3130"/>
      <c r="N452" s="3130"/>
      <c r="O452" s="3155"/>
      <c r="P452" s="3096" t="s">
        <v>361</v>
      </c>
      <c r="Q452" s="3097"/>
      <c r="R452" s="3097"/>
      <c r="S452" s="3098"/>
      <c r="T452" s="1508"/>
      <c r="U452" s="1508"/>
      <c r="V452" s="1508"/>
      <c r="W452" s="1508"/>
      <c r="X452" s="1508"/>
      <c r="Y452" s="520"/>
      <c r="Z452" s="2293"/>
      <c r="AA452" s="520"/>
      <c r="AB452" s="2293">
        <v>3</v>
      </c>
      <c r="AC452" s="520"/>
      <c r="AD452" s="520"/>
      <c r="AE452" s="520"/>
      <c r="AF452" s="2344"/>
      <c r="AG452" s="520"/>
      <c r="AH452" s="520"/>
    </row>
    <row r="453" spans="1:34" ht="85.5" customHeight="1" x14ac:dyDescent="0.35">
      <c r="A453" s="601"/>
      <c r="B453" s="564"/>
      <c r="C453" s="2185"/>
      <c r="D453" s="1475">
        <v>5</v>
      </c>
      <c r="E453" s="2982" t="s">
        <v>147</v>
      </c>
      <c r="F453" s="2983"/>
      <c r="G453" s="2983"/>
      <c r="H453" s="2984"/>
      <c r="I453" s="3092" t="s">
        <v>377</v>
      </c>
      <c r="J453" s="3093"/>
      <c r="K453" s="3093"/>
      <c r="L453" s="3093"/>
      <c r="M453" s="3093"/>
      <c r="N453" s="3093"/>
      <c r="O453" s="3094"/>
      <c r="P453" s="3096" t="s">
        <v>161</v>
      </c>
      <c r="Q453" s="3097"/>
      <c r="R453" s="3097"/>
      <c r="S453" s="3098"/>
      <c r="T453" s="1451"/>
      <c r="U453" s="1451"/>
      <c r="V453" s="1451"/>
      <c r="W453" s="1451"/>
      <c r="X453" s="1451"/>
      <c r="Y453" s="520"/>
      <c r="Z453" s="2293"/>
      <c r="AA453" s="520"/>
      <c r="AB453" s="2293">
        <v>4</v>
      </c>
      <c r="AC453" s="520"/>
      <c r="AD453" s="520"/>
      <c r="AE453" s="520"/>
      <c r="AF453" s="2344"/>
      <c r="AG453" s="520"/>
      <c r="AH453" s="520"/>
    </row>
    <row r="454" spans="1:34" ht="30.75" customHeight="1" x14ac:dyDescent="0.35">
      <c r="A454" s="144"/>
      <c r="B454" s="197"/>
      <c r="C454" s="189"/>
      <c r="D454" s="3442" t="s">
        <v>1823</v>
      </c>
      <c r="E454" s="3443"/>
      <c r="F454" s="3726"/>
      <c r="G454" s="3726"/>
      <c r="H454" s="3726"/>
      <c r="I454" s="3726"/>
      <c r="J454" s="3726"/>
      <c r="K454" s="3726"/>
      <c r="L454" s="3726"/>
      <c r="M454" s="3726"/>
      <c r="N454" s="3726"/>
      <c r="O454" s="3727"/>
      <c r="P454" s="3210" t="s">
        <v>184</v>
      </c>
      <c r="Q454" s="3211"/>
      <c r="R454" s="3211"/>
      <c r="S454" s="3223"/>
      <c r="T454" s="1469">
        <f>COUNTIF(AB437:AB453,"1")*T436</f>
        <v>0</v>
      </c>
      <c r="U454" s="1469">
        <f>COUNTIF(AB437:AB453,"2")*U436</f>
        <v>0</v>
      </c>
      <c r="V454" s="1469">
        <f>COUNTIF(AB437:AB453,"3")*V436</f>
        <v>3</v>
      </c>
      <c r="W454" s="1469">
        <f>COUNTIF(AB437:AB453,"4")*W436</f>
        <v>16</v>
      </c>
      <c r="X454" s="1469">
        <f>COUNTIF(AB437:AB453,"5")*X436</f>
        <v>0</v>
      </c>
      <c r="Y454" s="520"/>
      <c r="Z454" s="2293"/>
      <c r="AA454" s="520"/>
      <c r="AC454" s="520"/>
      <c r="AD454" s="520"/>
      <c r="AE454" s="520"/>
      <c r="AF454" s="2344"/>
      <c r="AG454" s="520"/>
      <c r="AH454" s="520"/>
    </row>
    <row r="455" spans="1:34" ht="25.5" customHeight="1" x14ac:dyDescent="0.35">
      <c r="A455" s="144"/>
      <c r="B455" s="197"/>
      <c r="C455" s="189"/>
      <c r="D455" s="3445"/>
      <c r="E455" s="3446"/>
      <c r="F455" s="3730"/>
      <c r="G455" s="3730"/>
      <c r="H455" s="3730"/>
      <c r="I455" s="3730"/>
      <c r="J455" s="3730"/>
      <c r="K455" s="3730"/>
      <c r="L455" s="3730"/>
      <c r="M455" s="3730"/>
      <c r="N455" s="3730"/>
      <c r="O455" s="3731"/>
      <c r="P455" s="3212"/>
      <c r="Q455" s="3213"/>
      <c r="R455" s="3213"/>
      <c r="S455" s="3224"/>
      <c r="T455" s="3240">
        <f>SUM(T454:X454)</f>
        <v>19</v>
      </c>
      <c r="U455" s="3241"/>
      <c r="V455" s="3241"/>
      <c r="W455" s="3241"/>
      <c r="X455" s="3242"/>
      <c r="Y455" s="520"/>
      <c r="Z455" s="2293"/>
      <c r="AA455" s="520"/>
      <c r="AC455" s="520"/>
      <c r="AD455" s="520"/>
      <c r="AE455" s="520"/>
      <c r="AF455" s="2344"/>
      <c r="AG455" s="520"/>
      <c r="AH455" s="520"/>
    </row>
    <row r="456" spans="1:34" ht="105" customHeight="1" x14ac:dyDescent="0.35">
      <c r="A456" s="144"/>
      <c r="B456" s="197"/>
      <c r="C456" s="189"/>
      <c r="D456" s="3732"/>
      <c r="E456" s="3733"/>
      <c r="F456" s="3733"/>
      <c r="G456" s="3733"/>
      <c r="H456" s="3733"/>
      <c r="I456" s="3733"/>
      <c r="J456" s="3733"/>
      <c r="K456" s="3733"/>
      <c r="L456" s="3733"/>
      <c r="M456" s="3733"/>
      <c r="N456" s="3733"/>
      <c r="O456" s="3734"/>
      <c r="P456" s="3615" t="s">
        <v>182</v>
      </c>
      <c r="Q456" s="3616"/>
      <c r="R456" s="3616"/>
      <c r="S456" s="3617"/>
      <c r="T456" s="3125">
        <f>SUM(T455:X455)/AF456</f>
        <v>3.8</v>
      </c>
      <c r="U456" s="3125"/>
      <c r="V456" s="3612" t="str">
        <f>IF(ROUND(T456,0)=1,"Sangat Tidak Memenuhi Syarat",IF(ROUND(T456,0)=2,"Kurang Memenuhi Syarat",IF(ROUND(T456,0)=3,"Cukup Memenuhi Syarat",IF(ROUND(T456,0)=4,"Memenuhi Syarat",IF(ROUND(T456,0)=5,"Sangat Memenuhi Syarat")))))</f>
        <v>Memenuhi Syarat</v>
      </c>
      <c r="W456" s="3613"/>
      <c r="X456" s="3614"/>
      <c r="Y456" s="520"/>
      <c r="Z456" s="2293"/>
      <c r="AA456" s="520"/>
      <c r="AC456" s="520"/>
      <c r="AD456" s="520"/>
      <c r="AE456" s="520"/>
      <c r="AF456" s="2345">
        <f>COUNTIF(AB437:AB453,"&gt;0")</f>
        <v>5</v>
      </c>
      <c r="AG456" s="520"/>
      <c r="AH456" s="520"/>
    </row>
    <row r="457" spans="1:34" ht="15" customHeight="1" x14ac:dyDescent="0.35">
      <c r="A457" s="144"/>
      <c r="B457" s="197"/>
      <c r="C457" s="189"/>
      <c r="D457" s="144"/>
      <c r="E457" s="144"/>
      <c r="F457" s="144"/>
      <c r="G457" s="144"/>
      <c r="H457" s="144"/>
      <c r="I457" s="144"/>
      <c r="J457" s="144"/>
      <c r="K457" s="144"/>
      <c r="L457" s="144"/>
      <c r="M457" s="144"/>
      <c r="N457" s="144"/>
      <c r="O457" s="144"/>
      <c r="P457" s="498"/>
      <c r="Q457" s="498"/>
      <c r="R457" s="498"/>
      <c r="S457" s="498"/>
      <c r="T457" s="1268"/>
      <c r="U457" s="1268"/>
      <c r="V457" s="1268"/>
      <c r="W457" s="1268"/>
      <c r="X457" s="1268"/>
      <c r="Y457" s="520"/>
      <c r="Z457" s="2293"/>
      <c r="AA457" s="520"/>
      <c r="AC457" s="520"/>
      <c r="AD457" s="520"/>
      <c r="AE457" s="520"/>
      <c r="AF457" s="2344"/>
      <c r="AG457" s="520"/>
      <c r="AH457" s="520"/>
    </row>
    <row r="458" spans="1:34" ht="15" customHeight="1" x14ac:dyDescent="0.35">
      <c r="A458" s="601"/>
      <c r="B458" s="564"/>
      <c r="C458" s="2164" t="s">
        <v>112</v>
      </c>
      <c r="D458" s="3702" t="s">
        <v>1725</v>
      </c>
      <c r="E458" s="3702"/>
      <c r="F458" s="3702"/>
      <c r="G458" s="3702"/>
      <c r="H458" s="3702"/>
      <c r="I458" s="601"/>
      <c r="J458" s="601"/>
      <c r="K458" s="601"/>
      <c r="L458" s="601"/>
      <c r="M458" s="601"/>
      <c r="N458" s="601"/>
      <c r="O458" s="2219"/>
      <c r="P458" s="592"/>
      <c r="Q458" s="592"/>
      <c r="R458" s="2383"/>
      <c r="S458" s="592"/>
      <c r="T458" s="1477"/>
      <c r="U458" s="1477"/>
      <c r="V458" s="1477"/>
      <c r="W458" s="1477"/>
      <c r="X458" s="1477"/>
      <c r="Y458" s="520"/>
      <c r="Z458" s="2293"/>
      <c r="AA458" s="520"/>
      <c r="AC458" s="520"/>
      <c r="AD458" s="520"/>
      <c r="AE458" s="520"/>
      <c r="AF458" s="2344"/>
      <c r="AG458" s="520"/>
      <c r="AH458" s="520"/>
    </row>
    <row r="459" spans="1:34" ht="15" customHeight="1" x14ac:dyDescent="0.35">
      <c r="A459" s="601"/>
      <c r="B459" s="564"/>
      <c r="C459" s="2185"/>
      <c r="D459" s="3862" t="s">
        <v>103</v>
      </c>
      <c r="E459" s="3841" t="s">
        <v>104</v>
      </c>
      <c r="F459" s="3842"/>
      <c r="G459" s="3842"/>
      <c r="H459" s="3843"/>
      <c r="I459" s="3862" t="s">
        <v>105</v>
      </c>
      <c r="J459" s="3862"/>
      <c r="K459" s="3862"/>
      <c r="L459" s="3862"/>
      <c r="M459" s="3862"/>
      <c r="N459" s="3862"/>
      <c r="O459" s="3863"/>
      <c r="P459" s="3841" t="s">
        <v>40</v>
      </c>
      <c r="Q459" s="3842"/>
      <c r="R459" s="3842"/>
      <c r="S459" s="3843"/>
      <c r="T459" s="3067" t="s">
        <v>181</v>
      </c>
      <c r="U459" s="2999"/>
      <c r="V459" s="2999"/>
      <c r="W459" s="2999"/>
      <c r="X459" s="3000"/>
      <c r="Y459" s="520"/>
      <c r="Z459" s="2293"/>
      <c r="AA459" s="520"/>
      <c r="AC459" s="520"/>
      <c r="AD459" s="520"/>
      <c r="AE459" s="520"/>
      <c r="AF459" s="2344"/>
      <c r="AG459" s="520"/>
      <c r="AH459" s="520"/>
    </row>
    <row r="460" spans="1:34" ht="15" customHeight="1" x14ac:dyDescent="0.35">
      <c r="A460" s="601"/>
      <c r="B460" s="564"/>
      <c r="C460" s="2185"/>
      <c r="D460" s="3862"/>
      <c r="E460" s="3844"/>
      <c r="F460" s="3845"/>
      <c r="G460" s="3845"/>
      <c r="H460" s="3846"/>
      <c r="I460" s="3862"/>
      <c r="J460" s="3862"/>
      <c r="K460" s="3862"/>
      <c r="L460" s="3862"/>
      <c r="M460" s="3862"/>
      <c r="N460" s="3862"/>
      <c r="O460" s="3863"/>
      <c r="P460" s="3844"/>
      <c r="Q460" s="3845"/>
      <c r="R460" s="3845"/>
      <c r="S460" s="3846"/>
      <c r="T460" s="2384">
        <v>1</v>
      </c>
      <c r="U460" s="1459">
        <v>2</v>
      </c>
      <c r="V460" s="1459">
        <v>3</v>
      </c>
      <c r="W460" s="1459">
        <v>4</v>
      </c>
      <c r="X460" s="2375">
        <v>5</v>
      </c>
      <c r="Y460" s="520"/>
      <c r="Z460" s="2293"/>
      <c r="AA460" s="520"/>
      <c r="AC460" s="520"/>
      <c r="AD460" s="520"/>
      <c r="AE460" s="520"/>
      <c r="AF460" s="2344"/>
      <c r="AG460" s="520"/>
      <c r="AH460" s="520"/>
    </row>
    <row r="461" spans="1:34" ht="16.5" customHeight="1" x14ac:dyDescent="0.35">
      <c r="A461" s="601"/>
      <c r="B461" s="564"/>
      <c r="C461" s="2185"/>
      <c r="D461" s="3166">
        <v>1</v>
      </c>
      <c r="E461" s="3086" t="s">
        <v>114</v>
      </c>
      <c r="F461" s="3087"/>
      <c r="G461" s="3087"/>
      <c r="H461" s="3088"/>
      <c r="I461" s="3451"/>
      <c r="J461" s="3429"/>
      <c r="K461" s="3429"/>
      <c r="L461" s="3429"/>
      <c r="M461" s="3429"/>
      <c r="N461" s="3429"/>
      <c r="O461" s="3429"/>
      <c r="P461" s="3722" t="s">
        <v>1824</v>
      </c>
      <c r="Q461" s="3707"/>
      <c r="R461" s="3707"/>
      <c r="S461" s="3708"/>
      <c r="T461" s="3619"/>
      <c r="U461" s="3619"/>
      <c r="V461" s="3619"/>
      <c r="W461" s="3619"/>
      <c r="X461" s="3619"/>
      <c r="Y461" s="520"/>
      <c r="Z461" s="2293"/>
      <c r="AA461" s="520"/>
      <c r="AB461" s="3611">
        <v>5</v>
      </c>
      <c r="AC461" s="520"/>
      <c r="AD461" s="520"/>
      <c r="AE461" s="520"/>
      <c r="AF461" s="2344"/>
      <c r="AG461" s="520"/>
      <c r="AH461" s="520"/>
    </row>
    <row r="462" spans="1:34" ht="16.5" customHeight="1" x14ac:dyDescent="0.35">
      <c r="A462" s="601"/>
      <c r="B462" s="564"/>
      <c r="C462" s="2185"/>
      <c r="D462" s="3167"/>
      <c r="E462" s="3089"/>
      <c r="F462" s="3090"/>
      <c r="G462" s="3090"/>
      <c r="H462" s="3091"/>
      <c r="I462" s="3483" t="s">
        <v>311</v>
      </c>
      <c r="J462" s="3427"/>
      <c r="K462" s="3427"/>
      <c r="L462" s="3427"/>
      <c r="M462" s="3427"/>
      <c r="N462" s="3427"/>
      <c r="O462" s="3427"/>
      <c r="P462" s="3709"/>
      <c r="Q462" s="3710"/>
      <c r="R462" s="3710"/>
      <c r="S462" s="3711"/>
      <c r="T462" s="3620"/>
      <c r="U462" s="3620"/>
      <c r="V462" s="3620"/>
      <c r="W462" s="3620"/>
      <c r="X462" s="3620"/>
      <c r="Y462" s="520"/>
      <c r="Z462" s="2293"/>
      <c r="AA462" s="520"/>
      <c r="AB462" s="3611"/>
      <c r="AC462" s="520"/>
      <c r="AD462" s="520"/>
      <c r="AE462" s="520"/>
      <c r="AF462" s="2344"/>
      <c r="AG462" s="520"/>
      <c r="AH462" s="520"/>
    </row>
    <row r="463" spans="1:34" ht="16.5" customHeight="1" x14ac:dyDescent="0.35">
      <c r="A463" s="601"/>
      <c r="B463" s="564"/>
      <c r="C463" s="2185"/>
      <c r="D463" s="3167"/>
      <c r="E463" s="3089"/>
      <c r="F463" s="3090"/>
      <c r="G463" s="3090"/>
      <c r="H463" s="3091"/>
      <c r="I463" s="3483" t="s">
        <v>313</v>
      </c>
      <c r="J463" s="3427"/>
      <c r="K463" s="3427"/>
      <c r="L463" s="3427"/>
      <c r="M463" s="3427"/>
      <c r="N463" s="3427"/>
      <c r="O463" s="3427"/>
      <c r="P463" s="3709"/>
      <c r="Q463" s="3710"/>
      <c r="R463" s="3710"/>
      <c r="S463" s="3711"/>
      <c r="T463" s="3620"/>
      <c r="U463" s="3620"/>
      <c r="V463" s="3620"/>
      <c r="W463" s="3620"/>
      <c r="X463" s="3620"/>
      <c r="Y463" s="520"/>
      <c r="Z463" s="2293"/>
      <c r="AA463" s="520"/>
      <c r="AB463" s="3611"/>
      <c r="AC463" s="520"/>
      <c r="AD463" s="520"/>
      <c r="AE463" s="520"/>
      <c r="AF463" s="2344"/>
      <c r="AG463" s="520"/>
      <c r="AH463" s="520"/>
    </row>
    <row r="464" spans="1:34" ht="16.5" customHeight="1" x14ac:dyDescent="0.35">
      <c r="A464" s="601"/>
      <c r="B464" s="564"/>
      <c r="C464" s="2185"/>
      <c r="D464" s="3167"/>
      <c r="E464" s="3089"/>
      <c r="F464" s="3090"/>
      <c r="G464" s="3090"/>
      <c r="H464" s="3091"/>
      <c r="I464" s="3483" t="s">
        <v>270</v>
      </c>
      <c r="J464" s="3427"/>
      <c r="K464" s="3427"/>
      <c r="L464" s="3427"/>
      <c r="M464" s="3427"/>
      <c r="N464" s="3427"/>
      <c r="O464" s="3427"/>
      <c r="P464" s="3709"/>
      <c r="Q464" s="3710"/>
      <c r="R464" s="3710"/>
      <c r="S464" s="3711"/>
      <c r="T464" s="3620"/>
      <c r="U464" s="3620"/>
      <c r="V464" s="3620"/>
      <c r="W464" s="3620"/>
      <c r="X464" s="3620"/>
      <c r="Y464" s="520"/>
      <c r="Z464" s="2293"/>
      <c r="AA464" s="520"/>
      <c r="AB464" s="3611"/>
      <c r="AC464" s="520"/>
      <c r="AD464" s="520"/>
      <c r="AE464" s="520"/>
      <c r="AF464" s="2344"/>
      <c r="AG464" s="520"/>
      <c r="AH464" s="520"/>
    </row>
    <row r="465" spans="1:34" ht="16.5" customHeight="1" x14ac:dyDescent="0.35">
      <c r="A465" s="601"/>
      <c r="B465" s="564"/>
      <c r="C465" s="2185"/>
      <c r="D465" s="3167"/>
      <c r="E465" s="3089"/>
      <c r="F465" s="3090"/>
      <c r="G465" s="3090"/>
      <c r="H465" s="3091"/>
      <c r="I465" s="3483" t="s">
        <v>312</v>
      </c>
      <c r="J465" s="3427"/>
      <c r="K465" s="3427"/>
      <c r="L465" s="3427"/>
      <c r="M465" s="3427"/>
      <c r="N465" s="3427"/>
      <c r="O465" s="3427"/>
      <c r="P465" s="3709"/>
      <c r="Q465" s="3710"/>
      <c r="R465" s="3710"/>
      <c r="S465" s="3711"/>
      <c r="T465" s="3620"/>
      <c r="U465" s="3620"/>
      <c r="V465" s="3620"/>
      <c r="W465" s="3620"/>
      <c r="X465" s="3620"/>
      <c r="Y465" s="520"/>
      <c r="Z465" s="2293"/>
      <c r="AA465" s="520"/>
      <c r="AB465" s="3611"/>
      <c r="AC465" s="520"/>
      <c r="AD465" s="520"/>
      <c r="AE465" s="520"/>
      <c r="AF465" s="2344"/>
      <c r="AG465" s="520"/>
      <c r="AH465" s="520"/>
    </row>
    <row r="466" spans="1:34" ht="16.5" customHeight="1" x14ac:dyDescent="0.35">
      <c r="A466" s="601"/>
      <c r="B466" s="564"/>
      <c r="C466" s="2185"/>
      <c r="D466" s="3168"/>
      <c r="E466" s="3092"/>
      <c r="F466" s="3093"/>
      <c r="G466" s="3093"/>
      <c r="H466" s="3094"/>
      <c r="I466" s="3483" t="s">
        <v>310</v>
      </c>
      <c r="J466" s="3427"/>
      <c r="K466" s="3427"/>
      <c r="L466" s="3427"/>
      <c r="M466" s="3427"/>
      <c r="N466" s="3427"/>
      <c r="O466" s="3427"/>
      <c r="P466" s="3712"/>
      <c r="Q466" s="3713"/>
      <c r="R466" s="3713"/>
      <c r="S466" s="3714"/>
      <c r="T466" s="3620"/>
      <c r="U466" s="3620"/>
      <c r="V466" s="3620"/>
      <c r="W466" s="3620"/>
      <c r="X466" s="3620"/>
      <c r="Y466" s="520"/>
      <c r="Z466" s="2293"/>
      <c r="AA466" s="520"/>
      <c r="AB466" s="3611"/>
      <c r="AC466" s="520"/>
      <c r="AD466" s="520"/>
      <c r="AE466" s="520"/>
      <c r="AF466" s="2344"/>
      <c r="AG466" s="520"/>
      <c r="AH466" s="520"/>
    </row>
    <row r="467" spans="1:34" ht="16.5" customHeight="1" x14ac:dyDescent="0.35">
      <c r="A467" s="601"/>
      <c r="B467" s="564"/>
      <c r="C467" s="2185"/>
      <c r="D467" s="3166">
        <v>2</v>
      </c>
      <c r="E467" s="3086" t="s">
        <v>115</v>
      </c>
      <c r="F467" s="3087"/>
      <c r="G467" s="3087"/>
      <c r="H467" s="3088"/>
      <c r="I467" s="3451"/>
      <c r="J467" s="3429"/>
      <c r="K467" s="3429"/>
      <c r="L467" s="3429"/>
      <c r="M467" s="3429"/>
      <c r="N467" s="3429"/>
      <c r="O467" s="3429"/>
      <c r="P467" s="3722" t="s">
        <v>1825</v>
      </c>
      <c r="Q467" s="3792"/>
      <c r="R467" s="3792"/>
      <c r="S467" s="3793"/>
      <c r="T467" s="3472"/>
      <c r="U467" s="3472"/>
      <c r="V467" s="3472"/>
      <c r="W467" s="3472"/>
      <c r="X467" s="2980"/>
      <c r="Y467" s="520"/>
      <c r="Z467" s="2293"/>
      <c r="AA467" s="520"/>
      <c r="AB467" s="3611">
        <v>4</v>
      </c>
      <c r="AC467" s="520"/>
      <c r="AD467" s="520"/>
      <c r="AE467" s="520"/>
      <c r="AF467" s="2344"/>
      <c r="AG467" s="520"/>
      <c r="AH467" s="520"/>
    </row>
    <row r="468" spans="1:34" ht="16.5" customHeight="1" x14ac:dyDescent="0.35">
      <c r="A468" s="601"/>
      <c r="B468" s="564"/>
      <c r="C468" s="2185"/>
      <c r="D468" s="3167"/>
      <c r="E468" s="3089"/>
      <c r="F468" s="3090"/>
      <c r="G468" s="3090"/>
      <c r="H468" s="3091"/>
      <c r="I468" s="3483" t="s">
        <v>311</v>
      </c>
      <c r="J468" s="3427"/>
      <c r="K468" s="3427"/>
      <c r="L468" s="3427"/>
      <c r="M468" s="3427"/>
      <c r="N468" s="3427"/>
      <c r="O468" s="3427"/>
      <c r="P468" s="3794"/>
      <c r="Q468" s="3795"/>
      <c r="R468" s="3795"/>
      <c r="S468" s="3796"/>
      <c r="T468" s="3475"/>
      <c r="U468" s="3475"/>
      <c r="V468" s="3475"/>
      <c r="W468" s="3475"/>
      <c r="X468" s="3588"/>
      <c r="Y468" s="520"/>
      <c r="Z468" s="2293"/>
      <c r="AA468" s="520"/>
      <c r="AB468" s="3611"/>
      <c r="AC468" s="520"/>
      <c r="AD468" s="520"/>
      <c r="AE468" s="520"/>
      <c r="AF468" s="2344"/>
      <c r="AG468" s="520"/>
      <c r="AH468" s="520"/>
    </row>
    <row r="469" spans="1:34" ht="16.5" customHeight="1" x14ac:dyDescent="0.35">
      <c r="A469" s="601"/>
      <c r="B469" s="564"/>
      <c r="C469" s="2185"/>
      <c r="D469" s="3167"/>
      <c r="E469" s="3089"/>
      <c r="F469" s="3090"/>
      <c r="G469" s="3090"/>
      <c r="H469" s="3091"/>
      <c r="I469" s="3483" t="s">
        <v>313</v>
      </c>
      <c r="J469" s="3427"/>
      <c r="K469" s="3427"/>
      <c r="L469" s="3427"/>
      <c r="M469" s="3427"/>
      <c r="N469" s="3427"/>
      <c r="O469" s="3427"/>
      <c r="P469" s="3794"/>
      <c r="Q469" s="3795"/>
      <c r="R469" s="3795"/>
      <c r="S469" s="3796"/>
      <c r="T469" s="3475"/>
      <c r="U469" s="3475"/>
      <c r="V469" s="3475"/>
      <c r="W469" s="3475"/>
      <c r="X469" s="3588"/>
      <c r="Y469" s="520"/>
      <c r="Z469" s="2293"/>
      <c r="AA469" s="520"/>
      <c r="AB469" s="3611"/>
      <c r="AC469" s="520"/>
      <c r="AD469" s="520"/>
      <c r="AE469" s="520"/>
      <c r="AF469" s="2344"/>
      <c r="AG469" s="520"/>
      <c r="AH469" s="520"/>
    </row>
    <row r="470" spans="1:34" ht="16.5" customHeight="1" x14ac:dyDescent="0.35">
      <c r="A470" s="601"/>
      <c r="B470" s="564"/>
      <c r="C470" s="2185"/>
      <c r="D470" s="3167"/>
      <c r="E470" s="3089"/>
      <c r="F470" s="3090"/>
      <c r="G470" s="3090"/>
      <c r="H470" s="3091"/>
      <c r="I470" s="3483" t="s">
        <v>270</v>
      </c>
      <c r="J470" s="3427"/>
      <c r="K470" s="3427"/>
      <c r="L470" s="3427"/>
      <c r="M470" s="3427"/>
      <c r="N470" s="3427"/>
      <c r="O470" s="3427"/>
      <c r="P470" s="3794"/>
      <c r="Q470" s="3795"/>
      <c r="R470" s="3795"/>
      <c r="S470" s="3796"/>
      <c r="T470" s="3475"/>
      <c r="U470" s="3475"/>
      <c r="V470" s="3475"/>
      <c r="W470" s="3475"/>
      <c r="X470" s="3588"/>
      <c r="Y470" s="520"/>
      <c r="Z470" s="2293"/>
      <c r="AA470" s="520"/>
      <c r="AB470" s="3611"/>
      <c r="AC470" s="520"/>
      <c r="AD470" s="520"/>
      <c r="AE470" s="520"/>
      <c r="AF470" s="2344"/>
      <c r="AG470" s="520"/>
      <c r="AH470" s="520"/>
    </row>
    <row r="471" spans="1:34" ht="16.5" customHeight="1" x14ac:dyDescent="0.35">
      <c r="A471" s="601"/>
      <c r="B471" s="564"/>
      <c r="C471" s="2185"/>
      <c r="D471" s="3167"/>
      <c r="E471" s="3089"/>
      <c r="F471" s="3090"/>
      <c r="G471" s="3090"/>
      <c r="H471" s="3091"/>
      <c r="I471" s="3483" t="s">
        <v>312</v>
      </c>
      <c r="J471" s="3427"/>
      <c r="K471" s="3427"/>
      <c r="L471" s="3427"/>
      <c r="M471" s="3427"/>
      <c r="N471" s="3427"/>
      <c r="O471" s="3427"/>
      <c r="P471" s="3794"/>
      <c r="Q471" s="3795"/>
      <c r="R471" s="3795"/>
      <c r="S471" s="3796"/>
      <c r="T471" s="3475"/>
      <c r="U471" s="3475"/>
      <c r="V471" s="3475"/>
      <c r="W471" s="3475"/>
      <c r="X471" s="3588"/>
      <c r="Y471" s="520"/>
      <c r="Z471" s="2293"/>
      <c r="AA471" s="520"/>
      <c r="AB471" s="3611"/>
      <c r="AC471" s="520"/>
      <c r="AD471" s="520"/>
      <c r="AE471" s="520"/>
      <c r="AF471" s="2344"/>
      <c r="AG471" s="520"/>
      <c r="AH471" s="520"/>
    </row>
    <row r="472" spans="1:34" ht="16.5" customHeight="1" x14ac:dyDescent="0.35">
      <c r="A472" s="601"/>
      <c r="B472" s="564"/>
      <c r="C472" s="2185"/>
      <c r="D472" s="3168"/>
      <c r="E472" s="3092"/>
      <c r="F472" s="3093"/>
      <c r="G472" s="3093"/>
      <c r="H472" s="3094"/>
      <c r="I472" s="3483" t="s">
        <v>314</v>
      </c>
      <c r="J472" s="3427"/>
      <c r="K472" s="3427"/>
      <c r="L472" s="3427"/>
      <c r="M472" s="3427"/>
      <c r="N472" s="3427"/>
      <c r="O472" s="3427"/>
      <c r="P472" s="3794"/>
      <c r="Q472" s="3795"/>
      <c r="R472" s="3795"/>
      <c r="S472" s="3796"/>
      <c r="T472" s="3475"/>
      <c r="U472" s="3475"/>
      <c r="V472" s="3475"/>
      <c r="W472" s="3475"/>
      <c r="X472" s="2981"/>
      <c r="Y472" s="520"/>
      <c r="Z472" s="2293"/>
      <c r="AA472" s="520"/>
      <c r="AB472" s="3611"/>
      <c r="AC472" s="520"/>
      <c r="AD472" s="520"/>
      <c r="AE472" s="520"/>
      <c r="AF472" s="2344"/>
      <c r="AG472" s="520"/>
      <c r="AH472" s="520"/>
    </row>
    <row r="473" spans="1:34" ht="16.5" customHeight="1" x14ac:dyDescent="0.35">
      <c r="A473" s="601"/>
      <c r="B473" s="564"/>
      <c r="C473" s="2185"/>
      <c r="D473" s="3166">
        <v>3</v>
      </c>
      <c r="E473" s="3086" t="s">
        <v>116</v>
      </c>
      <c r="F473" s="3087"/>
      <c r="G473" s="3087"/>
      <c r="H473" s="3088"/>
      <c r="I473" s="3086" t="s">
        <v>379</v>
      </c>
      <c r="J473" s="3087"/>
      <c r="K473" s="3087"/>
      <c r="L473" s="3087"/>
      <c r="M473" s="3087"/>
      <c r="N473" s="3087"/>
      <c r="O473" s="3088"/>
      <c r="P473" s="3709" t="s">
        <v>315</v>
      </c>
      <c r="Q473" s="3710"/>
      <c r="R473" s="3710"/>
      <c r="S473" s="3711"/>
      <c r="T473" s="2980"/>
      <c r="U473" s="2980"/>
      <c r="V473" s="2980"/>
      <c r="W473" s="2980"/>
      <c r="X473" s="2980"/>
      <c r="Y473" s="520"/>
      <c r="Z473" s="2293"/>
      <c r="AA473" s="520"/>
      <c r="AB473" s="3611">
        <v>3</v>
      </c>
      <c r="AC473" s="520"/>
      <c r="AD473" s="520"/>
      <c r="AE473" s="520"/>
      <c r="AF473" s="2344"/>
      <c r="AG473" s="520"/>
      <c r="AH473" s="520"/>
    </row>
    <row r="474" spans="1:34" ht="16.5" customHeight="1" x14ac:dyDescent="0.35">
      <c r="A474" s="601"/>
      <c r="B474" s="564"/>
      <c r="C474" s="2185"/>
      <c r="D474" s="3167"/>
      <c r="E474" s="3089"/>
      <c r="F474" s="3090"/>
      <c r="G474" s="3090"/>
      <c r="H474" s="3091"/>
      <c r="I474" s="3089"/>
      <c r="J474" s="3090"/>
      <c r="K474" s="3090"/>
      <c r="L474" s="3090"/>
      <c r="M474" s="3090"/>
      <c r="N474" s="3090"/>
      <c r="O474" s="3091"/>
      <c r="P474" s="3709"/>
      <c r="Q474" s="3710"/>
      <c r="R474" s="3710"/>
      <c r="S474" s="3711"/>
      <c r="T474" s="3588"/>
      <c r="U474" s="3588"/>
      <c r="V474" s="3588"/>
      <c r="W474" s="3588"/>
      <c r="X474" s="3588"/>
      <c r="Y474" s="520"/>
      <c r="Z474" s="2293"/>
      <c r="AA474" s="520"/>
      <c r="AB474" s="3611"/>
      <c r="AC474" s="520"/>
      <c r="AD474" s="520"/>
      <c r="AE474" s="520"/>
      <c r="AF474" s="2344"/>
      <c r="AG474" s="520"/>
      <c r="AH474" s="520"/>
    </row>
    <row r="475" spans="1:34" ht="16.5" customHeight="1" x14ac:dyDescent="0.35">
      <c r="A475" s="601"/>
      <c r="B475" s="564"/>
      <c r="C475" s="2185"/>
      <c r="D475" s="3167"/>
      <c r="E475" s="3089"/>
      <c r="F475" s="3090"/>
      <c r="G475" s="3090"/>
      <c r="H475" s="3091"/>
      <c r="I475" s="3089"/>
      <c r="J475" s="3090"/>
      <c r="K475" s="3090"/>
      <c r="L475" s="3090"/>
      <c r="M475" s="3090"/>
      <c r="N475" s="3090"/>
      <c r="O475" s="3091"/>
      <c r="P475" s="3709"/>
      <c r="Q475" s="3710"/>
      <c r="R475" s="3710"/>
      <c r="S475" s="3711"/>
      <c r="T475" s="3588"/>
      <c r="U475" s="3588"/>
      <c r="V475" s="3588"/>
      <c r="W475" s="3588"/>
      <c r="X475" s="3588"/>
      <c r="Y475" s="520"/>
      <c r="Z475" s="2293"/>
      <c r="AA475" s="520"/>
      <c r="AB475" s="3611"/>
      <c r="AC475" s="520"/>
      <c r="AD475" s="520"/>
      <c r="AE475" s="520"/>
      <c r="AF475" s="2344"/>
      <c r="AG475" s="520"/>
      <c r="AH475" s="520"/>
    </row>
    <row r="476" spans="1:34" ht="16.5" customHeight="1" x14ac:dyDescent="0.35">
      <c r="A476" s="601"/>
      <c r="B476" s="564"/>
      <c r="C476" s="2185"/>
      <c r="D476" s="3167"/>
      <c r="E476" s="3089"/>
      <c r="F476" s="3090"/>
      <c r="G476" s="3090"/>
      <c r="H476" s="3091"/>
      <c r="I476" s="3089"/>
      <c r="J476" s="3090"/>
      <c r="K476" s="3090"/>
      <c r="L476" s="3090"/>
      <c r="M476" s="3090"/>
      <c r="N476" s="3090"/>
      <c r="O476" s="3091"/>
      <c r="P476" s="3709"/>
      <c r="Q476" s="3710"/>
      <c r="R476" s="3710"/>
      <c r="S476" s="3711"/>
      <c r="T476" s="3588"/>
      <c r="U476" s="3588"/>
      <c r="V476" s="3588"/>
      <c r="W476" s="3588"/>
      <c r="X476" s="3588"/>
      <c r="Y476" s="520"/>
      <c r="Z476" s="2293"/>
      <c r="AA476" s="520"/>
      <c r="AB476" s="3611"/>
      <c r="AC476" s="520"/>
      <c r="AD476" s="520"/>
      <c r="AE476" s="520"/>
      <c r="AF476" s="2344"/>
      <c r="AG476" s="520"/>
      <c r="AH476" s="520"/>
    </row>
    <row r="477" spans="1:34" ht="16.5" customHeight="1" x14ac:dyDescent="0.35">
      <c r="A477" s="601"/>
      <c r="B477" s="564"/>
      <c r="C477" s="2185"/>
      <c r="D477" s="3167"/>
      <c r="E477" s="3089"/>
      <c r="F477" s="3090"/>
      <c r="G477" s="3090"/>
      <c r="H477" s="3091"/>
      <c r="I477" s="3089"/>
      <c r="J477" s="3090"/>
      <c r="K477" s="3090"/>
      <c r="L477" s="3090"/>
      <c r="M477" s="3090"/>
      <c r="N477" s="3090"/>
      <c r="O477" s="3091"/>
      <c r="P477" s="3709"/>
      <c r="Q477" s="3710"/>
      <c r="R477" s="3710"/>
      <c r="S477" s="3711"/>
      <c r="T477" s="3588"/>
      <c r="U477" s="3588"/>
      <c r="V477" s="3588"/>
      <c r="W477" s="3588"/>
      <c r="X477" s="3588"/>
      <c r="Y477" s="520"/>
      <c r="Z477" s="2293"/>
      <c r="AA477" s="520"/>
      <c r="AB477" s="3611"/>
      <c r="AC477" s="520"/>
      <c r="AD477" s="520"/>
      <c r="AE477" s="520"/>
      <c r="AF477" s="2344"/>
      <c r="AG477" s="520"/>
      <c r="AH477" s="520"/>
    </row>
    <row r="478" spans="1:34" ht="16.5" customHeight="1" x14ac:dyDescent="0.35">
      <c r="A478" s="601"/>
      <c r="B478" s="564"/>
      <c r="C478" s="2185"/>
      <c r="D478" s="3168"/>
      <c r="E478" s="3092"/>
      <c r="F478" s="3093"/>
      <c r="G478" s="3093"/>
      <c r="H478" s="3094"/>
      <c r="I478" s="3092"/>
      <c r="J478" s="3093"/>
      <c r="K478" s="3093"/>
      <c r="L478" s="3093"/>
      <c r="M478" s="3093"/>
      <c r="N478" s="3093"/>
      <c r="O478" s="3094"/>
      <c r="P478" s="3712"/>
      <c r="Q478" s="3713"/>
      <c r="R478" s="3713"/>
      <c r="S478" s="3714"/>
      <c r="T478" s="3588"/>
      <c r="U478" s="3588"/>
      <c r="V478" s="3588"/>
      <c r="W478" s="3588"/>
      <c r="X478" s="3588"/>
      <c r="Y478" s="520"/>
      <c r="Z478" s="2293"/>
      <c r="AA478" s="520"/>
      <c r="AB478" s="3611"/>
      <c r="AC478" s="520"/>
      <c r="AD478" s="520"/>
      <c r="AE478" s="520"/>
      <c r="AF478" s="2344"/>
      <c r="AG478" s="520"/>
      <c r="AH478" s="520"/>
    </row>
    <row r="479" spans="1:34" ht="27" customHeight="1" x14ac:dyDescent="0.35">
      <c r="A479" s="144"/>
      <c r="B479" s="197"/>
      <c r="C479" s="189"/>
      <c r="D479" s="3442" t="s">
        <v>1826</v>
      </c>
      <c r="E479" s="3443"/>
      <c r="F479" s="3443"/>
      <c r="G479" s="3443"/>
      <c r="H479" s="3443"/>
      <c r="I479" s="3443"/>
      <c r="J479" s="3443"/>
      <c r="K479" s="3443"/>
      <c r="L479" s="3443"/>
      <c r="M479" s="3443"/>
      <c r="N479" s="3443"/>
      <c r="O479" s="3444"/>
      <c r="P479" s="3210" t="s">
        <v>184</v>
      </c>
      <c r="Q479" s="3211"/>
      <c r="R479" s="3211"/>
      <c r="S479" s="3223"/>
      <c r="T479" s="1469">
        <f>COUNTIF(AB461:AB478,"1")*T460</f>
        <v>0</v>
      </c>
      <c r="U479" s="1469">
        <f>COUNTIF(AB461:AB478,"2")*U460</f>
        <v>0</v>
      </c>
      <c r="V479" s="1469">
        <f>COUNTIF(AB461:AB478,"3")*V460</f>
        <v>3</v>
      </c>
      <c r="W479" s="1469">
        <f>COUNTIF(AB461:AB478,"4")*W460</f>
        <v>4</v>
      </c>
      <c r="X479" s="1469">
        <f>COUNTIF(AB461:AB478,"5")*X460</f>
        <v>5</v>
      </c>
      <c r="Y479" s="520"/>
      <c r="Z479" s="2293"/>
      <c r="AA479" s="520"/>
      <c r="AC479" s="520"/>
      <c r="AD479" s="520"/>
      <c r="AE479" s="520"/>
      <c r="AF479" s="2344"/>
      <c r="AG479" s="520"/>
      <c r="AH479" s="520"/>
    </row>
    <row r="480" spans="1:34" ht="30.75" customHeight="1" x14ac:dyDescent="0.35">
      <c r="A480" s="144"/>
      <c r="B480" s="197"/>
      <c r="C480" s="189"/>
      <c r="D480" s="3445"/>
      <c r="E480" s="3446"/>
      <c r="F480" s="3446"/>
      <c r="G480" s="3446"/>
      <c r="H480" s="3446"/>
      <c r="I480" s="3446"/>
      <c r="J480" s="3446"/>
      <c r="K480" s="3446"/>
      <c r="L480" s="3446"/>
      <c r="M480" s="3446"/>
      <c r="N480" s="3446"/>
      <c r="O480" s="3447"/>
      <c r="P480" s="3212"/>
      <c r="Q480" s="3213"/>
      <c r="R480" s="3213"/>
      <c r="S480" s="3224"/>
      <c r="T480" s="3240">
        <f>SUM(T479:X479)</f>
        <v>12</v>
      </c>
      <c r="U480" s="3241"/>
      <c r="V480" s="3241"/>
      <c r="W480" s="3241"/>
      <c r="X480" s="3242"/>
      <c r="Y480" s="520"/>
      <c r="Z480" s="2293"/>
      <c r="AA480" s="520"/>
      <c r="AC480" s="520"/>
      <c r="AD480" s="520"/>
      <c r="AE480" s="520"/>
      <c r="AF480" s="2344"/>
      <c r="AG480" s="520"/>
      <c r="AH480" s="520"/>
    </row>
    <row r="481" spans="1:34" ht="85.5" customHeight="1" x14ac:dyDescent="0.35">
      <c r="A481" s="144"/>
      <c r="B481" s="197"/>
      <c r="C481" s="189"/>
      <c r="D481" s="3448"/>
      <c r="E481" s="3449"/>
      <c r="F481" s="3449"/>
      <c r="G481" s="3449"/>
      <c r="H481" s="3449"/>
      <c r="I481" s="3449"/>
      <c r="J481" s="3449"/>
      <c r="K481" s="3449"/>
      <c r="L481" s="3449"/>
      <c r="M481" s="3449"/>
      <c r="N481" s="3449"/>
      <c r="O481" s="3450"/>
      <c r="P481" s="3615" t="s">
        <v>182</v>
      </c>
      <c r="Q481" s="3616"/>
      <c r="R481" s="3616"/>
      <c r="S481" s="3617"/>
      <c r="T481" s="3125">
        <f>SUM(T480:X480)/AF481</f>
        <v>4</v>
      </c>
      <c r="U481" s="3125"/>
      <c r="V481" s="3612" t="str">
        <f>IF(ROUND(T481,0)=1,"Sangat Tidak Memenuhi Syarat",IF(ROUND(T481,0)=2,"Kurang Memenuhi Syarat",IF(ROUND(T481,0)=3,"Cukup Memenuhi Syarat",IF(ROUND(T481,0)=4,"Memenuhi Syarat",IF(ROUND(T481,0)=5,"Sangat Memenuhi Syarat")))))</f>
        <v>Memenuhi Syarat</v>
      </c>
      <c r="W481" s="3613"/>
      <c r="X481" s="3614"/>
      <c r="Y481" s="520"/>
      <c r="Z481" s="2293"/>
      <c r="AA481" s="520"/>
      <c r="AC481" s="520"/>
      <c r="AD481" s="520"/>
      <c r="AE481" s="520"/>
      <c r="AF481" s="2345">
        <f>COUNTIF(AB461:AB478,"&gt;0")</f>
        <v>3</v>
      </c>
      <c r="AG481" s="520"/>
      <c r="AH481" s="520"/>
    </row>
    <row r="482" spans="1:34" ht="16.5" customHeight="1" x14ac:dyDescent="0.35">
      <c r="A482" s="601"/>
      <c r="B482" s="564"/>
      <c r="C482" s="2185"/>
      <c r="D482" s="2185"/>
      <c r="E482" s="2185"/>
      <c r="F482" s="601"/>
      <c r="G482" s="601"/>
      <c r="H482" s="601"/>
      <c r="I482" s="1466"/>
      <c r="J482" s="1466"/>
      <c r="K482" s="1466"/>
      <c r="L482" s="1466"/>
      <c r="M482" s="1466"/>
      <c r="N482" s="1466"/>
      <c r="O482" s="1466"/>
      <c r="P482" s="2385"/>
      <c r="Q482" s="2385"/>
      <c r="R482" s="2385"/>
      <c r="S482" s="2385"/>
      <c r="T482" s="1531"/>
      <c r="U482" s="1531"/>
      <c r="V482" s="1531"/>
      <c r="W482" s="1531"/>
      <c r="X482" s="1531"/>
      <c r="Y482" s="520"/>
      <c r="Z482" s="2293"/>
      <c r="AA482" s="520"/>
      <c r="AC482" s="520"/>
      <c r="AD482" s="520"/>
      <c r="AE482" s="520"/>
      <c r="AF482" s="2344"/>
      <c r="AG482" s="520"/>
      <c r="AH482" s="520"/>
    </row>
    <row r="483" spans="1:34" ht="17.25" x14ac:dyDescent="0.35">
      <c r="A483" s="601"/>
      <c r="B483" s="564"/>
      <c r="C483" s="2185"/>
      <c r="D483" s="601"/>
      <c r="E483" s="601"/>
      <c r="F483" s="601"/>
      <c r="G483" s="601"/>
      <c r="H483" s="601"/>
      <c r="I483" s="1509"/>
      <c r="J483" s="1509"/>
      <c r="K483" s="1509"/>
      <c r="L483" s="1509"/>
      <c r="M483" s="1509"/>
      <c r="N483" s="601"/>
      <c r="O483" s="601"/>
      <c r="P483" s="3823"/>
      <c r="Q483" s="3823"/>
      <c r="R483" s="601"/>
      <c r="S483" s="601"/>
      <c r="T483" s="1477"/>
      <c r="U483" s="1477"/>
      <c r="V483" s="1477"/>
      <c r="W483" s="1477"/>
      <c r="X483" s="1477"/>
      <c r="Y483" s="520"/>
      <c r="Z483" s="2293"/>
      <c r="AA483" s="520"/>
      <c r="AC483" s="520"/>
      <c r="AD483" s="520"/>
      <c r="AE483" s="520"/>
      <c r="AF483" s="2344"/>
      <c r="AG483" s="520"/>
      <c r="AH483" s="520"/>
    </row>
    <row r="484" spans="1:34" ht="15" customHeight="1" x14ac:dyDescent="0.35">
      <c r="A484" s="601"/>
      <c r="B484" s="564"/>
      <c r="C484" s="2164" t="s">
        <v>111</v>
      </c>
      <c r="D484" s="3702" t="s">
        <v>316</v>
      </c>
      <c r="E484" s="3702"/>
      <c r="F484" s="3702"/>
      <c r="G484" s="3702"/>
      <c r="H484" s="3702"/>
      <c r="I484" s="601"/>
      <c r="J484" s="601"/>
      <c r="K484" s="601"/>
      <c r="L484" s="601"/>
      <c r="M484" s="601"/>
      <c r="N484" s="601"/>
      <c r="O484" s="601"/>
      <c r="P484" s="3797"/>
      <c r="Q484" s="3797"/>
      <c r="R484" s="601"/>
      <c r="S484" s="601"/>
      <c r="T484" s="3067" t="s">
        <v>181</v>
      </c>
      <c r="U484" s="2999"/>
      <c r="V484" s="2999"/>
      <c r="W484" s="2999"/>
      <c r="X484" s="3000"/>
      <c r="Y484" s="520"/>
      <c r="Z484" s="2293"/>
      <c r="AA484" s="520"/>
      <c r="AC484" s="520"/>
      <c r="AD484" s="520"/>
      <c r="AE484" s="520"/>
      <c r="AF484" s="2344"/>
      <c r="AG484" s="520"/>
      <c r="AH484" s="520"/>
    </row>
    <row r="485" spans="1:34" ht="15" customHeight="1" x14ac:dyDescent="0.35">
      <c r="A485" s="601"/>
      <c r="B485" s="564"/>
      <c r="C485" s="2185"/>
      <c r="D485" s="2387" t="s">
        <v>103</v>
      </c>
      <c r="E485" s="3735" t="s">
        <v>118</v>
      </c>
      <c r="F485" s="3736"/>
      <c r="G485" s="3736"/>
      <c r="H485" s="3737"/>
      <c r="I485" s="3817" t="s">
        <v>105</v>
      </c>
      <c r="J485" s="3817"/>
      <c r="K485" s="3817"/>
      <c r="L485" s="3817"/>
      <c r="M485" s="3817"/>
      <c r="N485" s="3817"/>
      <c r="O485" s="3817"/>
      <c r="P485" s="3750" t="s">
        <v>40</v>
      </c>
      <c r="Q485" s="3751"/>
      <c r="R485" s="3751"/>
      <c r="S485" s="3752"/>
      <c r="T485" s="1456">
        <v>1</v>
      </c>
      <c r="U485" s="1456">
        <v>2</v>
      </c>
      <c r="V485" s="1456">
        <v>3</v>
      </c>
      <c r="W485" s="1456">
        <v>4</v>
      </c>
      <c r="X485" s="1456">
        <v>5</v>
      </c>
      <c r="Y485" s="520"/>
      <c r="Z485" s="2293"/>
      <c r="AA485" s="520"/>
      <c r="AB485" s="3611">
        <v>4</v>
      </c>
      <c r="AC485" s="520"/>
      <c r="AD485" s="520"/>
      <c r="AE485" s="520"/>
      <c r="AF485" s="2344"/>
      <c r="AG485" s="520"/>
      <c r="AH485" s="520"/>
    </row>
    <row r="486" spans="1:34" ht="42" customHeight="1" x14ac:dyDescent="0.35">
      <c r="A486" s="601"/>
      <c r="B486" s="564"/>
      <c r="C486" s="2185"/>
      <c r="D486" s="3166">
        <v>1</v>
      </c>
      <c r="E486" s="3086" t="s">
        <v>118</v>
      </c>
      <c r="F486" s="3087"/>
      <c r="G486" s="3087"/>
      <c r="H486" s="3088"/>
      <c r="I486" s="3086" t="s">
        <v>380</v>
      </c>
      <c r="J486" s="3087"/>
      <c r="K486" s="3087"/>
      <c r="L486" s="3087"/>
      <c r="M486" s="3087"/>
      <c r="N486" s="3087"/>
      <c r="O486" s="3088"/>
      <c r="P486" s="3472" t="s">
        <v>489</v>
      </c>
      <c r="Q486" s="3473"/>
      <c r="R486" s="3473"/>
      <c r="S486" s="3474"/>
      <c r="T486" s="3026"/>
      <c r="U486" s="3026"/>
      <c r="V486" s="3026"/>
      <c r="W486" s="3026"/>
      <c r="X486" s="3026"/>
      <c r="Y486" s="520"/>
      <c r="Z486" s="2293"/>
      <c r="AA486" s="520"/>
      <c r="AB486" s="3611"/>
      <c r="AC486" s="520"/>
      <c r="AD486" s="520"/>
      <c r="AE486" s="520"/>
      <c r="AF486" s="2344"/>
      <c r="AG486" s="520"/>
      <c r="AH486" s="520"/>
    </row>
    <row r="487" spans="1:34" ht="42" customHeight="1" x14ac:dyDescent="0.35">
      <c r="A487" s="601"/>
      <c r="B487" s="564"/>
      <c r="C487" s="2185"/>
      <c r="D487" s="3168"/>
      <c r="E487" s="3092"/>
      <c r="F487" s="3093"/>
      <c r="G487" s="3093"/>
      <c r="H487" s="3094"/>
      <c r="I487" s="3092"/>
      <c r="J487" s="3093"/>
      <c r="K487" s="3093"/>
      <c r="L487" s="3093"/>
      <c r="M487" s="3093"/>
      <c r="N487" s="3093"/>
      <c r="O487" s="3094"/>
      <c r="P487" s="3478"/>
      <c r="Q487" s="3479"/>
      <c r="R487" s="3479"/>
      <c r="S487" s="3480"/>
      <c r="T487" s="3026"/>
      <c r="U487" s="3026"/>
      <c r="V487" s="3026"/>
      <c r="W487" s="3026"/>
      <c r="X487" s="3026"/>
      <c r="Y487" s="520"/>
      <c r="Z487" s="2293"/>
      <c r="AA487" s="520"/>
      <c r="AB487" s="3611"/>
      <c r="AC487" s="520"/>
      <c r="AD487" s="520"/>
      <c r="AE487" s="520"/>
      <c r="AF487" s="2344"/>
      <c r="AG487" s="520"/>
      <c r="AH487" s="520"/>
    </row>
    <row r="488" spans="1:34" ht="29.25" customHeight="1" x14ac:dyDescent="0.35">
      <c r="A488" s="144"/>
      <c r="B488" s="197"/>
      <c r="C488" s="189"/>
      <c r="D488" s="3790" t="s">
        <v>490</v>
      </c>
      <c r="E488" s="3726"/>
      <c r="F488" s="3726"/>
      <c r="G488" s="3726"/>
      <c r="H488" s="3726"/>
      <c r="I488" s="3726"/>
      <c r="J488" s="3726"/>
      <c r="K488" s="3726"/>
      <c r="L488" s="3726"/>
      <c r="M488" s="3726"/>
      <c r="N488" s="3726"/>
      <c r="O488" s="3727"/>
      <c r="P488" s="3210" t="s">
        <v>184</v>
      </c>
      <c r="Q488" s="3211"/>
      <c r="R488" s="3211"/>
      <c r="S488" s="3223"/>
      <c r="T488" s="1469">
        <f>COUNTIF(AB485,"1")*T485</f>
        <v>0</v>
      </c>
      <c r="U488" s="1469">
        <f>COUNTIF(AB485,"2")*U485</f>
        <v>0</v>
      </c>
      <c r="V488" s="1469">
        <f>COUNTIF(AB485,"3")*V485</f>
        <v>0</v>
      </c>
      <c r="W488" s="1469">
        <f>COUNTIF(AB485,"4")*W485</f>
        <v>4</v>
      </c>
      <c r="X488" s="1469">
        <f>COUNTIF(AB485,"1")*X485</f>
        <v>0</v>
      </c>
      <c r="Y488" s="520"/>
      <c r="Z488" s="2293"/>
      <c r="AA488" s="520"/>
      <c r="AC488" s="520"/>
      <c r="AD488" s="520"/>
      <c r="AE488" s="520"/>
      <c r="AF488" s="2344"/>
      <c r="AG488" s="520"/>
      <c r="AH488" s="520"/>
    </row>
    <row r="489" spans="1:34" ht="29.25" customHeight="1" x14ac:dyDescent="0.35">
      <c r="A489" s="144"/>
      <c r="B489" s="197"/>
      <c r="C489" s="189"/>
      <c r="D489" s="3791"/>
      <c r="E489" s="3730"/>
      <c r="F489" s="3730"/>
      <c r="G489" s="3730"/>
      <c r="H489" s="3730"/>
      <c r="I489" s="3730"/>
      <c r="J489" s="3730"/>
      <c r="K489" s="3730"/>
      <c r="L489" s="3730"/>
      <c r="M489" s="3730"/>
      <c r="N489" s="3730"/>
      <c r="O489" s="3731"/>
      <c r="P489" s="3212"/>
      <c r="Q489" s="3213"/>
      <c r="R489" s="3213"/>
      <c r="S489" s="3224"/>
      <c r="T489" s="3240">
        <f>SUM(T488:X488)</f>
        <v>4</v>
      </c>
      <c r="U489" s="3241"/>
      <c r="V489" s="3241"/>
      <c r="W489" s="3241"/>
      <c r="X489" s="3242"/>
      <c r="Y489" s="520"/>
      <c r="Z489" s="2293"/>
      <c r="AA489" s="520"/>
      <c r="AC489" s="520"/>
      <c r="AD489" s="520"/>
      <c r="AE489" s="520"/>
      <c r="AF489" s="2344"/>
      <c r="AG489" s="520"/>
      <c r="AH489" s="520"/>
    </row>
    <row r="490" spans="1:34" ht="84" customHeight="1" x14ac:dyDescent="0.35">
      <c r="A490" s="144"/>
      <c r="B490" s="197"/>
      <c r="C490" s="189"/>
      <c r="D490" s="3732"/>
      <c r="E490" s="3733"/>
      <c r="F490" s="3733"/>
      <c r="G490" s="3733"/>
      <c r="H490" s="3733"/>
      <c r="I490" s="3733"/>
      <c r="J490" s="3733"/>
      <c r="K490" s="3733"/>
      <c r="L490" s="3733"/>
      <c r="M490" s="3733"/>
      <c r="N490" s="3733"/>
      <c r="O490" s="3734"/>
      <c r="P490" s="3615" t="s">
        <v>182</v>
      </c>
      <c r="Q490" s="3616"/>
      <c r="R490" s="3616"/>
      <c r="S490" s="3617"/>
      <c r="T490" s="3125">
        <f>SUM(T489:X489)/AF490</f>
        <v>4</v>
      </c>
      <c r="U490" s="3125"/>
      <c r="V490" s="3612" t="str">
        <f>IF(ROUND(T490,0)=1,"Sangat Tidak Memenuhi Syarat",IF(ROUND(T490,0)=2,"Kurang Memenuhi Syarat",IF(ROUND(T490,0)=3,"Cukup Memenuhi Syarat",IF(ROUND(T490,0)=4,"Memenuhi Syarat",IF(ROUND(T490,0)=5,"Sangat Memenuhi Syarat")))))</f>
        <v>Memenuhi Syarat</v>
      </c>
      <c r="W490" s="3613"/>
      <c r="X490" s="3614"/>
      <c r="Y490" s="520"/>
      <c r="Z490" s="2293"/>
      <c r="AA490" s="520"/>
      <c r="AC490" s="520"/>
      <c r="AD490" s="520"/>
      <c r="AE490" s="520"/>
      <c r="AF490" s="2345">
        <f>COUNTIF(AB485,"&gt;0")</f>
        <v>1</v>
      </c>
      <c r="AG490" s="520"/>
      <c r="AH490" s="520"/>
    </row>
    <row r="491" spans="1:34" ht="17.25" x14ac:dyDescent="0.35">
      <c r="A491" s="144"/>
      <c r="B491" s="197"/>
      <c r="C491" s="189"/>
      <c r="D491" s="1521"/>
      <c r="E491" s="1521"/>
      <c r="F491" s="1519"/>
      <c r="G491" s="1519"/>
      <c r="H491" s="1519"/>
      <c r="I491" s="1519"/>
      <c r="J491" s="1519"/>
      <c r="K491" s="1519"/>
      <c r="L491" s="1519"/>
      <c r="M491" s="1519"/>
      <c r="N491" s="1519"/>
      <c r="O491" s="1519"/>
      <c r="P491" s="1505"/>
      <c r="Q491" s="1505"/>
      <c r="R491" s="513"/>
      <c r="S491" s="144"/>
      <c r="T491" s="1268"/>
      <c r="U491" s="1268"/>
      <c r="V491" s="1268"/>
      <c r="W491" s="1268"/>
      <c r="X491" s="1268"/>
      <c r="Y491" s="520"/>
      <c r="Z491" s="2293"/>
      <c r="AA491" s="520"/>
      <c r="AC491" s="520"/>
      <c r="AD491" s="520"/>
      <c r="AE491" s="520"/>
      <c r="AF491" s="2344"/>
      <c r="AG491" s="520"/>
      <c r="AH491" s="520"/>
    </row>
    <row r="492" spans="1:34" ht="15" customHeight="1" x14ac:dyDescent="0.35">
      <c r="A492" s="601"/>
      <c r="B492" s="564"/>
      <c r="C492" s="2367" t="s">
        <v>112</v>
      </c>
      <c r="D492" s="3702" t="s">
        <v>806</v>
      </c>
      <c r="E492" s="3702"/>
      <c r="F492" s="3702"/>
      <c r="G492" s="3702"/>
      <c r="H492" s="3702"/>
      <c r="I492" s="601"/>
      <c r="J492" s="601"/>
      <c r="K492" s="601"/>
      <c r="L492" s="601"/>
      <c r="M492" s="601"/>
      <c r="N492" s="601"/>
      <c r="O492" s="601"/>
      <c r="P492" s="3797"/>
      <c r="Q492" s="3797"/>
      <c r="R492" s="2198"/>
      <c r="S492" s="601"/>
      <c r="T492" s="3134" t="s">
        <v>181</v>
      </c>
      <c r="U492" s="3135"/>
      <c r="V492" s="3135"/>
      <c r="W492" s="3135"/>
      <c r="X492" s="3136"/>
      <c r="Y492" s="520"/>
      <c r="Z492" s="2293"/>
      <c r="AA492" s="520"/>
      <c r="AC492" s="520"/>
      <c r="AD492" s="520"/>
      <c r="AE492" s="520"/>
      <c r="AF492" s="2344"/>
      <c r="AG492" s="520"/>
      <c r="AH492" s="520"/>
    </row>
    <row r="493" spans="1:34" ht="15" customHeight="1" x14ac:dyDescent="0.35">
      <c r="A493" s="601"/>
      <c r="B493" s="564"/>
      <c r="C493" s="2185"/>
      <c r="D493" s="2388" t="s">
        <v>103</v>
      </c>
      <c r="E493" s="3735" t="s">
        <v>118</v>
      </c>
      <c r="F493" s="3736"/>
      <c r="G493" s="3736"/>
      <c r="H493" s="3736"/>
      <c r="I493" s="3822" t="s">
        <v>105</v>
      </c>
      <c r="J493" s="3822"/>
      <c r="K493" s="3822"/>
      <c r="L493" s="3822"/>
      <c r="M493" s="3822"/>
      <c r="N493" s="3822"/>
      <c r="O493" s="3822"/>
      <c r="P493" s="3751" t="s">
        <v>40</v>
      </c>
      <c r="Q493" s="3751"/>
      <c r="R493" s="3751"/>
      <c r="S493" s="3752"/>
      <c r="T493" s="1473">
        <v>1</v>
      </c>
      <c r="U493" s="1473">
        <v>2</v>
      </c>
      <c r="V493" s="2381">
        <v>3</v>
      </c>
      <c r="W493" s="1473">
        <v>4</v>
      </c>
      <c r="X493" s="2381">
        <v>5</v>
      </c>
      <c r="Y493" s="520"/>
      <c r="Z493" s="2293"/>
      <c r="AA493" s="520"/>
      <c r="AC493" s="520"/>
      <c r="AD493" s="520"/>
      <c r="AE493" s="520"/>
      <c r="AF493" s="2344"/>
      <c r="AG493" s="520"/>
      <c r="AH493" s="520"/>
    </row>
    <row r="494" spans="1:34" ht="42" customHeight="1" x14ac:dyDescent="0.35">
      <c r="A494" s="601"/>
      <c r="B494" s="564"/>
      <c r="C494" s="2185"/>
      <c r="D494" s="3166">
        <v>1</v>
      </c>
      <c r="E494" s="3516" t="s">
        <v>807</v>
      </c>
      <c r="F494" s="3517"/>
      <c r="G494" s="3517"/>
      <c r="H494" s="3518"/>
      <c r="I494" s="3086" t="s">
        <v>381</v>
      </c>
      <c r="J494" s="3087"/>
      <c r="K494" s="3087"/>
      <c r="L494" s="3087"/>
      <c r="M494" s="3087"/>
      <c r="N494" s="3087"/>
      <c r="O494" s="3088"/>
      <c r="P494" s="3433" t="s">
        <v>317</v>
      </c>
      <c r="Q494" s="3434"/>
      <c r="R494" s="3434"/>
      <c r="S494" s="3435"/>
      <c r="T494" s="3490"/>
      <c r="U494" s="3490"/>
      <c r="V494" s="3720"/>
      <c r="W494" s="3490"/>
      <c r="X494" s="3720"/>
      <c r="Y494" s="520"/>
      <c r="Z494" s="2293"/>
      <c r="AA494" s="520"/>
      <c r="AB494" s="3611">
        <v>5</v>
      </c>
      <c r="AC494" s="520"/>
      <c r="AD494" s="520"/>
      <c r="AE494" s="520"/>
      <c r="AF494" s="2344"/>
      <c r="AG494" s="520"/>
      <c r="AH494" s="520"/>
    </row>
    <row r="495" spans="1:34" ht="42" customHeight="1" x14ac:dyDescent="0.35">
      <c r="A495" s="601"/>
      <c r="B495" s="564"/>
      <c r="C495" s="2185"/>
      <c r="D495" s="3168"/>
      <c r="E495" s="3522"/>
      <c r="F495" s="3523"/>
      <c r="G495" s="3523"/>
      <c r="H495" s="3524"/>
      <c r="I495" s="3092"/>
      <c r="J495" s="3093"/>
      <c r="K495" s="3093"/>
      <c r="L495" s="3093"/>
      <c r="M495" s="3093"/>
      <c r="N495" s="3093"/>
      <c r="O495" s="3094"/>
      <c r="P495" s="3439"/>
      <c r="Q495" s="3440"/>
      <c r="R495" s="3440"/>
      <c r="S495" s="3441"/>
      <c r="T495" s="3618"/>
      <c r="U495" s="3618"/>
      <c r="V495" s="3721"/>
      <c r="W495" s="3618"/>
      <c r="X495" s="3723"/>
      <c r="Y495" s="520"/>
      <c r="Z495" s="2293"/>
      <c r="AA495" s="520"/>
      <c r="AB495" s="3611"/>
      <c r="AC495" s="520"/>
      <c r="AD495" s="520"/>
      <c r="AE495" s="520"/>
      <c r="AF495" s="2344"/>
      <c r="AG495" s="520"/>
      <c r="AH495" s="520"/>
    </row>
    <row r="496" spans="1:34" ht="29.25" customHeight="1" x14ac:dyDescent="0.35">
      <c r="A496" s="144"/>
      <c r="B496" s="197"/>
      <c r="C496" s="189"/>
      <c r="D496" s="3818" t="s">
        <v>343</v>
      </c>
      <c r="E496" s="3819"/>
      <c r="F496" s="3443"/>
      <c r="G496" s="3443"/>
      <c r="H496" s="3443"/>
      <c r="I496" s="3443"/>
      <c r="J496" s="3443"/>
      <c r="K496" s="3443"/>
      <c r="L496" s="3443"/>
      <c r="M496" s="3443"/>
      <c r="N496" s="3443"/>
      <c r="O496" s="3444"/>
      <c r="P496" s="3210" t="s">
        <v>184</v>
      </c>
      <c r="Q496" s="3211"/>
      <c r="R496" s="3211"/>
      <c r="S496" s="3223"/>
      <c r="T496" s="1469">
        <f>COUNTIF(AB494,"1")*T493</f>
        <v>0</v>
      </c>
      <c r="U496" s="1469">
        <f>COUNTIF(AB494,"2")*U493</f>
        <v>0</v>
      </c>
      <c r="V496" s="1469">
        <f>COUNTIF(AB494,"3")*V493</f>
        <v>0</v>
      </c>
      <c r="W496" s="1469">
        <f>COUNTIF(AB494,"4")*W493</f>
        <v>0</v>
      </c>
      <c r="X496" s="1469">
        <f>COUNTIF(AB494,"5")*X493</f>
        <v>5</v>
      </c>
      <c r="Y496" s="520"/>
      <c r="Z496" s="2293"/>
      <c r="AA496" s="520"/>
      <c r="AB496" s="3611"/>
      <c r="AC496" s="520"/>
      <c r="AD496" s="520"/>
      <c r="AE496" s="520"/>
      <c r="AF496" s="2344"/>
      <c r="AG496" s="520"/>
      <c r="AH496" s="520"/>
    </row>
    <row r="497" spans="1:34" ht="27" customHeight="1" x14ac:dyDescent="0.35">
      <c r="A497" s="144"/>
      <c r="B497" s="197"/>
      <c r="C497" s="189"/>
      <c r="D497" s="3820"/>
      <c r="E497" s="3821"/>
      <c r="F497" s="3446"/>
      <c r="G497" s="3446"/>
      <c r="H497" s="3446"/>
      <c r="I497" s="3446"/>
      <c r="J497" s="3446"/>
      <c r="K497" s="3446"/>
      <c r="L497" s="3446"/>
      <c r="M497" s="3446"/>
      <c r="N497" s="3446"/>
      <c r="O497" s="3447"/>
      <c r="P497" s="3212"/>
      <c r="Q497" s="3213"/>
      <c r="R497" s="3213"/>
      <c r="S497" s="3224"/>
      <c r="T497" s="3240">
        <f>SUM(T496:X496)</f>
        <v>5</v>
      </c>
      <c r="U497" s="3241"/>
      <c r="V497" s="3241"/>
      <c r="W497" s="3241"/>
      <c r="X497" s="3242"/>
      <c r="Y497" s="520"/>
      <c r="Z497" s="2293"/>
      <c r="AA497" s="520"/>
      <c r="AC497" s="520"/>
      <c r="AD497" s="520"/>
      <c r="AE497" s="520"/>
      <c r="AF497" s="2344"/>
      <c r="AG497" s="520"/>
      <c r="AH497" s="520"/>
    </row>
    <row r="498" spans="1:34" ht="74.25" customHeight="1" x14ac:dyDescent="0.35">
      <c r="A498" s="144"/>
      <c r="B498" s="197"/>
      <c r="C498" s="515"/>
      <c r="D498" s="3448"/>
      <c r="E498" s="3449"/>
      <c r="F498" s="3449"/>
      <c r="G498" s="3449"/>
      <c r="H498" s="3449"/>
      <c r="I498" s="3449"/>
      <c r="J498" s="3449"/>
      <c r="K498" s="3449"/>
      <c r="L498" s="3449"/>
      <c r="M498" s="3449"/>
      <c r="N498" s="3449"/>
      <c r="O498" s="3450"/>
      <c r="P498" s="3615" t="s">
        <v>182</v>
      </c>
      <c r="Q498" s="3616"/>
      <c r="R498" s="3616"/>
      <c r="S498" s="3617"/>
      <c r="T498" s="3125">
        <f>SUM(T497:X497)/AF498</f>
        <v>5</v>
      </c>
      <c r="U498" s="3125"/>
      <c r="V498" s="3612" t="str">
        <f>IF(ROUND(T498,0)=1,"Sangat Tidak Memenuhi Syarat",IF(ROUND(T498,0)=2,"Kurang Memenuhi Syarat",IF(ROUND(T498,0)=3,"Cukup Memenuhi Syarat",IF(ROUND(T498,0)=4,"Memenuhi Syarat",IF(ROUND(T498,0)=5,"Sangat Memenuhi Syarat")))))</f>
        <v>Sangat Memenuhi Syarat</v>
      </c>
      <c r="W498" s="3613"/>
      <c r="X498" s="3614"/>
      <c r="Y498" s="520"/>
      <c r="Z498" s="2293"/>
      <c r="AA498" s="520"/>
      <c r="AC498" s="520"/>
      <c r="AD498" s="520"/>
      <c r="AE498" s="520"/>
      <c r="AF498" s="2345">
        <f>COUNTIF(AB494,"&gt;0")</f>
        <v>1</v>
      </c>
      <c r="AG498" s="520"/>
      <c r="AH498" s="520"/>
    </row>
    <row r="499" spans="1:34" ht="17.25" x14ac:dyDescent="0.35">
      <c r="A499" s="144"/>
      <c r="B499" s="197"/>
      <c r="C499" s="189"/>
      <c r="D499" s="513"/>
      <c r="E499" s="513"/>
      <c r="F499" s="513"/>
      <c r="G499" s="513"/>
      <c r="H499" s="513"/>
      <c r="I499" s="514"/>
      <c r="J499" s="514"/>
      <c r="K499" s="514"/>
      <c r="L499" s="514"/>
      <c r="M499" s="514"/>
      <c r="N499" s="514"/>
      <c r="O499" s="514"/>
      <c r="P499" s="513"/>
      <c r="Q499" s="513"/>
      <c r="R499" s="513"/>
      <c r="S499" s="513"/>
      <c r="T499" s="505"/>
      <c r="U499" s="1535"/>
      <c r="V499" s="1535"/>
      <c r="W499" s="1535"/>
      <c r="X499" s="1535"/>
      <c r="Y499" s="520"/>
      <c r="Z499" s="2293"/>
      <c r="AA499" s="520"/>
      <c r="AC499" s="520"/>
      <c r="AD499" s="520"/>
      <c r="AE499" s="520"/>
      <c r="AF499" s="2344"/>
      <c r="AG499" s="520"/>
      <c r="AH499" s="520"/>
    </row>
    <row r="500" spans="1:34" ht="15" customHeight="1" x14ac:dyDescent="0.35">
      <c r="A500" s="601"/>
      <c r="B500" s="2366"/>
      <c r="C500" s="2164" t="s">
        <v>117</v>
      </c>
      <c r="D500" s="3481" t="s">
        <v>150</v>
      </c>
      <c r="E500" s="3481"/>
      <c r="F500" s="3481"/>
      <c r="G500" s="3481"/>
      <c r="H500" s="601"/>
      <c r="I500" s="1489"/>
      <c r="J500" s="1489"/>
      <c r="K500" s="1489"/>
      <c r="L500" s="1489"/>
      <c r="M500" s="1489"/>
      <c r="N500" s="1489"/>
      <c r="O500" s="1489"/>
      <c r="P500" s="601"/>
      <c r="Q500" s="601"/>
      <c r="R500" s="2198"/>
      <c r="S500" s="2198"/>
      <c r="T500" s="3049" t="s">
        <v>181</v>
      </c>
      <c r="U500" s="3049"/>
      <c r="V500" s="3049"/>
      <c r="W500" s="3049"/>
      <c r="X500" s="3049"/>
      <c r="Y500" s="520"/>
      <c r="Z500" s="2293"/>
      <c r="AA500" s="520"/>
      <c r="AC500" s="520"/>
      <c r="AD500" s="520"/>
      <c r="AE500" s="520"/>
      <c r="AF500" s="2344"/>
      <c r="AG500" s="520"/>
      <c r="AH500" s="520"/>
    </row>
    <row r="501" spans="1:34" ht="15" customHeight="1" x14ac:dyDescent="0.35">
      <c r="A501" s="601"/>
      <c r="B501" s="564"/>
      <c r="C501" s="2185"/>
      <c r="D501" s="2389" t="s">
        <v>103</v>
      </c>
      <c r="E501" s="3735" t="s">
        <v>118</v>
      </c>
      <c r="F501" s="3736"/>
      <c r="G501" s="3736"/>
      <c r="H501" s="3737"/>
      <c r="I501" s="3750" t="s">
        <v>105</v>
      </c>
      <c r="J501" s="3751"/>
      <c r="K501" s="3751"/>
      <c r="L501" s="3751"/>
      <c r="M501" s="3751"/>
      <c r="N501" s="3751"/>
      <c r="O501" s="3752"/>
      <c r="P501" s="3750" t="s">
        <v>40</v>
      </c>
      <c r="Q501" s="3751"/>
      <c r="R501" s="3751"/>
      <c r="S501" s="3752"/>
      <c r="T501" s="1473">
        <v>1</v>
      </c>
      <c r="U501" s="1473">
        <v>2</v>
      </c>
      <c r="V501" s="1473">
        <v>3</v>
      </c>
      <c r="W501" s="1473">
        <v>4</v>
      </c>
      <c r="X501" s="1473">
        <v>5</v>
      </c>
      <c r="Y501" s="520"/>
      <c r="Z501" s="2293"/>
      <c r="AA501" s="520"/>
      <c r="AC501" s="520"/>
      <c r="AD501" s="520"/>
      <c r="AE501" s="520"/>
      <c r="AF501" s="2344"/>
      <c r="AG501" s="520"/>
      <c r="AH501" s="520"/>
    </row>
    <row r="502" spans="1:34" ht="42" customHeight="1" x14ac:dyDescent="0.35">
      <c r="A502" s="601"/>
      <c r="B502" s="564"/>
      <c r="C502" s="2185"/>
      <c r="D502" s="3166">
        <v>1</v>
      </c>
      <c r="E502" s="3086" t="s">
        <v>150</v>
      </c>
      <c r="F502" s="3087"/>
      <c r="G502" s="3087"/>
      <c r="H502" s="3088"/>
      <c r="I502" s="3086" t="s">
        <v>382</v>
      </c>
      <c r="J502" s="3087"/>
      <c r="K502" s="3087"/>
      <c r="L502" s="3087"/>
      <c r="M502" s="3087"/>
      <c r="N502" s="3087"/>
      <c r="O502" s="3088"/>
      <c r="P502" s="3433" t="s">
        <v>162</v>
      </c>
      <c r="Q502" s="3434"/>
      <c r="R502" s="3434"/>
      <c r="S502" s="3435"/>
      <c r="T502" s="3716"/>
      <c r="U502" s="3716"/>
      <c r="V502" s="3718"/>
      <c r="W502" s="3718"/>
      <c r="X502" s="3716"/>
      <c r="Y502" s="520"/>
      <c r="Z502" s="2293"/>
      <c r="AA502" s="520"/>
      <c r="AB502" s="3611">
        <v>4</v>
      </c>
      <c r="AC502" s="520"/>
      <c r="AD502" s="520"/>
      <c r="AE502" s="520"/>
      <c r="AF502" s="2344"/>
      <c r="AG502" s="520"/>
      <c r="AH502" s="520"/>
    </row>
    <row r="503" spans="1:34" ht="42" customHeight="1" x14ac:dyDescent="0.35">
      <c r="A503" s="601"/>
      <c r="B503" s="564"/>
      <c r="C503" s="2185"/>
      <c r="D503" s="3168"/>
      <c r="E503" s="3092"/>
      <c r="F503" s="3093"/>
      <c r="G503" s="3093"/>
      <c r="H503" s="3094"/>
      <c r="I503" s="3092"/>
      <c r="J503" s="3093"/>
      <c r="K503" s="3093"/>
      <c r="L503" s="3093"/>
      <c r="M503" s="3093"/>
      <c r="N503" s="3093"/>
      <c r="O503" s="3094"/>
      <c r="P503" s="3439"/>
      <c r="Q503" s="3440"/>
      <c r="R503" s="3440"/>
      <c r="S503" s="3441"/>
      <c r="T503" s="3717"/>
      <c r="U503" s="3717"/>
      <c r="V503" s="3719"/>
      <c r="W503" s="3719"/>
      <c r="X503" s="3717"/>
      <c r="Y503" s="520"/>
      <c r="Z503" s="2293"/>
      <c r="AA503" s="520"/>
      <c r="AB503" s="3611"/>
      <c r="AC503" s="520"/>
      <c r="AD503" s="520"/>
      <c r="AE503" s="520"/>
      <c r="AF503" s="2344"/>
      <c r="AG503" s="520"/>
      <c r="AH503" s="520"/>
    </row>
    <row r="504" spans="1:34" ht="30.75" customHeight="1" x14ac:dyDescent="0.35">
      <c r="A504" s="144"/>
      <c r="B504" s="197"/>
      <c r="C504" s="189"/>
      <c r="D504" s="3724" t="s">
        <v>344</v>
      </c>
      <c r="E504" s="3725"/>
      <c r="F504" s="3726"/>
      <c r="G504" s="3726"/>
      <c r="H504" s="3726"/>
      <c r="I504" s="3726"/>
      <c r="J504" s="3726"/>
      <c r="K504" s="3726"/>
      <c r="L504" s="3726"/>
      <c r="M504" s="3726"/>
      <c r="N504" s="3726"/>
      <c r="O504" s="3727"/>
      <c r="P504" s="3210" t="s">
        <v>184</v>
      </c>
      <c r="Q504" s="3211"/>
      <c r="R504" s="3211"/>
      <c r="S504" s="3223"/>
      <c r="T504" s="1469">
        <f>COUNTIF(AB502:AB503,"1")*T501</f>
        <v>0</v>
      </c>
      <c r="U504" s="1469">
        <f>COUNTIF(AB502:AB503,"2")*U501</f>
        <v>0</v>
      </c>
      <c r="V504" s="1469">
        <f>COUNTIF(AB502:AB503,"3")*V501</f>
        <v>0</v>
      </c>
      <c r="W504" s="1469">
        <f>COUNTIF(AB502:AB503,"4")*W501</f>
        <v>4</v>
      </c>
      <c r="X504" s="1469">
        <f>COUNTIF(AB502:AB503,"5")*X501</f>
        <v>0</v>
      </c>
      <c r="Y504" s="520"/>
      <c r="Z504" s="2293"/>
      <c r="AA504" s="520"/>
      <c r="AB504" s="3611"/>
      <c r="AC504" s="520"/>
      <c r="AD504" s="520"/>
      <c r="AE504" s="520"/>
      <c r="AF504" s="2344"/>
      <c r="AG504" s="520"/>
      <c r="AH504" s="520"/>
    </row>
    <row r="505" spans="1:34" ht="30" customHeight="1" x14ac:dyDescent="0.35">
      <c r="A505" s="144"/>
      <c r="B505" s="197"/>
      <c r="C505" s="189"/>
      <c r="D505" s="3728"/>
      <c r="E505" s="3729"/>
      <c r="F505" s="3730"/>
      <c r="G505" s="3730"/>
      <c r="H505" s="3730"/>
      <c r="I505" s="3730"/>
      <c r="J505" s="3730"/>
      <c r="K505" s="3730"/>
      <c r="L505" s="3730"/>
      <c r="M505" s="3730"/>
      <c r="N505" s="3730"/>
      <c r="O505" s="3731"/>
      <c r="P505" s="3212"/>
      <c r="Q505" s="3213"/>
      <c r="R505" s="3213"/>
      <c r="S505" s="3224"/>
      <c r="T505" s="3240">
        <f>SUM(T504:X504)</f>
        <v>4</v>
      </c>
      <c r="U505" s="3241"/>
      <c r="V505" s="3241"/>
      <c r="W505" s="3241"/>
      <c r="X505" s="3242"/>
      <c r="Y505" s="520"/>
      <c r="Z505" s="2293"/>
      <c r="AA505" s="520"/>
      <c r="AC505" s="520"/>
      <c r="AD505" s="520"/>
      <c r="AE505" s="520"/>
      <c r="AF505" s="2344"/>
      <c r="AG505" s="520"/>
      <c r="AH505" s="520"/>
    </row>
    <row r="506" spans="1:34" ht="75.75" customHeight="1" x14ac:dyDescent="0.35">
      <c r="A506" s="144"/>
      <c r="B506" s="197"/>
      <c r="C506" s="515"/>
      <c r="D506" s="3732"/>
      <c r="E506" s="3733"/>
      <c r="F506" s="3733"/>
      <c r="G506" s="3733"/>
      <c r="H506" s="3733"/>
      <c r="I506" s="3733"/>
      <c r="J506" s="3733"/>
      <c r="K506" s="3733"/>
      <c r="L506" s="3733"/>
      <c r="M506" s="3733"/>
      <c r="N506" s="3733"/>
      <c r="O506" s="3734"/>
      <c r="P506" s="3615" t="s">
        <v>182</v>
      </c>
      <c r="Q506" s="3616"/>
      <c r="R506" s="3616"/>
      <c r="S506" s="3617"/>
      <c r="T506" s="3125">
        <f>SUM(T505:X505)/AF506</f>
        <v>4</v>
      </c>
      <c r="U506" s="3125"/>
      <c r="V506" s="3612" t="str">
        <f>IF(ROUND(T506,0)=1,"Sangat Tidak Memenuhi Syarat",IF(ROUND(T506,0)=2,"Kurang Memenuhi Syarat",IF(ROUND(T506,0)=3,"Cukup Memenuhi Syarat",IF(ROUND(T506,0)=4,"Memenuhi Syarat",IF(ROUND(T506,0)=5,"Sangat Memenuhi Syarat")))))</f>
        <v>Memenuhi Syarat</v>
      </c>
      <c r="W506" s="3613"/>
      <c r="X506" s="3614"/>
      <c r="Y506" s="520"/>
      <c r="Z506" s="2293"/>
      <c r="AA506" s="520"/>
      <c r="AC506" s="520"/>
      <c r="AD506" s="520"/>
      <c r="AE506" s="520"/>
      <c r="AF506" s="2345">
        <f>COUNTIF(AB502,"&gt;0")</f>
        <v>1</v>
      </c>
      <c r="AG506" s="520"/>
      <c r="AH506" s="520"/>
    </row>
    <row r="507" spans="1:34" ht="15" customHeight="1" x14ac:dyDescent="0.35">
      <c r="A507" s="144"/>
      <c r="B507" s="201"/>
      <c r="C507" s="189"/>
      <c r="D507" s="189"/>
      <c r="E507" s="189"/>
      <c r="F507" s="189"/>
      <c r="G507" s="189"/>
      <c r="H507" s="189"/>
      <c r="I507" s="189"/>
      <c r="J507" s="189"/>
      <c r="K507" s="189"/>
      <c r="L507" s="189"/>
      <c r="M507" s="189"/>
      <c r="N507" s="189"/>
      <c r="O507" s="189"/>
      <c r="P507" s="380"/>
      <c r="Q507" s="380"/>
      <c r="R507" s="516"/>
      <c r="S507" s="516"/>
      <c r="T507" s="517"/>
      <c r="U507" s="164"/>
      <c r="V507" s="164"/>
      <c r="W507" s="164"/>
      <c r="X507" s="517"/>
      <c r="Y507" s="520"/>
      <c r="Z507" s="2293"/>
      <c r="AA507" s="520"/>
      <c r="AC507" s="520"/>
      <c r="AD507" s="520"/>
      <c r="AE507" s="520"/>
      <c r="AF507" s="2344"/>
      <c r="AG507" s="520"/>
      <c r="AH507" s="520"/>
    </row>
    <row r="508" spans="1:34" ht="18.399999999999999" customHeight="1" x14ac:dyDescent="0.35">
      <c r="A508" s="601"/>
      <c r="B508" s="568"/>
      <c r="C508" s="3507" t="s">
        <v>120</v>
      </c>
      <c r="D508" s="3507"/>
      <c r="E508" s="3507"/>
      <c r="F508" s="3507"/>
      <c r="G508" s="3507"/>
      <c r="H508" s="3507"/>
      <c r="I508" s="3507"/>
      <c r="J508" s="3507"/>
      <c r="K508" s="3507"/>
      <c r="L508" s="3507"/>
      <c r="M508" s="3507"/>
      <c r="N508" s="3507"/>
      <c r="O508" s="3507"/>
      <c r="P508" s="3507"/>
      <c r="Q508" s="3507"/>
      <c r="R508" s="3507"/>
      <c r="S508" s="2371"/>
      <c r="T508" s="2372"/>
      <c r="U508" s="1536"/>
      <c r="V508" s="1536"/>
      <c r="W508" s="1536"/>
      <c r="X508" s="2381"/>
      <c r="Y508" s="520"/>
      <c r="Z508" s="2293"/>
      <c r="AA508" s="520"/>
      <c r="AC508" s="520"/>
      <c r="AD508" s="520"/>
      <c r="AE508" s="520"/>
      <c r="AF508" s="2344"/>
      <c r="AG508" s="520"/>
      <c r="AH508" s="520"/>
    </row>
    <row r="509" spans="1:34" ht="15" customHeight="1" x14ac:dyDescent="0.35">
      <c r="A509" s="601"/>
      <c r="B509" s="568"/>
      <c r="C509" s="2390" t="s">
        <v>832</v>
      </c>
      <c r="D509" s="3481" t="s">
        <v>121</v>
      </c>
      <c r="E509" s="3481"/>
      <c r="F509" s="3481"/>
      <c r="G509" s="3481"/>
      <c r="H509" s="3481"/>
      <c r="I509" s="601"/>
      <c r="J509" s="601"/>
      <c r="K509" s="601"/>
      <c r="L509" s="601"/>
      <c r="M509" s="601"/>
      <c r="N509" s="601"/>
      <c r="O509" s="601"/>
      <c r="P509" s="601"/>
      <c r="Q509" s="601"/>
      <c r="R509" s="2198"/>
      <c r="S509" s="2198"/>
      <c r="T509" s="3049" t="s">
        <v>181</v>
      </c>
      <c r="U509" s="3049"/>
      <c r="V509" s="3049"/>
      <c r="W509" s="3049"/>
      <c r="X509" s="3049"/>
      <c r="Y509" s="520"/>
      <c r="Z509" s="2293"/>
      <c r="AA509" s="520"/>
      <c r="AC509" s="520"/>
      <c r="AD509" s="520"/>
      <c r="AE509" s="520"/>
      <c r="AF509" s="2344"/>
      <c r="AG509" s="520"/>
      <c r="AH509" s="520"/>
    </row>
    <row r="510" spans="1:34" ht="15" customHeight="1" x14ac:dyDescent="0.35">
      <c r="A510" s="601"/>
      <c r="B510" s="564"/>
      <c r="C510" s="2185"/>
      <c r="D510" s="1470" t="s">
        <v>103</v>
      </c>
      <c r="E510" s="3204" t="s">
        <v>104</v>
      </c>
      <c r="F510" s="3205"/>
      <c r="G510" s="3205"/>
      <c r="H510" s="3206"/>
      <c r="I510" s="3204" t="s">
        <v>106</v>
      </c>
      <c r="J510" s="3205"/>
      <c r="K510" s="3205"/>
      <c r="L510" s="3205"/>
      <c r="M510" s="3205"/>
      <c r="N510" s="3205"/>
      <c r="O510" s="3206"/>
      <c r="P510" s="3751" t="s">
        <v>40</v>
      </c>
      <c r="Q510" s="3751"/>
      <c r="R510" s="3752"/>
      <c r="S510" s="2391"/>
      <c r="T510" s="1473">
        <v>1</v>
      </c>
      <c r="U510" s="1473">
        <v>2</v>
      </c>
      <c r="V510" s="1473">
        <v>3</v>
      </c>
      <c r="W510" s="1473">
        <v>4</v>
      </c>
      <c r="X510" s="1473">
        <v>5</v>
      </c>
      <c r="Y510" s="520"/>
      <c r="Z510" s="2293"/>
      <c r="AA510" s="520"/>
      <c r="AC510" s="520"/>
      <c r="AD510" s="520"/>
      <c r="AE510" s="520"/>
      <c r="AF510" s="2344"/>
      <c r="AG510" s="520"/>
      <c r="AH510" s="520"/>
    </row>
    <row r="511" spans="1:34" ht="12.75" customHeight="1" x14ac:dyDescent="0.35">
      <c r="A511" s="601"/>
      <c r="B511" s="564"/>
      <c r="C511" s="2185"/>
      <c r="D511" s="3166">
        <v>1</v>
      </c>
      <c r="E511" s="3086" t="s">
        <v>122</v>
      </c>
      <c r="F511" s="3087"/>
      <c r="G511" s="3087"/>
      <c r="H511" s="3088"/>
      <c r="I511" s="3451"/>
      <c r="J511" s="3429"/>
      <c r="K511" s="3429"/>
      <c r="L511" s="3429"/>
      <c r="M511" s="3429"/>
      <c r="N511" s="3429"/>
      <c r="O511" s="3429"/>
      <c r="P511" s="3472" t="s">
        <v>1827</v>
      </c>
      <c r="Q511" s="3473"/>
      <c r="R511" s="3473"/>
      <c r="S511" s="3474"/>
      <c r="T511" s="3153"/>
      <c r="U511" s="3153"/>
      <c r="V511" s="3153"/>
      <c r="W511" s="3153"/>
      <c r="X511" s="3153"/>
      <c r="Y511" s="520"/>
      <c r="Z511" s="2293"/>
      <c r="AA511" s="520"/>
      <c r="AB511" s="3611">
        <v>5</v>
      </c>
      <c r="AC511" s="520"/>
      <c r="AD511" s="520"/>
      <c r="AE511" s="520"/>
      <c r="AF511" s="2344"/>
      <c r="AG511" s="520"/>
      <c r="AH511" s="520"/>
    </row>
    <row r="512" spans="1:34" ht="12.75" customHeight="1" x14ac:dyDescent="0.35">
      <c r="A512" s="601"/>
      <c r="B512" s="564"/>
      <c r="C512" s="2185"/>
      <c r="D512" s="3167"/>
      <c r="E512" s="3089"/>
      <c r="F512" s="3090"/>
      <c r="G512" s="3090"/>
      <c r="H512" s="3091"/>
      <c r="I512" s="3483" t="s">
        <v>318</v>
      </c>
      <c r="J512" s="3427"/>
      <c r="K512" s="3427"/>
      <c r="L512" s="3427"/>
      <c r="M512" s="3427"/>
      <c r="N512" s="3427"/>
      <c r="O512" s="3427"/>
      <c r="P512" s="3475"/>
      <c r="Q512" s="3476"/>
      <c r="R512" s="3476"/>
      <c r="S512" s="3477"/>
      <c r="T512" s="3153"/>
      <c r="U512" s="3153"/>
      <c r="V512" s="3153"/>
      <c r="W512" s="3153"/>
      <c r="X512" s="3153"/>
      <c r="Y512" s="520"/>
      <c r="Z512" s="2293"/>
      <c r="AA512" s="520"/>
      <c r="AB512" s="3611"/>
      <c r="AC512" s="520"/>
      <c r="AD512" s="520"/>
      <c r="AE512" s="520"/>
      <c r="AF512" s="2344"/>
      <c r="AG512" s="520"/>
      <c r="AH512" s="520"/>
    </row>
    <row r="513" spans="1:34" ht="12.75" customHeight="1" x14ac:dyDescent="0.35">
      <c r="A513" s="601"/>
      <c r="B513" s="564"/>
      <c r="C513" s="2185"/>
      <c r="D513" s="3167"/>
      <c r="E513" s="3089"/>
      <c r="F513" s="3090"/>
      <c r="G513" s="3090"/>
      <c r="H513" s="3091"/>
      <c r="I513" s="3483" t="s">
        <v>320</v>
      </c>
      <c r="J513" s="3427"/>
      <c r="K513" s="3427"/>
      <c r="L513" s="3427"/>
      <c r="M513" s="3427"/>
      <c r="N513" s="3427"/>
      <c r="O513" s="3427"/>
      <c r="P513" s="3475"/>
      <c r="Q513" s="3476"/>
      <c r="R513" s="3476"/>
      <c r="S513" s="3477"/>
      <c r="T513" s="3153"/>
      <c r="U513" s="3153"/>
      <c r="V513" s="3153"/>
      <c r="W513" s="3153"/>
      <c r="X513" s="3153"/>
      <c r="Y513" s="520"/>
      <c r="Z513" s="2293"/>
      <c r="AA513" s="520"/>
      <c r="AB513" s="3611"/>
      <c r="AC513" s="520"/>
      <c r="AD513" s="520"/>
      <c r="AE513" s="520"/>
      <c r="AF513" s="2344"/>
      <c r="AG513" s="520"/>
      <c r="AH513" s="520"/>
    </row>
    <row r="514" spans="1:34" ht="12.75" customHeight="1" x14ac:dyDescent="0.35">
      <c r="A514" s="601"/>
      <c r="B514" s="564"/>
      <c r="C514" s="2185"/>
      <c r="D514" s="3167"/>
      <c r="E514" s="3089"/>
      <c r="F514" s="3090"/>
      <c r="G514" s="3090"/>
      <c r="H514" s="3091"/>
      <c r="I514" s="3483" t="s">
        <v>271</v>
      </c>
      <c r="J514" s="3427"/>
      <c r="K514" s="3427"/>
      <c r="L514" s="3427"/>
      <c r="M514" s="3427"/>
      <c r="N514" s="3427"/>
      <c r="O514" s="3427"/>
      <c r="P514" s="3475"/>
      <c r="Q514" s="3476"/>
      <c r="R514" s="3476"/>
      <c r="S514" s="3477"/>
      <c r="T514" s="3153"/>
      <c r="U514" s="3153"/>
      <c r="V514" s="3153"/>
      <c r="W514" s="3153"/>
      <c r="X514" s="3153"/>
      <c r="Y514" s="520"/>
      <c r="Z514" s="2293"/>
      <c r="AA514" s="520"/>
      <c r="AB514" s="3611"/>
      <c r="AC514" s="520"/>
      <c r="AD514" s="520"/>
      <c r="AE514" s="520"/>
      <c r="AF514" s="2344"/>
      <c r="AG514" s="520"/>
      <c r="AH514" s="520"/>
    </row>
    <row r="515" spans="1:34" ht="12.75" customHeight="1" x14ac:dyDescent="0.35">
      <c r="A515" s="601"/>
      <c r="B515" s="564"/>
      <c r="C515" s="2185"/>
      <c r="D515" s="3167"/>
      <c r="E515" s="3089"/>
      <c r="F515" s="3090"/>
      <c r="G515" s="3090"/>
      <c r="H515" s="3091"/>
      <c r="I515" s="3483" t="s">
        <v>329</v>
      </c>
      <c r="J515" s="3427"/>
      <c r="K515" s="3427"/>
      <c r="L515" s="3427"/>
      <c r="M515" s="3427"/>
      <c r="N515" s="3427"/>
      <c r="O515" s="3427"/>
      <c r="P515" s="3475"/>
      <c r="Q515" s="3476"/>
      <c r="R515" s="3476"/>
      <c r="S515" s="3477"/>
      <c r="T515" s="3153"/>
      <c r="U515" s="3153"/>
      <c r="V515" s="3153"/>
      <c r="W515" s="3153"/>
      <c r="X515" s="3153"/>
      <c r="Y515" s="520"/>
      <c r="Z515" s="2293"/>
      <c r="AA515" s="520"/>
      <c r="AB515" s="3611"/>
      <c r="AC515" s="520"/>
      <c r="AD515" s="520"/>
      <c r="AE515" s="520"/>
      <c r="AF515" s="2344"/>
      <c r="AG515" s="520"/>
      <c r="AH515" s="520"/>
    </row>
    <row r="516" spans="1:34" ht="12.75" customHeight="1" x14ac:dyDescent="0.35">
      <c r="A516" s="601"/>
      <c r="B516" s="564"/>
      <c r="C516" s="2185"/>
      <c r="D516" s="3168"/>
      <c r="E516" s="3092"/>
      <c r="F516" s="3093"/>
      <c r="G516" s="3093"/>
      <c r="H516" s="3094"/>
      <c r="I516" s="3738" t="s">
        <v>319</v>
      </c>
      <c r="J516" s="3739"/>
      <c r="K516" s="3739"/>
      <c r="L516" s="3739"/>
      <c r="M516" s="3739"/>
      <c r="N516" s="3739"/>
      <c r="O516" s="3740"/>
      <c r="P516" s="3478"/>
      <c r="Q516" s="3479"/>
      <c r="R516" s="3479"/>
      <c r="S516" s="3480"/>
      <c r="T516" s="3153"/>
      <c r="U516" s="3153"/>
      <c r="V516" s="3153"/>
      <c r="W516" s="3153"/>
      <c r="X516" s="3153"/>
      <c r="Y516" s="520"/>
      <c r="Z516" s="2293"/>
      <c r="AA516" s="520"/>
      <c r="AB516" s="3611"/>
      <c r="AC516" s="520"/>
      <c r="AD516" s="520"/>
      <c r="AE516" s="520"/>
      <c r="AF516" s="2344"/>
      <c r="AG516" s="520"/>
      <c r="AH516" s="520"/>
    </row>
    <row r="517" spans="1:34" ht="12.75" customHeight="1" x14ac:dyDescent="0.35">
      <c r="A517" s="601"/>
      <c r="B517" s="564"/>
      <c r="C517" s="2185"/>
      <c r="D517" s="3166">
        <v>2</v>
      </c>
      <c r="E517" s="3086" t="s">
        <v>121</v>
      </c>
      <c r="F517" s="3087"/>
      <c r="G517" s="3087"/>
      <c r="H517" s="3088"/>
      <c r="I517" s="568"/>
      <c r="J517" s="569"/>
      <c r="K517" s="569"/>
      <c r="L517" s="569"/>
      <c r="M517" s="569"/>
      <c r="N517" s="569"/>
      <c r="O517" s="569"/>
      <c r="P517" s="3472" t="s">
        <v>163</v>
      </c>
      <c r="Q517" s="3473"/>
      <c r="R517" s="3473"/>
      <c r="S517" s="3474"/>
      <c r="T517" s="3153"/>
      <c r="U517" s="3153"/>
      <c r="V517" s="3153"/>
      <c r="W517" s="3153"/>
      <c r="X517" s="3153"/>
      <c r="Y517" s="520"/>
      <c r="Z517" s="2293"/>
      <c r="AA517" s="520"/>
      <c r="AB517" s="3611">
        <v>5</v>
      </c>
      <c r="AC517" s="520"/>
      <c r="AD517" s="520"/>
      <c r="AE517" s="520"/>
      <c r="AF517" s="2344"/>
      <c r="AG517" s="520"/>
      <c r="AH517" s="520"/>
    </row>
    <row r="518" spans="1:34" ht="12.75" customHeight="1" x14ac:dyDescent="0.35">
      <c r="A518" s="601"/>
      <c r="B518" s="564"/>
      <c r="C518" s="2185"/>
      <c r="D518" s="3167"/>
      <c r="E518" s="3089"/>
      <c r="F518" s="3090"/>
      <c r="G518" s="3090"/>
      <c r="H518" s="3091"/>
      <c r="I518" s="3483" t="s">
        <v>322</v>
      </c>
      <c r="J518" s="3427"/>
      <c r="K518" s="3427"/>
      <c r="L518" s="3427"/>
      <c r="M518" s="3427"/>
      <c r="N518" s="3427"/>
      <c r="O518" s="3427"/>
      <c r="P518" s="3475"/>
      <c r="Q518" s="3476"/>
      <c r="R518" s="3476"/>
      <c r="S518" s="3477"/>
      <c r="T518" s="3153"/>
      <c r="U518" s="3153"/>
      <c r="V518" s="3153"/>
      <c r="W518" s="3153"/>
      <c r="X518" s="3153"/>
      <c r="Y518" s="520"/>
      <c r="Z518" s="2293"/>
      <c r="AA518" s="520"/>
      <c r="AB518" s="3611"/>
      <c r="AC518" s="520"/>
      <c r="AD518" s="520"/>
      <c r="AE518" s="520"/>
      <c r="AF518" s="2344"/>
      <c r="AG518" s="520"/>
      <c r="AH518" s="520"/>
    </row>
    <row r="519" spans="1:34" ht="12.75" customHeight="1" x14ac:dyDescent="0.35">
      <c r="A519" s="601"/>
      <c r="B519" s="564"/>
      <c r="C519" s="2185"/>
      <c r="D519" s="3167"/>
      <c r="E519" s="3089"/>
      <c r="F519" s="3090"/>
      <c r="G519" s="3090"/>
      <c r="H519" s="3091"/>
      <c r="I519" s="3483" t="s">
        <v>324</v>
      </c>
      <c r="J519" s="3427"/>
      <c r="K519" s="3427"/>
      <c r="L519" s="3427"/>
      <c r="M519" s="3427"/>
      <c r="N519" s="3427"/>
      <c r="O519" s="3427"/>
      <c r="P519" s="3475"/>
      <c r="Q519" s="3476"/>
      <c r="R519" s="3476"/>
      <c r="S519" s="3477"/>
      <c r="T519" s="3153"/>
      <c r="U519" s="3153"/>
      <c r="V519" s="3153"/>
      <c r="W519" s="3153"/>
      <c r="X519" s="3153"/>
      <c r="Y519" s="520"/>
      <c r="Z519" s="2293"/>
      <c r="AA519" s="520"/>
      <c r="AB519" s="3611"/>
      <c r="AC519" s="520"/>
      <c r="AD519" s="520"/>
      <c r="AE519" s="520"/>
      <c r="AF519" s="2344"/>
      <c r="AG519" s="520"/>
      <c r="AH519" s="520"/>
    </row>
    <row r="520" spans="1:34" ht="12.75" customHeight="1" x14ac:dyDescent="0.35">
      <c r="A520" s="601"/>
      <c r="B520" s="564"/>
      <c r="C520" s="2392"/>
      <c r="D520" s="3167"/>
      <c r="E520" s="3089"/>
      <c r="F520" s="3090"/>
      <c r="G520" s="3090"/>
      <c r="H520" s="3091"/>
      <c r="I520" s="3483" t="s">
        <v>272</v>
      </c>
      <c r="J520" s="3427"/>
      <c r="K520" s="3427"/>
      <c r="L520" s="3427"/>
      <c r="M520" s="3427"/>
      <c r="N520" s="3427"/>
      <c r="O520" s="3427"/>
      <c r="P520" s="3475"/>
      <c r="Q520" s="3476"/>
      <c r="R520" s="3476"/>
      <c r="S520" s="3477"/>
      <c r="T520" s="3153"/>
      <c r="U520" s="3153"/>
      <c r="V520" s="3153"/>
      <c r="W520" s="3153"/>
      <c r="X520" s="3153"/>
      <c r="Y520" s="520"/>
      <c r="Z520" s="2293"/>
      <c r="AA520" s="520"/>
      <c r="AB520" s="3611"/>
      <c r="AC520" s="520"/>
      <c r="AD520" s="520"/>
      <c r="AE520" s="520"/>
      <c r="AF520" s="2344"/>
      <c r="AG520" s="520"/>
      <c r="AH520" s="520"/>
    </row>
    <row r="521" spans="1:34" ht="12.75" customHeight="1" x14ac:dyDescent="0.35">
      <c r="A521" s="601"/>
      <c r="B521" s="564"/>
      <c r="C521" s="2185"/>
      <c r="D521" s="3167"/>
      <c r="E521" s="3089"/>
      <c r="F521" s="3090"/>
      <c r="G521" s="3090"/>
      <c r="H521" s="3091"/>
      <c r="I521" s="3483" t="s">
        <v>323</v>
      </c>
      <c r="J521" s="3427"/>
      <c r="K521" s="3427"/>
      <c r="L521" s="3427"/>
      <c r="M521" s="3427"/>
      <c r="N521" s="3427"/>
      <c r="O521" s="3427"/>
      <c r="P521" s="3475"/>
      <c r="Q521" s="3476"/>
      <c r="R521" s="3476"/>
      <c r="S521" s="3477"/>
      <c r="T521" s="3153"/>
      <c r="U521" s="3153"/>
      <c r="V521" s="3153"/>
      <c r="W521" s="3153"/>
      <c r="X521" s="3153"/>
      <c r="Y521" s="520"/>
      <c r="Z521" s="2293"/>
      <c r="AA521" s="520"/>
      <c r="AB521" s="3611"/>
      <c r="AC521" s="520"/>
      <c r="AD521" s="520"/>
      <c r="AE521" s="520"/>
      <c r="AF521" s="2344"/>
      <c r="AG521" s="520"/>
      <c r="AH521" s="520"/>
    </row>
    <row r="522" spans="1:34" ht="12.75" customHeight="1" x14ac:dyDescent="0.35">
      <c r="A522" s="601"/>
      <c r="B522" s="564"/>
      <c r="C522" s="2185"/>
      <c r="D522" s="3168"/>
      <c r="E522" s="3092"/>
      <c r="F522" s="3093"/>
      <c r="G522" s="3093"/>
      <c r="H522" s="3094"/>
      <c r="I522" s="3483" t="s">
        <v>321</v>
      </c>
      <c r="J522" s="3427"/>
      <c r="K522" s="3427"/>
      <c r="L522" s="3427"/>
      <c r="M522" s="3427"/>
      <c r="N522" s="3427"/>
      <c r="O522" s="3427"/>
      <c r="P522" s="3478"/>
      <c r="Q522" s="3479"/>
      <c r="R522" s="3479"/>
      <c r="S522" s="3480"/>
      <c r="T522" s="3153"/>
      <c r="U522" s="3153"/>
      <c r="V522" s="3153"/>
      <c r="W522" s="3153"/>
      <c r="X522" s="3153"/>
      <c r="Y522" s="520"/>
      <c r="Z522" s="2293"/>
      <c r="AA522" s="520"/>
      <c r="AB522" s="3611"/>
      <c r="AC522" s="520"/>
      <c r="AD522" s="520"/>
      <c r="AE522" s="520"/>
      <c r="AF522" s="2344"/>
      <c r="AG522" s="520"/>
      <c r="AH522" s="520"/>
    </row>
    <row r="523" spans="1:34" ht="12.75" customHeight="1" x14ac:dyDescent="0.35">
      <c r="A523" s="601"/>
      <c r="B523" s="564"/>
      <c r="C523" s="2185"/>
      <c r="D523" s="3166">
        <v>3</v>
      </c>
      <c r="E523" s="3086" t="s">
        <v>123</v>
      </c>
      <c r="F523" s="3087"/>
      <c r="G523" s="3087"/>
      <c r="H523" s="3088"/>
      <c r="I523" s="3086" t="s">
        <v>383</v>
      </c>
      <c r="J523" s="3087"/>
      <c r="K523" s="3087"/>
      <c r="L523" s="3087"/>
      <c r="M523" s="3087"/>
      <c r="N523" s="3087"/>
      <c r="O523" s="3088"/>
      <c r="P523" s="3472" t="s">
        <v>164</v>
      </c>
      <c r="Q523" s="3473"/>
      <c r="R523" s="3473"/>
      <c r="S523" s="3474"/>
      <c r="T523" s="3153"/>
      <c r="U523" s="3153"/>
      <c r="V523" s="3153"/>
      <c r="W523" s="3153"/>
      <c r="X523" s="3153"/>
      <c r="Y523" s="520"/>
      <c r="Z523" s="2293"/>
      <c r="AA523" s="520"/>
      <c r="AB523" s="3611">
        <v>4</v>
      </c>
      <c r="AC523" s="520"/>
      <c r="AD523" s="520"/>
      <c r="AE523" s="520"/>
      <c r="AF523" s="2344"/>
      <c r="AG523" s="520"/>
      <c r="AH523" s="520"/>
    </row>
    <row r="524" spans="1:34" ht="12.75" customHeight="1" x14ac:dyDescent="0.35">
      <c r="A524" s="601"/>
      <c r="B524" s="564"/>
      <c r="C524" s="2185"/>
      <c r="D524" s="3167"/>
      <c r="E524" s="3089"/>
      <c r="F524" s="3090"/>
      <c r="G524" s="3090"/>
      <c r="H524" s="3091"/>
      <c r="I524" s="3089"/>
      <c r="J524" s="3090"/>
      <c r="K524" s="3090"/>
      <c r="L524" s="3090"/>
      <c r="M524" s="3090"/>
      <c r="N524" s="3090"/>
      <c r="O524" s="3091"/>
      <c r="P524" s="3475"/>
      <c r="Q524" s="3476"/>
      <c r="R524" s="3476"/>
      <c r="S524" s="3477"/>
      <c r="T524" s="3153"/>
      <c r="U524" s="3153"/>
      <c r="V524" s="3153"/>
      <c r="W524" s="3153"/>
      <c r="X524" s="3153"/>
      <c r="Y524" s="520"/>
      <c r="Z524" s="2293"/>
      <c r="AA524" s="520"/>
      <c r="AB524" s="3611"/>
      <c r="AC524" s="520"/>
      <c r="AD524" s="520"/>
      <c r="AE524" s="520"/>
      <c r="AF524" s="2344"/>
      <c r="AG524" s="520"/>
      <c r="AH524" s="520"/>
    </row>
    <row r="525" spans="1:34" ht="12.75" customHeight="1" x14ac:dyDescent="0.35">
      <c r="A525" s="601"/>
      <c r="B525" s="564"/>
      <c r="C525" s="2185"/>
      <c r="D525" s="3167"/>
      <c r="E525" s="3089"/>
      <c r="F525" s="3090"/>
      <c r="G525" s="3090"/>
      <c r="H525" s="3091"/>
      <c r="I525" s="3089"/>
      <c r="J525" s="3090"/>
      <c r="K525" s="3090"/>
      <c r="L525" s="3090"/>
      <c r="M525" s="3090"/>
      <c r="N525" s="3090"/>
      <c r="O525" s="3091"/>
      <c r="P525" s="3475"/>
      <c r="Q525" s="3476"/>
      <c r="R525" s="3476"/>
      <c r="S525" s="3477"/>
      <c r="T525" s="3153"/>
      <c r="U525" s="3153"/>
      <c r="V525" s="3153"/>
      <c r="W525" s="3153"/>
      <c r="X525" s="3153"/>
      <c r="Y525" s="520"/>
      <c r="Z525" s="2293"/>
      <c r="AA525" s="520"/>
      <c r="AB525" s="3611"/>
      <c r="AC525" s="520"/>
      <c r="AD525" s="520"/>
      <c r="AE525" s="520"/>
      <c r="AF525" s="2344"/>
      <c r="AG525" s="520"/>
      <c r="AH525" s="520"/>
    </row>
    <row r="526" spans="1:34" ht="12.75" customHeight="1" x14ac:dyDescent="0.35">
      <c r="A526" s="601"/>
      <c r="B526" s="564"/>
      <c r="C526" s="2185"/>
      <c r="D526" s="3167"/>
      <c r="E526" s="3089"/>
      <c r="F526" s="3090"/>
      <c r="G526" s="3090"/>
      <c r="H526" s="3091"/>
      <c r="I526" s="3089"/>
      <c r="J526" s="3090"/>
      <c r="K526" s="3090"/>
      <c r="L526" s="3090"/>
      <c r="M526" s="3090"/>
      <c r="N526" s="3090"/>
      <c r="O526" s="3091"/>
      <c r="P526" s="3475"/>
      <c r="Q526" s="3476"/>
      <c r="R526" s="3476"/>
      <c r="S526" s="3477"/>
      <c r="T526" s="3153"/>
      <c r="U526" s="3153"/>
      <c r="V526" s="3153"/>
      <c r="W526" s="3153"/>
      <c r="X526" s="3153"/>
      <c r="Y526" s="520"/>
      <c r="Z526" s="2293"/>
      <c r="AA526" s="520"/>
      <c r="AB526" s="3611"/>
      <c r="AC526" s="520"/>
      <c r="AD526" s="520"/>
      <c r="AE526" s="520"/>
      <c r="AF526" s="2344"/>
      <c r="AG526" s="520"/>
      <c r="AH526" s="520"/>
    </row>
    <row r="527" spans="1:34" ht="12.75" customHeight="1" x14ac:dyDescent="0.35">
      <c r="A527" s="601"/>
      <c r="B527" s="564"/>
      <c r="C527" s="2185"/>
      <c r="D527" s="3167"/>
      <c r="E527" s="3089"/>
      <c r="F527" s="3090"/>
      <c r="G527" s="3090"/>
      <c r="H527" s="3091"/>
      <c r="I527" s="3089"/>
      <c r="J527" s="3090"/>
      <c r="K527" s="3090"/>
      <c r="L527" s="3090"/>
      <c r="M527" s="3090"/>
      <c r="N527" s="3090"/>
      <c r="O527" s="3091"/>
      <c r="P527" s="3475"/>
      <c r="Q527" s="3476"/>
      <c r="R527" s="3476"/>
      <c r="S527" s="3477"/>
      <c r="T527" s="3153"/>
      <c r="U527" s="3153"/>
      <c r="V527" s="3153"/>
      <c r="W527" s="3153"/>
      <c r="X527" s="3153"/>
      <c r="Y527" s="520"/>
      <c r="Z527" s="2293"/>
      <c r="AA527" s="520"/>
      <c r="AB527" s="3611"/>
      <c r="AC527" s="520"/>
      <c r="AD527" s="520"/>
      <c r="AE527" s="520"/>
      <c r="AF527" s="2344"/>
      <c r="AG527" s="520"/>
      <c r="AH527" s="520"/>
    </row>
    <row r="528" spans="1:34" ht="12.75" customHeight="1" x14ac:dyDescent="0.35">
      <c r="A528" s="601"/>
      <c r="B528" s="564"/>
      <c r="C528" s="2185"/>
      <c r="D528" s="3167"/>
      <c r="E528" s="3092"/>
      <c r="F528" s="3093"/>
      <c r="G528" s="3093"/>
      <c r="H528" s="3094"/>
      <c r="I528" s="3089"/>
      <c r="J528" s="3090"/>
      <c r="K528" s="3090"/>
      <c r="L528" s="3090"/>
      <c r="M528" s="3090"/>
      <c r="N528" s="3090"/>
      <c r="O528" s="3091"/>
      <c r="P528" s="3478"/>
      <c r="Q528" s="3479"/>
      <c r="R528" s="3479"/>
      <c r="S528" s="3480"/>
      <c r="T528" s="3153"/>
      <c r="U528" s="3153"/>
      <c r="V528" s="3153"/>
      <c r="W528" s="3153"/>
      <c r="X528" s="3153"/>
      <c r="Y528" s="520"/>
      <c r="Z528" s="2293"/>
      <c r="AA528" s="520"/>
      <c r="AB528" s="3611"/>
      <c r="AC528" s="520"/>
      <c r="AD528" s="520"/>
      <c r="AE528" s="520"/>
      <c r="AF528" s="2344"/>
      <c r="AG528" s="520"/>
      <c r="AH528" s="520"/>
    </row>
    <row r="529" spans="1:34" ht="34.5" customHeight="1" x14ac:dyDescent="0.35">
      <c r="A529" s="144"/>
      <c r="B529" s="197"/>
      <c r="C529" s="189"/>
      <c r="D529" s="3442" t="s">
        <v>1828</v>
      </c>
      <c r="E529" s="3443"/>
      <c r="F529" s="3443"/>
      <c r="G529" s="3443"/>
      <c r="H529" s="3443"/>
      <c r="I529" s="3443"/>
      <c r="J529" s="3443"/>
      <c r="K529" s="3443"/>
      <c r="L529" s="3443"/>
      <c r="M529" s="3443"/>
      <c r="N529" s="3443"/>
      <c r="O529" s="3444"/>
      <c r="P529" s="3210" t="s">
        <v>184</v>
      </c>
      <c r="Q529" s="3211"/>
      <c r="R529" s="3211"/>
      <c r="S529" s="3223"/>
      <c r="T529" s="1469">
        <f>COUNTIF(AB511:AB528,"1")*T510</f>
        <v>0</v>
      </c>
      <c r="U529" s="1469">
        <f>COUNTIF(AB511:AB528,"2")*U510</f>
        <v>0</v>
      </c>
      <c r="V529" s="1469">
        <f>COUNTIF(AB511:AB528,"3")*V510</f>
        <v>0</v>
      </c>
      <c r="W529" s="1469">
        <f>COUNTIF(AB511:AB528,"4")*W510</f>
        <v>4</v>
      </c>
      <c r="X529" s="1469">
        <f>COUNTIF(AB511:AB528,"5")*X510</f>
        <v>10</v>
      </c>
      <c r="Y529" s="520"/>
      <c r="Z529" s="2293"/>
      <c r="AA529" s="520"/>
      <c r="AC529" s="520"/>
      <c r="AD529" s="520"/>
      <c r="AE529" s="520"/>
      <c r="AF529" s="2344"/>
      <c r="AG529" s="520"/>
      <c r="AH529" s="520"/>
    </row>
    <row r="530" spans="1:34" ht="42" customHeight="1" x14ac:dyDescent="0.35">
      <c r="A530" s="144"/>
      <c r="B530" s="197"/>
      <c r="C530" s="189"/>
      <c r="D530" s="3445"/>
      <c r="E530" s="3446"/>
      <c r="F530" s="3446"/>
      <c r="G530" s="3446"/>
      <c r="H530" s="3446"/>
      <c r="I530" s="3446"/>
      <c r="J530" s="3446"/>
      <c r="K530" s="3446"/>
      <c r="L530" s="3446"/>
      <c r="M530" s="3446"/>
      <c r="N530" s="3446"/>
      <c r="O530" s="3447"/>
      <c r="P530" s="3212"/>
      <c r="Q530" s="3213"/>
      <c r="R530" s="3213"/>
      <c r="S530" s="3224"/>
      <c r="T530" s="3240">
        <f>SUM(T529:X529)</f>
        <v>14</v>
      </c>
      <c r="U530" s="3241"/>
      <c r="V530" s="3241"/>
      <c r="W530" s="3241"/>
      <c r="X530" s="3242"/>
      <c r="Y530" s="520"/>
      <c r="Z530" s="2293"/>
      <c r="AA530" s="520"/>
      <c r="AC530" s="520"/>
      <c r="AD530" s="520"/>
      <c r="AE530" s="520"/>
      <c r="AF530" s="2344"/>
      <c r="AG530" s="520"/>
      <c r="AH530" s="520"/>
    </row>
    <row r="531" spans="1:34" ht="114" customHeight="1" x14ac:dyDescent="0.35">
      <c r="A531" s="144"/>
      <c r="B531" s="197"/>
      <c r="C531" s="189"/>
      <c r="D531" s="3448"/>
      <c r="E531" s="3449"/>
      <c r="F531" s="3449"/>
      <c r="G531" s="3449"/>
      <c r="H531" s="3449"/>
      <c r="I531" s="3449"/>
      <c r="J531" s="3449"/>
      <c r="K531" s="3449"/>
      <c r="L531" s="3449"/>
      <c r="M531" s="3449"/>
      <c r="N531" s="3449"/>
      <c r="O531" s="3450"/>
      <c r="P531" s="3615" t="s">
        <v>182</v>
      </c>
      <c r="Q531" s="3616"/>
      <c r="R531" s="3616"/>
      <c r="S531" s="3617"/>
      <c r="T531" s="3125">
        <f>SUM(T530:X530)/AF531</f>
        <v>4.666666666666667</v>
      </c>
      <c r="U531" s="3125"/>
      <c r="V531" s="3612" t="str">
        <f>IF(ROUND(T531,0)=1,"Sangat Tidak Memenuhi Syarat",IF(ROUND(T531,0)=2,"Kurang Memenuhi Syarat",IF(ROUND(T531,0)=3,"Cukup Memenuhi Syarat",IF(ROUND(T531,0)=4,"Memenuhi Syarat",IF(ROUND(T531,0)=5,"Sangat Memenuhi Syarat")))))</f>
        <v>Sangat Memenuhi Syarat</v>
      </c>
      <c r="W531" s="3613"/>
      <c r="X531" s="3614"/>
      <c r="Y531" s="520"/>
      <c r="Z531" s="2293"/>
      <c r="AA531" s="520"/>
      <c r="AC531" s="520"/>
      <c r="AD531" s="520"/>
      <c r="AE531" s="520"/>
      <c r="AF531" s="2345">
        <f>COUNTIF(AB511:AB528,"&gt;0")</f>
        <v>3</v>
      </c>
      <c r="AG531" s="520"/>
      <c r="AH531" s="520"/>
    </row>
    <row r="532" spans="1:34" ht="19.5" customHeight="1" x14ac:dyDescent="0.35">
      <c r="A532" s="144"/>
      <c r="B532" s="197"/>
      <c r="C532" s="189"/>
      <c r="D532" s="189"/>
      <c r="E532" s="189"/>
      <c r="F532" s="189"/>
      <c r="G532" s="189"/>
      <c r="H532" s="189"/>
      <c r="I532" s="189"/>
      <c r="J532" s="189"/>
      <c r="K532" s="189"/>
      <c r="L532" s="189"/>
      <c r="M532" s="189"/>
      <c r="N532" s="189"/>
      <c r="O532" s="189"/>
      <c r="P532" s="189"/>
      <c r="Q532" s="189"/>
      <c r="R532" s="189"/>
      <c r="S532" s="189"/>
      <c r="T532" s="516"/>
      <c r="U532" s="380"/>
      <c r="V532" s="380"/>
      <c r="W532" s="380"/>
      <c r="X532" s="380"/>
      <c r="Y532" s="520"/>
      <c r="Z532" s="2293"/>
      <c r="AA532" s="520"/>
      <c r="AC532" s="520"/>
      <c r="AD532" s="520"/>
      <c r="AE532" s="520"/>
      <c r="AF532" s="2344"/>
      <c r="AG532" s="520"/>
      <c r="AH532" s="520"/>
    </row>
    <row r="533" spans="1:34" ht="16.5" customHeight="1" x14ac:dyDescent="0.35">
      <c r="A533" s="601"/>
      <c r="B533" s="564"/>
      <c r="C533" s="2367" t="s">
        <v>833</v>
      </c>
      <c r="D533" s="3741" t="s">
        <v>809</v>
      </c>
      <c r="E533" s="3741"/>
      <c r="F533" s="3741"/>
      <c r="G533" s="3741"/>
      <c r="H533" s="3741"/>
      <c r="I533" s="3741"/>
      <c r="J533" s="3741"/>
      <c r="K533" s="3741"/>
      <c r="L533" s="3741"/>
      <c r="M533" s="3741"/>
      <c r="N533" s="3741"/>
      <c r="O533" s="3741"/>
      <c r="P533" s="3741"/>
      <c r="Q533" s="3741"/>
      <c r="R533" s="3742"/>
      <c r="S533" s="2393"/>
      <c r="T533" s="3049" t="s">
        <v>181</v>
      </c>
      <c r="U533" s="3049"/>
      <c r="V533" s="3049"/>
      <c r="W533" s="3049"/>
      <c r="X533" s="3049"/>
      <c r="Y533" s="520"/>
      <c r="Z533" s="2293"/>
      <c r="AA533" s="520"/>
      <c r="AC533" s="520"/>
      <c r="AD533" s="520"/>
      <c r="AE533" s="520"/>
      <c r="AF533" s="2344"/>
      <c r="AG533" s="520"/>
      <c r="AH533" s="520"/>
    </row>
    <row r="534" spans="1:34" ht="16.5" customHeight="1" x14ac:dyDescent="0.35">
      <c r="A534" s="601"/>
      <c r="B534" s="564"/>
      <c r="C534" s="2185"/>
      <c r="D534" s="2155" t="s">
        <v>103</v>
      </c>
      <c r="E534" s="3204" t="s">
        <v>104</v>
      </c>
      <c r="F534" s="3205"/>
      <c r="G534" s="3205"/>
      <c r="H534" s="3206"/>
      <c r="I534" s="3204" t="s">
        <v>106</v>
      </c>
      <c r="J534" s="3205"/>
      <c r="K534" s="3205"/>
      <c r="L534" s="3205"/>
      <c r="M534" s="3205"/>
      <c r="N534" s="3205"/>
      <c r="O534" s="3206"/>
      <c r="P534" s="3082" t="s">
        <v>40</v>
      </c>
      <c r="Q534" s="3083"/>
      <c r="R534" s="3083"/>
      <c r="S534" s="3084"/>
      <c r="T534" s="1473">
        <v>1</v>
      </c>
      <c r="U534" s="1473">
        <v>2</v>
      </c>
      <c r="V534" s="1473">
        <v>3</v>
      </c>
      <c r="W534" s="1473">
        <v>4</v>
      </c>
      <c r="X534" s="1473">
        <v>5</v>
      </c>
      <c r="Y534" s="520"/>
      <c r="Z534" s="2293"/>
      <c r="AA534" s="520"/>
      <c r="AC534" s="520"/>
      <c r="AD534" s="520"/>
      <c r="AE534" s="520"/>
      <c r="AF534" s="2344"/>
      <c r="AG534" s="520"/>
      <c r="AH534" s="520"/>
    </row>
    <row r="535" spans="1:34" ht="15.75" customHeight="1" x14ac:dyDescent="0.35">
      <c r="A535" s="601"/>
      <c r="B535" s="564"/>
      <c r="C535" s="2185"/>
      <c r="D535" s="3166">
        <v>1</v>
      </c>
      <c r="E535" s="3086" t="s">
        <v>165</v>
      </c>
      <c r="F535" s="3087"/>
      <c r="G535" s="3087"/>
      <c r="H535" s="3088"/>
      <c r="I535" s="3451"/>
      <c r="J535" s="3429"/>
      <c r="K535" s="3429"/>
      <c r="L535" s="3429"/>
      <c r="M535" s="3429"/>
      <c r="N535" s="3429"/>
      <c r="O535" s="3430"/>
      <c r="P535" s="3472" t="s">
        <v>1829</v>
      </c>
      <c r="Q535" s="3473"/>
      <c r="R535" s="3473"/>
      <c r="S535" s="3474"/>
      <c r="T535" s="3153"/>
      <c r="U535" s="3153"/>
      <c r="V535" s="3153"/>
      <c r="W535" s="3153"/>
      <c r="X535" s="3153"/>
      <c r="Y535" s="520"/>
      <c r="Z535" s="2293"/>
      <c r="AA535" s="520"/>
      <c r="AB535" s="3611">
        <v>3</v>
      </c>
      <c r="AC535" s="520"/>
      <c r="AD535" s="520"/>
      <c r="AE535" s="520"/>
      <c r="AF535" s="2344"/>
      <c r="AG535" s="520"/>
      <c r="AH535" s="520"/>
    </row>
    <row r="536" spans="1:34" ht="15.75" customHeight="1" x14ac:dyDescent="0.35">
      <c r="A536" s="601"/>
      <c r="B536" s="564"/>
      <c r="C536" s="2185"/>
      <c r="D536" s="3167"/>
      <c r="E536" s="3089"/>
      <c r="F536" s="3090"/>
      <c r="G536" s="3090"/>
      <c r="H536" s="3091"/>
      <c r="I536" s="3455" t="s">
        <v>325</v>
      </c>
      <c r="J536" s="3456"/>
      <c r="K536" s="3456"/>
      <c r="L536" s="3456"/>
      <c r="M536" s="3456"/>
      <c r="N536" s="3456"/>
      <c r="O536" s="3457"/>
      <c r="P536" s="3475"/>
      <c r="Q536" s="3476"/>
      <c r="R536" s="3476"/>
      <c r="S536" s="3477"/>
      <c r="T536" s="3153"/>
      <c r="U536" s="3153"/>
      <c r="V536" s="3153"/>
      <c r="W536" s="3153"/>
      <c r="X536" s="3153"/>
      <c r="Y536" s="520"/>
      <c r="Z536" s="2293"/>
      <c r="AA536" s="520"/>
      <c r="AB536" s="3611"/>
      <c r="AC536" s="520"/>
      <c r="AD536" s="520"/>
      <c r="AE536" s="520"/>
      <c r="AF536" s="2344"/>
      <c r="AG536" s="520"/>
      <c r="AH536" s="520"/>
    </row>
    <row r="537" spans="1:34" ht="15.75" customHeight="1" x14ac:dyDescent="0.35">
      <c r="A537" s="601"/>
      <c r="B537" s="564"/>
      <c r="C537" s="2185"/>
      <c r="D537" s="3167"/>
      <c r="E537" s="3089"/>
      <c r="F537" s="3090"/>
      <c r="G537" s="3090"/>
      <c r="H537" s="3091"/>
      <c r="I537" s="3455" t="s">
        <v>326</v>
      </c>
      <c r="J537" s="3456"/>
      <c r="K537" s="3456"/>
      <c r="L537" s="3456"/>
      <c r="M537" s="3456"/>
      <c r="N537" s="3456"/>
      <c r="O537" s="3457"/>
      <c r="P537" s="3475"/>
      <c r="Q537" s="3476"/>
      <c r="R537" s="3476"/>
      <c r="S537" s="3477"/>
      <c r="T537" s="3153"/>
      <c r="U537" s="3153"/>
      <c r="V537" s="3153"/>
      <c r="W537" s="3153"/>
      <c r="X537" s="3153"/>
      <c r="Y537" s="520"/>
      <c r="Z537" s="2293"/>
      <c r="AA537" s="520"/>
      <c r="AB537" s="3611"/>
      <c r="AC537" s="520"/>
      <c r="AD537" s="520"/>
      <c r="AE537" s="520"/>
      <c r="AF537" s="2344"/>
      <c r="AG537" s="520"/>
      <c r="AH537" s="520"/>
    </row>
    <row r="538" spans="1:34" ht="15.75" customHeight="1" x14ac:dyDescent="0.35">
      <c r="A538" s="601"/>
      <c r="B538" s="564"/>
      <c r="C538" s="2185"/>
      <c r="D538" s="3167"/>
      <c r="E538" s="3089"/>
      <c r="F538" s="3090"/>
      <c r="G538" s="3090"/>
      <c r="H538" s="3091"/>
      <c r="I538" s="3455" t="s">
        <v>273</v>
      </c>
      <c r="J538" s="3456"/>
      <c r="K538" s="3456"/>
      <c r="L538" s="3456"/>
      <c r="M538" s="3456"/>
      <c r="N538" s="3456"/>
      <c r="O538" s="3457"/>
      <c r="P538" s="3475"/>
      <c r="Q538" s="3476"/>
      <c r="R538" s="3476"/>
      <c r="S538" s="3477"/>
      <c r="T538" s="3153"/>
      <c r="U538" s="3153"/>
      <c r="V538" s="3153"/>
      <c r="W538" s="3153"/>
      <c r="X538" s="3153"/>
      <c r="Y538" s="520"/>
      <c r="Z538" s="2293"/>
      <c r="AA538" s="520"/>
      <c r="AB538" s="3611"/>
      <c r="AC538" s="520"/>
      <c r="AD538" s="520"/>
      <c r="AE538" s="520"/>
      <c r="AF538" s="2344"/>
      <c r="AG538" s="520"/>
      <c r="AH538" s="520"/>
    </row>
    <row r="539" spans="1:34" ht="15.75" customHeight="1" x14ac:dyDescent="0.35">
      <c r="A539" s="601"/>
      <c r="B539" s="564"/>
      <c r="C539" s="2185"/>
      <c r="D539" s="3167"/>
      <c r="E539" s="3089"/>
      <c r="F539" s="3090"/>
      <c r="G539" s="3090"/>
      <c r="H539" s="3091"/>
      <c r="I539" s="3455" t="s">
        <v>327</v>
      </c>
      <c r="J539" s="3456"/>
      <c r="K539" s="3456"/>
      <c r="L539" s="3456"/>
      <c r="M539" s="3456"/>
      <c r="N539" s="3456"/>
      <c r="O539" s="3457"/>
      <c r="P539" s="3475"/>
      <c r="Q539" s="3476"/>
      <c r="R539" s="3476"/>
      <c r="S539" s="3477"/>
      <c r="T539" s="3153"/>
      <c r="U539" s="3153"/>
      <c r="V539" s="3153"/>
      <c r="W539" s="3153"/>
      <c r="X539" s="3153"/>
      <c r="Y539" s="520"/>
      <c r="Z539" s="2293"/>
      <c r="AA539" s="520"/>
      <c r="AB539" s="3611"/>
      <c r="AC539" s="520"/>
      <c r="AD539" s="520"/>
      <c r="AE539" s="520"/>
      <c r="AF539" s="2344"/>
      <c r="AG539" s="520"/>
      <c r="AH539" s="520"/>
    </row>
    <row r="540" spans="1:34" ht="15.75" customHeight="1" x14ac:dyDescent="0.35">
      <c r="A540" s="601"/>
      <c r="B540" s="564"/>
      <c r="C540" s="2185"/>
      <c r="D540" s="3168"/>
      <c r="E540" s="3092"/>
      <c r="F540" s="3093"/>
      <c r="G540" s="3093"/>
      <c r="H540" s="3094"/>
      <c r="I540" s="3455" t="s">
        <v>328</v>
      </c>
      <c r="J540" s="3456"/>
      <c r="K540" s="3456"/>
      <c r="L540" s="3456"/>
      <c r="M540" s="3456"/>
      <c r="N540" s="3456"/>
      <c r="O540" s="3457"/>
      <c r="P540" s="3478"/>
      <c r="Q540" s="3479"/>
      <c r="R540" s="3479"/>
      <c r="S540" s="3480"/>
      <c r="T540" s="3153"/>
      <c r="U540" s="3153"/>
      <c r="V540" s="3153"/>
      <c r="W540" s="3153"/>
      <c r="X540" s="3153"/>
      <c r="Y540" s="520"/>
      <c r="Z540" s="2293"/>
      <c r="AA540" s="520"/>
      <c r="AB540" s="3611"/>
      <c r="AC540" s="520"/>
      <c r="AD540" s="520"/>
      <c r="AE540" s="520"/>
      <c r="AF540" s="2344"/>
      <c r="AG540" s="520"/>
      <c r="AH540" s="520"/>
    </row>
    <row r="541" spans="1:34" ht="15.75" customHeight="1" x14ac:dyDescent="0.35">
      <c r="A541" s="601"/>
      <c r="B541" s="564"/>
      <c r="C541" s="2185"/>
      <c r="D541" s="3166">
        <v>2</v>
      </c>
      <c r="E541" s="3086" t="s">
        <v>808</v>
      </c>
      <c r="F541" s="3087"/>
      <c r="G541" s="3087"/>
      <c r="H541" s="3088"/>
      <c r="I541" s="3086" t="s">
        <v>384</v>
      </c>
      <c r="J541" s="3087"/>
      <c r="K541" s="3087"/>
      <c r="L541" s="3087"/>
      <c r="M541" s="3087"/>
      <c r="N541" s="3087"/>
      <c r="O541" s="3088"/>
      <c r="P541" s="3472" t="s">
        <v>1715</v>
      </c>
      <c r="Q541" s="3473"/>
      <c r="R541" s="3473"/>
      <c r="S541" s="3474"/>
      <c r="T541" s="3490"/>
      <c r="U541" s="3490"/>
      <c r="V541" s="3490"/>
      <c r="W541" s="3490"/>
      <c r="X541" s="3490"/>
      <c r="Y541" s="520"/>
      <c r="Z541" s="2293"/>
      <c r="AA541" s="520"/>
      <c r="AB541" s="3611">
        <v>4</v>
      </c>
      <c r="AC541" s="520"/>
      <c r="AD541" s="520"/>
      <c r="AE541" s="520"/>
      <c r="AF541" s="2344"/>
      <c r="AG541" s="520"/>
      <c r="AH541" s="520"/>
    </row>
    <row r="542" spans="1:34" ht="15.75" customHeight="1" x14ac:dyDescent="0.35">
      <c r="A542" s="601"/>
      <c r="B542" s="564"/>
      <c r="C542" s="2185"/>
      <c r="D542" s="3167"/>
      <c r="E542" s="3089"/>
      <c r="F542" s="3090"/>
      <c r="G542" s="3090"/>
      <c r="H542" s="3091"/>
      <c r="I542" s="3089"/>
      <c r="J542" s="3090"/>
      <c r="K542" s="3090"/>
      <c r="L542" s="3090"/>
      <c r="M542" s="3090"/>
      <c r="N542" s="3090"/>
      <c r="O542" s="3091"/>
      <c r="P542" s="3475"/>
      <c r="Q542" s="3476"/>
      <c r="R542" s="3476"/>
      <c r="S542" s="3477"/>
      <c r="T542" s="3491"/>
      <c r="U542" s="3491"/>
      <c r="V542" s="3491"/>
      <c r="W542" s="3491"/>
      <c r="X542" s="3491"/>
      <c r="Y542" s="520"/>
      <c r="Z542" s="2293"/>
      <c r="AA542" s="520"/>
      <c r="AB542" s="3611"/>
      <c r="AC542" s="520"/>
      <c r="AD542" s="520"/>
      <c r="AE542" s="520"/>
      <c r="AF542" s="2344"/>
      <c r="AG542" s="520"/>
      <c r="AH542" s="520"/>
    </row>
    <row r="543" spans="1:34" ht="15.75" customHeight="1" x14ac:dyDescent="0.35">
      <c r="A543" s="601"/>
      <c r="B543" s="564"/>
      <c r="C543" s="2185"/>
      <c r="D543" s="3167"/>
      <c r="E543" s="3089"/>
      <c r="F543" s="3090"/>
      <c r="G543" s="3090"/>
      <c r="H543" s="3091"/>
      <c r="I543" s="3089"/>
      <c r="J543" s="3090"/>
      <c r="K543" s="3090"/>
      <c r="L543" s="3090"/>
      <c r="M543" s="3090"/>
      <c r="N543" s="3090"/>
      <c r="O543" s="3091"/>
      <c r="P543" s="3475"/>
      <c r="Q543" s="3476"/>
      <c r="R543" s="3476"/>
      <c r="S543" s="3477"/>
      <c r="T543" s="3491"/>
      <c r="U543" s="3491"/>
      <c r="V543" s="3491"/>
      <c r="W543" s="3491"/>
      <c r="X543" s="3491"/>
      <c r="Y543" s="520"/>
      <c r="Z543" s="2293"/>
      <c r="AA543" s="520"/>
      <c r="AB543" s="3611"/>
      <c r="AC543" s="520"/>
      <c r="AD543" s="520"/>
      <c r="AE543" s="520"/>
      <c r="AF543" s="2344"/>
      <c r="AG543" s="520"/>
      <c r="AH543" s="520"/>
    </row>
    <row r="544" spans="1:34" ht="15.75" customHeight="1" x14ac:dyDescent="0.35">
      <c r="A544" s="601"/>
      <c r="B544" s="564"/>
      <c r="C544" s="2185"/>
      <c r="D544" s="3167"/>
      <c r="E544" s="3089"/>
      <c r="F544" s="3090"/>
      <c r="G544" s="3090"/>
      <c r="H544" s="3091"/>
      <c r="I544" s="3089"/>
      <c r="J544" s="3090"/>
      <c r="K544" s="3090"/>
      <c r="L544" s="3090"/>
      <c r="M544" s="3090"/>
      <c r="N544" s="3090"/>
      <c r="O544" s="3091"/>
      <c r="P544" s="3475"/>
      <c r="Q544" s="3476"/>
      <c r="R544" s="3476"/>
      <c r="S544" s="3477"/>
      <c r="T544" s="3491"/>
      <c r="U544" s="3491"/>
      <c r="V544" s="3491"/>
      <c r="W544" s="3491"/>
      <c r="X544" s="3491"/>
      <c r="Y544" s="520"/>
      <c r="Z544" s="2293"/>
      <c r="AA544" s="520"/>
      <c r="AB544" s="3611"/>
      <c r="AC544" s="520"/>
      <c r="AD544" s="520"/>
      <c r="AE544" s="520"/>
      <c r="AF544" s="2344"/>
      <c r="AG544" s="520"/>
      <c r="AH544" s="520"/>
    </row>
    <row r="545" spans="1:34" ht="15.75" customHeight="1" x14ac:dyDescent="0.35">
      <c r="A545" s="601"/>
      <c r="B545" s="564"/>
      <c r="C545" s="2185"/>
      <c r="D545" s="3167"/>
      <c r="E545" s="3089"/>
      <c r="F545" s="3090"/>
      <c r="G545" s="3090"/>
      <c r="H545" s="3091"/>
      <c r="I545" s="3089"/>
      <c r="J545" s="3090"/>
      <c r="K545" s="3090"/>
      <c r="L545" s="3090"/>
      <c r="M545" s="3090"/>
      <c r="N545" s="3090"/>
      <c r="O545" s="3091"/>
      <c r="P545" s="3475"/>
      <c r="Q545" s="3476"/>
      <c r="R545" s="3476"/>
      <c r="S545" s="3477"/>
      <c r="T545" s="3491"/>
      <c r="U545" s="3491"/>
      <c r="V545" s="3491"/>
      <c r="W545" s="3491"/>
      <c r="X545" s="3491"/>
      <c r="Y545" s="520"/>
      <c r="Z545" s="2293"/>
      <c r="AA545" s="520"/>
      <c r="AB545" s="3611"/>
      <c r="AC545" s="520"/>
      <c r="AD545" s="520"/>
      <c r="AE545" s="520"/>
      <c r="AF545" s="2344"/>
      <c r="AG545" s="520"/>
      <c r="AH545" s="520"/>
    </row>
    <row r="546" spans="1:34" ht="15.75" customHeight="1" x14ac:dyDescent="0.35">
      <c r="A546" s="601"/>
      <c r="B546" s="564"/>
      <c r="C546" s="2185"/>
      <c r="D546" s="3168"/>
      <c r="E546" s="3092"/>
      <c r="F546" s="3093"/>
      <c r="G546" s="3093"/>
      <c r="H546" s="3094"/>
      <c r="I546" s="3092"/>
      <c r="J546" s="3093"/>
      <c r="K546" s="3093"/>
      <c r="L546" s="3093"/>
      <c r="M546" s="3093"/>
      <c r="N546" s="3093"/>
      <c r="O546" s="3094"/>
      <c r="P546" s="3478"/>
      <c r="Q546" s="3479"/>
      <c r="R546" s="3479"/>
      <c r="S546" s="3480"/>
      <c r="T546" s="3618"/>
      <c r="U546" s="3618"/>
      <c r="V546" s="3618"/>
      <c r="W546" s="3618"/>
      <c r="X546" s="3618"/>
      <c r="Y546" s="520"/>
      <c r="Z546" s="2293"/>
      <c r="AA546" s="520"/>
      <c r="AB546" s="3611"/>
      <c r="AC546" s="520"/>
      <c r="AD546" s="520"/>
      <c r="AE546" s="520"/>
      <c r="AF546" s="2344"/>
      <c r="AG546" s="520"/>
      <c r="AH546" s="520"/>
    </row>
    <row r="547" spans="1:34" ht="15.75" customHeight="1" x14ac:dyDescent="0.35">
      <c r="A547" s="601"/>
      <c r="B547" s="564"/>
      <c r="C547" s="2185"/>
      <c r="D547" s="3166">
        <v>3</v>
      </c>
      <c r="E547" s="3086" t="s">
        <v>810</v>
      </c>
      <c r="F547" s="3087"/>
      <c r="G547" s="3087"/>
      <c r="H547" s="3088"/>
      <c r="I547" s="3086" t="s">
        <v>811</v>
      </c>
      <c r="J547" s="3087"/>
      <c r="K547" s="3087"/>
      <c r="L547" s="3087"/>
      <c r="M547" s="3087"/>
      <c r="N547" s="3087"/>
      <c r="O547" s="3088"/>
      <c r="P547" s="3472" t="s">
        <v>1830</v>
      </c>
      <c r="Q547" s="3473"/>
      <c r="R547" s="3473"/>
      <c r="S547" s="3474"/>
      <c r="T547" s="3153"/>
      <c r="U547" s="3153"/>
      <c r="V547" s="3153"/>
      <c r="W547" s="3153"/>
      <c r="X547" s="3153"/>
      <c r="Y547" s="520"/>
      <c r="Z547" s="2293"/>
      <c r="AA547" s="520"/>
      <c r="AB547" s="3611">
        <v>2</v>
      </c>
      <c r="AC547" s="520"/>
      <c r="AD547" s="520"/>
      <c r="AE547" s="520"/>
      <c r="AF547" s="2344"/>
      <c r="AG547" s="520"/>
      <c r="AH547" s="520"/>
    </row>
    <row r="548" spans="1:34" ht="15.75" customHeight="1" x14ac:dyDescent="0.35">
      <c r="A548" s="601"/>
      <c r="B548" s="564"/>
      <c r="C548" s="2185"/>
      <c r="D548" s="3167"/>
      <c r="E548" s="3089"/>
      <c r="F548" s="3090"/>
      <c r="G548" s="3090"/>
      <c r="H548" s="3091"/>
      <c r="I548" s="3089"/>
      <c r="J548" s="3090"/>
      <c r="K548" s="3090"/>
      <c r="L548" s="3090"/>
      <c r="M548" s="3090"/>
      <c r="N548" s="3090"/>
      <c r="O548" s="3091"/>
      <c r="P548" s="3475"/>
      <c r="Q548" s="3476"/>
      <c r="R548" s="3476"/>
      <c r="S548" s="3477"/>
      <c r="T548" s="3153"/>
      <c r="U548" s="3153"/>
      <c r="V548" s="3153"/>
      <c r="W548" s="3153"/>
      <c r="X548" s="3153"/>
      <c r="Y548" s="520"/>
      <c r="Z548" s="2293"/>
      <c r="AA548" s="520"/>
      <c r="AB548" s="3611"/>
      <c r="AC548" s="520"/>
      <c r="AD548" s="520"/>
      <c r="AE548" s="520"/>
      <c r="AF548" s="2344"/>
      <c r="AG548" s="520"/>
      <c r="AH548" s="520"/>
    </row>
    <row r="549" spans="1:34" ht="15.75" customHeight="1" x14ac:dyDescent="0.35">
      <c r="A549" s="601"/>
      <c r="B549" s="564"/>
      <c r="C549" s="2185"/>
      <c r="D549" s="3167"/>
      <c r="E549" s="3089"/>
      <c r="F549" s="3090"/>
      <c r="G549" s="3090"/>
      <c r="H549" s="3091"/>
      <c r="I549" s="3089"/>
      <c r="J549" s="3090"/>
      <c r="K549" s="3090"/>
      <c r="L549" s="3090"/>
      <c r="M549" s="3090"/>
      <c r="N549" s="3090"/>
      <c r="O549" s="3091"/>
      <c r="P549" s="3475"/>
      <c r="Q549" s="3476"/>
      <c r="R549" s="3476"/>
      <c r="S549" s="3477"/>
      <c r="T549" s="3153"/>
      <c r="U549" s="3153"/>
      <c r="V549" s="3153"/>
      <c r="W549" s="3153"/>
      <c r="X549" s="3153"/>
      <c r="Y549" s="520"/>
      <c r="Z549" s="2293"/>
      <c r="AA549" s="520"/>
      <c r="AB549" s="3611"/>
      <c r="AC549" s="520"/>
      <c r="AD549" s="520"/>
      <c r="AE549" s="520"/>
      <c r="AF549" s="2344"/>
      <c r="AG549" s="520"/>
      <c r="AH549" s="520"/>
    </row>
    <row r="550" spans="1:34" ht="15.75" customHeight="1" x14ac:dyDescent="0.35">
      <c r="A550" s="601"/>
      <c r="B550" s="564"/>
      <c r="C550" s="2185"/>
      <c r="D550" s="3167"/>
      <c r="E550" s="3089"/>
      <c r="F550" s="3090"/>
      <c r="G550" s="3090"/>
      <c r="H550" s="3091"/>
      <c r="I550" s="3089"/>
      <c r="J550" s="3090"/>
      <c r="K550" s="3090"/>
      <c r="L550" s="3090"/>
      <c r="M550" s="3090"/>
      <c r="N550" s="3090"/>
      <c r="O550" s="3091"/>
      <c r="P550" s="3475"/>
      <c r="Q550" s="3476"/>
      <c r="R550" s="3476"/>
      <c r="S550" s="3477"/>
      <c r="T550" s="3153"/>
      <c r="U550" s="3153"/>
      <c r="V550" s="3153"/>
      <c r="W550" s="3153"/>
      <c r="X550" s="3153"/>
      <c r="Y550" s="520"/>
      <c r="Z550" s="2293"/>
      <c r="AA550" s="520"/>
      <c r="AB550" s="3611"/>
      <c r="AC550" s="520"/>
      <c r="AD550" s="520"/>
      <c r="AE550" s="520"/>
      <c r="AF550" s="2344"/>
      <c r="AG550" s="520"/>
      <c r="AH550" s="520"/>
    </row>
    <row r="551" spans="1:34" ht="15.75" customHeight="1" x14ac:dyDescent="0.35">
      <c r="A551" s="601"/>
      <c r="B551" s="564"/>
      <c r="C551" s="2185"/>
      <c r="D551" s="3167"/>
      <c r="E551" s="3089"/>
      <c r="F551" s="3090"/>
      <c r="G551" s="3090"/>
      <c r="H551" s="3091"/>
      <c r="I551" s="3089"/>
      <c r="J551" s="3090"/>
      <c r="K551" s="3090"/>
      <c r="L551" s="3090"/>
      <c r="M551" s="3090"/>
      <c r="N551" s="3090"/>
      <c r="O551" s="3091"/>
      <c r="P551" s="3475"/>
      <c r="Q551" s="3476"/>
      <c r="R551" s="3476"/>
      <c r="S551" s="3477"/>
      <c r="T551" s="3153"/>
      <c r="U551" s="3153"/>
      <c r="V551" s="3153"/>
      <c r="W551" s="3153"/>
      <c r="X551" s="3153"/>
      <c r="Y551" s="520"/>
      <c r="Z551" s="2293"/>
      <c r="AA551" s="520"/>
      <c r="AB551" s="3611"/>
      <c r="AC551" s="520"/>
      <c r="AD551" s="520"/>
      <c r="AE551" s="520"/>
      <c r="AF551" s="2344"/>
      <c r="AG551" s="520"/>
      <c r="AH551" s="520"/>
    </row>
    <row r="552" spans="1:34" ht="15.75" customHeight="1" x14ac:dyDescent="0.35">
      <c r="A552" s="601"/>
      <c r="B552" s="564"/>
      <c r="C552" s="2185"/>
      <c r="D552" s="3168"/>
      <c r="E552" s="3092"/>
      <c r="F552" s="3093"/>
      <c r="G552" s="3093"/>
      <c r="H552" s="3094"/>
      <c r="I552" s="3092"/>
      <c r="J552" s="3093"/>
      <c r="K552" s="3093"/>
      <c r="L552" s="3093"/>
      <c r="M552" s="3093"/>
      <c r="N552" s="3093"/>
      <c r="O552" s="3094"/>
      <c r="P552" s="3478"/>
      <c r="Q552" s="3479"/>
      <c r="R552" s="3479"/>
      <c r="S552" s="3480"/>
      <c r="T552" s="3153"/>
      <c r="U552" s="3153"/>
      <c r="V552" s="3153"/>
      <c r="W552" s="3153"/>
      <c r="X552" s="3153"/>
      <c r="Y552" s="520"/>
      <c r="Z552" s="2293"/>
      <c r="AA552" s="520"/>
      <c r="AB552" s="3611"/>
      <c r="AC552" s="520"/>
      <c r="AD552" s="520"/>
      <c r="AE552" s="520"/>
      <c r="AF552" s="2344"/>
      <c r="AG552" s="520"/>
      <c r="AH552" s="520"/>
    </row>
    <row r="553" spans="1:34" ht="15.75" customHeight="1" x14ac:dyDescent="0.35">
      <c r="A553" s="601"/>
      <c r="B553" s="564"/>
      <c r="C553" s="2185"/>
      <c r="D553" s="3166">
        <v>4</v>
      </c>
      <c r="E553" s="3086" t="s">
        <v>151</v>
      </c>
      <c r="F553" s="3087"/>
      <c r="G553" s="3087"/>
      <c r="H553" s="3088"/>
      <c r="I553" s="3451"/>
      <c r="J553" s="3429"/>
      <c r="K553" s="3429"/>
      <c r="L553" s="3429"/>
      <c r="M553" s="3429"/>
      <c r="N553" s="3429"/>
      <c r="O553" s="3430"/>
      <c r="P553" s="3472" t="s">
        <v>166</v>
      </c>
      <c r="Q553" s="3473"/>
      <c r="R553" s="3473"/>
      <c r="S553" s="3474"/>
      <c r="T553" s="3153"/>
      <c r="U553" s="3153"/>
      <c r="V553" s="3153"/>
      <c r="W553" s="3153"/>
      <c r="X553" s="3153"/>
      <c r="Y553" s="520"/>
      <c r="Z553" s="2293"/>
      <c r="AA553" s="520"/>
      <c r="AB553" s="3611">
        <v>4</v>
      </c>
      <c r="AC553" s="520"/>
      <c r="AD553" s="520"/>
      <c r="AE553" s="520"/>
      <c r="AF553" s="2344"/>
      <c r="AG553" s="520"/>
      <c r="AH553" s="520"/>
    </row>
    <row r="554" spans="1:34" ht="15.75" customHeight="1" x14ac:dyDescent="0.35">
      <c r="A554" s="601"/>
      <c r="B554" s="564"/>
      <c r="C554" s="2185"/>
      <c r="D554" s="3167"/>
      <c r="E554" s="3089"/>
      <c r="F554" s="3090"/>
      <c r="G554" s="3090"/>
      <c r="H554" s="3091"/>
      <c r="I554" s="3483" t="s">
        <v>330</v>
      </c>
      <c r="J554" s="3427"/>
      <c r="K554" s="3427"/>
      <c r="L554" s="3427"/>
      <c r="M554" s="3427"/>
      <c r="N554" s="3427"/>
      <c r="O554" s="3428"/>
      <c r="P554" s="3475"/>
      <c r="Q554" s="3476"/>
      <c r="R554" s="3476"/>
      <c r="S554" s="3477"/>
      <c r="T554" s="3153"/>
      <c r="U554" s="3153"/>
      <c r="V554" s="3153"/>
      <c r="W554" s="3153"/>
      <c r="X554" s="3153"/>
      <c r="Y554" s="520"/>
      <c r="Z554" s="2293"/>
      <c r="AA554" s="520"/>
      <c r="AB554" s="3611"/>
      <c r="AC554" s="520"/>
      <c r="AD554" s="520"/>
      <c r="AE554" s="520"/>
      <c r="AF554" s="2344"/>
      <c r="AG554" s="520"/>
      <c r="AH554" s="520"/>
    </row>
    <row r="555" spans="1:34" ht="15.75" customHeight="1" x14ac:dyDescent="0.35">
      <c r="A555" s="601"/>
      <c r="B555" s="564"/>
      <c r="C555" s="2185"/>
      <c r="D555" s="3167"/>
      <c r="E555" s="3089"/>
      <c r="F555" s="3090"/>
      <c r="G555" s="3090"/>
      <c r="H555" s="3091"/>
      <c r="I555" s="3483" t="s">
        <v>332</v>
      </c>
      <c r="J555" s="3427"/>
      <c r="K555" s="3427"/>
      <c r="L555" s="3427"/>
      <c r="M555" s="3427"/>
      <c r="N555" s="3427"/>
      <c r="O555" s="3428"/>
      <c r="P555" s="3475"/>
      <c r="Q555" s="3476"/>
      <c r="R555" s="3476"/>
      <c r="S555" s="3477"/>
      <c r="T555" s="3153"/>
      <c r="U555" s="3153"/>
      <c r="V555" s="3153"/>
      <c r="W555" s="3153"/>
      <c r="X555" s="3153"/>
      <c r="Y555" s="520"/>
      <c r="Z555" s="2293"/>
      <c r="AA555" s="520"/>
      <c r="AB555" s="3611"/>
      <c r="AC555" s="520"/>
      <c r="AD555" s="520"/>
      <c r="AE555" s="520"/>
      <c r="AF555" s="2344"/>
      <c r="AG555" s="520"/>
      <c r="AH555" s="520"/>
    </row>
    <row r="556" spans="1:34" ht="15.75" customHeight="1" x14ac:dyDescent="0.35">
      <c r="A556" s="601"/>
      <c r="B556" s="564"/>
      <c r="C556" s="2185"/>
      <c r="D556" s="3167"/>
      <c r="E556" s="3089"/>
      <c r="F556" s="3090"/>
      <c r="G556" s="3090"/>
      <c r="H556" s="3091"/>
      <c r="I556" s="3483" t="s">
        <v>274</v>
      </c>
      <c r="J556" s="3427"/>
      <c r="K556" s="3427"/>
      <c r="L556" s="3427"/>
      <c r="M556" s="3427"/>
      <c r="N556" s="3427"/>
      <c r="O556" s="3428"/>
      <c r="P556" s="3475"/>
      <c r="Q556" s="3476"/>
      <c r="R556" s="3476"/>
      <c r="S556" s="3477"/>
      <c r="T556" s="3153"/>
      <c r="U556" s="3153"/>
      <c r="V556" s="3153"/>
      <c r="W556" s="3153"/>
      <c r="X556" s="3153"/>
      <c r="Y556" s="520"/>
      <c r="Z556" s="2293"/>
      <c r="AA556" s="520"/>
      <c r="AB556" s="3611"/>
      <c r="AC556" s="520"/>
      <c r="AD556" s="520"/>
      <c r="AE556" s="520"/>
      <c r="AF556" s="2344"/>
      <c r="AG556" s="520"/>
      <c r="AH556" s="520"/>
    </row>
    <row r="557" spans="1:34" ht="15.75" customHeight="1" x14ac:dyDescent="0.35">
      <c r="A557" s="601"/>
      <c r="B557" s="564"/>
      <c r="C557" s="2185"/>
      <c r="D557" s="3167"/>
      <c r="E557" s="3089"/>
      <c r="F557" s="3090"/>
      <c r="G557" s="3090"/>
      <c r="H557" s="3091"/>
      <c r="I557" s="3483" t="s">
        <v>331</v>
      </c>
      <c r="J557" s="3427"/>
      <c r="K557" s="3427"/>
      <c r="L557" s="3427"/>
      <c r="M557" s="3427"/>
      <c r="N557" s="3427"/>
      <c r="O557" s="3428"/>
      <c r="P557" s="3475"/>
      <c r="Q557" s="3476"/>
      <c r="R557" s="3476"/>
      <c r="S557" s="3477"/>
      <c r="T557" s="3153"/>
      <c r="U557" s="3153"/>
      <c r="V557" s="3153"/>
      <c r="W557" s="3153"/>
      <c r="X557" s="3153"/>
      <c r="Y557" s="520"/>
      <c r="Z557" s="2293"/>
      <c r="AA557" s="520"/>
      <c r="AB557" s="3611"/>
      <c r="AC557" s="520"/>
      <c r="AD557" s="520"/>
      <c r="AE557" s="520"/>
      <c r="AF557" s="2344"/>
      <c r="AG557" s="520"/>
      <c r="AH557" s="520"/>
    </row>
    <row r="558" spans="1:34" ht="15.75" customHeight="1" x14ac:dyDescent="0.35">
      <c r="A558" s="601"/>
      <c r="B558" s="564"/>
      <c r="C558" s="2185"/>
      <c r="D558" s="3168"/>
      <c r="E558" s="3092"/>
      <c r="F558" s="3093"/>
      <c r="G558" s="3093"/>
      <c r="H558" s="3094"/>
      <c r="I558" s="3483" t="s">
        <v>333</v>
      </c>
      <c r="J558" s="3427"/>
      <c r="K558" s="3427"/>
      <c r="L558" s="3427"/>
      <c r="M558" s="3427"/>
      <c r="N558" s="3427"/>
      <c r="O558" s="3428"/>
      <c r="P558" s="3478"/>
      <c r="Q558" s="3479"/>
      <c r="R558" s="3479"/>
      <c r="S558" s="3480"/>
      <c r="T558" s="3153"/>
      <c r="U558" s="3153"/>
      <c r="V558" s="3153"/>
      <c r="W558" s="3153"/>
      <c r="X558" s="3153"/>
      <c r="Y558" s="520"/>
      <c r="Z558" s="2293"/>
      <c r="AA558" s="520"/>
      <c r="AB558" s="3611"/>
      <c r="AC558" s="520"/>
      <c r="AD558" s="520"/>
      <c r="AE558" s="520"/>
      <c r="AF558" s="2344"/>
      <c r="AG558" s="520"/>
      <c r="AH558" s="520"/>
    </row>
    <row r="559" spans="1:34" ht="15.75" customHeight="1" x14ac:dyDescent="0.35">
      <c r="A559" s="601"/>
      <c r="B559" s="564"/>
      <c r="C559" s="2185"/>
      <c r="D559" s="3166">
        <v>5</v>
      </c>
      <c r="E559" s="3086" t="s">
        <v>813</v>
      </c>
      <c r="F559" s="3087"/>
      <c r="G559" s="3087"/>
      <c r="H559" s="3088"/>
      <c r="I559" s="3086" t="s">
        <v>385</v>
      </c>
      <c r="J559" s="3087"/>
      <c r="K559" s="3087"/>
      <c r="L559" s="3087"/>
      <c r="M559" s="3087"/>
      <c r="N559" s="3087"/>
      <c r="O559" s="3088"/>
      <c r="P559" s="3472" t="s">
        <v>334</v>
      </c>
      <c r="Q559" s="3473"/>
      <c r="R559" s="3473"/>
      <c r="S559" s="3474"/>
      <c r="T559" s="3153"/>
      <c r="U559" s="3153"/>
      <c r="V559" s="3153"/>
      <c r="W559" s="3153"/>
      <c r="X559" s="3153"/>
      <c r="Y559" s="520"/>
      <c r="Z559" s="2293"/>
      <c r="AA559" s="520"/>
      <c r="AB559" s="3611">
        <v>3</v>
      </c>
      <c r="AC559" s="520"/>
      <c r="AD559" s="520"/>
      <c r="AE559" s="520"/>
      <c r="AF559" s="2344"/>
      <c r="AG559" s="520"/>
      <c r="AH559" s="520"/>
    </row>
    <row r="560" spans="1:34" ht="15.75" customHeight="1" x14ac:dyDescent="0.35">
      <c r="A560" s="601"/>
      <c r="B560" s="564"/>
      <c r="C560" s="2185"/>
      <c r="D560" s="3167"/>
      <c r="E560" s="3089"/>
      <c r="F560" s="3090"/>
      <c r="G560" s="3090"/>
      <c r="H560" s="3091"/>
      <c r="I560" s="3089"/>
      <c r="J560" s="3090"/>
      <c r="K560" s="3090"/>
      <c r="L560" s="3090"/>
      <c r="M560" s="3090"/>
      <c r="N560" s="3090"/>
      <c r="O560" s="3091"/>
      <c r="P560" s="3475"/>
      <c r="Q560" s="3476"/>
      <c r="R560" s="3476"/>
      <c r="S560" s="3477"/>
      <c r="T560" s="3153"/>
      <c r="U560" s="3153"/>
      <c r="V560" s="3153"/>
      <c r="W560" s="3153"/>
      <c r="X560" s="3153"/>
      <c r="Y560" s="520"/>
      <c r="Z560" s="2293"/>
      <c r="AA560" s="520"/>
      <c r="AB560" s="3611"/>
      <c r="AC560" s="520"/>
      <c r="AD560" s="520"/>
      <c r="AE560" s="520"/>
      <c r="AF560" s="2344"/>
      <c r="AG560" s="520"/>
      <c r="AH560" s="520"/>
    </row>
    <row r="561" spans="1:34" ht="15.75" customHeight="1" x14ac:dyDescent="0.35">
      <c r="A561" s="601"/>
      <c r="B561" s="564"/>
      <c r="C561" s="2185"/>
      <c r="D561" s="3167"/>
      <c r="E561" s="3089"/>
      <c r="F561" s="3090"/>
      <c r="G561" s="3090"/>
      <c r="H561" s="3091"/>
      <c r="I561" s="3089"/>
      <c r="J561" s="3090"/>
      <c r="K561" s="3090"/>
      <c r="L561" s="3090"/>
      <c r="M561" s="3090"/>
      <c r="N561" s="3090"/>
      <c r="O561" s="3091"/>
      <c r="P561" s="3475"/>
      <c r="Q561" s="3476"/>
      <c r="R561" s="3476"/>
      <c r="S561" s="3477"/>
      <c r="T561" s="3153"/>
      <c r="U561" s="3153"/>
      <c r="V561" s="3153"/>
      <c r="W561" s="3153"/>
      <c r="X561" s="3153"/>
      <c r="Y561" s="520"/>
      <c r="Z561" s="2293"/>
      <c r="AA561" s="520"/>
      <c r="AB561" s="3611"/>
      <c r="AC561" s="520"/>
      <c r="AD561" s="520"/>
      <c r="AE561" s="520"/>
      <c r="AF561" s="2344"/>
      <c r="AG561" s="520"/>
      <c r="AH561" s="520"/>
    </row>
    <row r="562" spans="1:34" ht="15.75" customHeight="1" x14ac:dyDescent="0.35">
      <c r="A562" s="601"/>
      <c r="B562" s="564"/>
      <c r="C562" s="2185"/>
      <c r="D562" s="3167"/>
      <c r="E562" s="3089"/>
      <c r="F562" s="3090"/>
      <c r="G562" s="3090"/>
      <c r="H562" s="3091"/>
      <c r="I562" s="3089"/>
      <c r="J562" s="3090"/>
      <c r="K562" s="3090"/>
      <c r="L562" s="3090"/>
      <c r="M562" s="3090"/>
      <c r="N562" s="3090"/>
      <c r="O562" s="3091"/>
      <c r="P562" s="3475"/>
      <c r="Q562" s="3476"/>
      <c r="R562" s="3476"/>
      <c r="S562" s="3477"/>
      <c r="T562" s="3153"/>
      <c r="U562" s="3153"/>
      <c r="V562" s="3153"/>
      <c r="W562" s="3153"/>
      <c r="X562" s="3153"/>
      <c r="Y562" s="520"/>
      <c r="Z562" s="2293"/>
      <c r="AA562" s="520"/>
      <c r="AB562" s="3611"/>
      <c r="AC562" s="520"/>
      <c r="AD562" s="520"/>
      <c r="AE562" s="520"/>
      <c r="AF562" s="2344"/>
      <c r="AG562" s="520"/>
      <c r="AH562" s="520"/>
    </row>
    <row r="563" spans="1:34" ht="15.75" customHeight="1" x14ac:dyDescent="0.35">
      <c r="A563" s="601"/>
      <c r="B563" s="564"/>
      <c r="C563" s="2185"/>
      <c r="D563" s="3167"/>
      <c r="E563" s="3089"/>
      <c r="F563" s="3090"/>
      <c r="G563" s="3090"/>
      <c r="H563" s="3091"/>
      <c r="I563" s="3089"/>
      <c r="J563" s="3090"/>
      <c r="K563" s="3090"/>
      <c r="L563" s="3090"/>
      <c r="M563" s="3090"/>
      <c r="N563" s="3090"/>
      <c r="O563" s="3091"/>
      <c r="P563" s="3475"/>
      <c r="Q563" s="3476"/>
      <c r="R563" s="3476"/>
      <c r="S563" s="3477"/>
      <c r="T563" s="3153"/>
      <c r="U563" s="3153"/>
      <c r="V563" s="3153"/>
      <c r="W563" s="3153"/>
      <c r="X563" s="3153"/>
      <c r="Y563" s="520"/>
      <c r="Z563" s="2293"/>
      <c r="AA563" s="520"/>
      <c r="AB563" s="3611"/>
      <c r="AC563" s="520"/>
      <c r="AD563" s="520"/>
      <c r="AE563" s="520"/>
      <c r="AF563" s="2344"/>
      <c r="AG563" s="520"/>
      <c r="AH563" s="520"/>
    </row>
    <row r="564" spans="1:34" ht="15.75" customHeight="1" x14ac:dyDescent="0.35">
      <c r="A564" s="601"/>
      <c r="B564" s="564"/>
      <c r="C564" s="2185"/>
      <c r="D564" s="3167"/>
      <c r="E564" s="3092"/>
      <c r="F564" s="3093"/>
      <c r="G564" s="3093"/>
      <c r="H564" s="3094"/>
      <c r="I564" s="3092"/>
      <c r="J564" s="3093"/>
      <c r="K564" s="3093"/>
      <c r="L564" s="3093"/>
      <c r="M564" s="3093"/>
      <c r="N564" s="3093"/>
      <c r="O564" s="3094"/>
      <c r="P564" s="3478"/>
      <c r="Q564" s="3479"/>
      <c r="R564" s="3479"/>
      <c r="S564" s="3480"/>
      <c r="T564" s="3153"/>
      <c r="U564" s="3153"/>
      <c r="V564" s="3153"/>
      <c r="W564" s="3153"/>
      <c r="X564" s="3153"/>
      <c r="Y564" s="520"/>
      <c r="Z564" s="2293"/>
      <c r="AA564" s="520"/>
      <c r="AB564" s="3611"/>
      <c r="AC564" s="520"/>
      <c r="AD564" s="520"/>
      <c r="AE564" s="520"/>
      <c r="AF564" s="2344"/>
      <c r="AG564" s="520"/>
      <c r="AH564" s="520"/>
    </row>
    <row r="565" spans="1:34" ht="15.75" customHeight="1" x14ac:dyDescent="0.35">
      <c r="A565" s="601"/>
      <c r="B565" s="564"/>
      <c r="C565" s="2185"/>
      <c r="D565" s="3166">
        <v>6</v>
      </c>
      <c r="E565" s="3086" t="s">
        <v>812</v>
      </c>
      <c r="F565" s="3087"/>
      <c r="G565" s="3087"/>
      <c r="H565" s="3088"/>
      <c r="I565" s="3086" t="s">
        <v>386</v>
      </c>
      <c r="J565" s="3087"/>
      <c r="K565" s="3087"/>
      <c r="L565" s="3087"/>
      <c r="M565" s="3087"/>
      <c r="N565" s="3087"/>
      <c r="O565" s="3088"/>
      <c r="P565" s="3472" t="s">
        <v>167</v>
      </c>
      <c r="Q565" s="3473"/>
      <c r="R565" s="3473"/>
      <c r="S565" s="3474"/>
      <c r="T565" s="3490"/>
      <c r="U565" s="3490"/>
      <c r="V565" s="3490"/>
      <c r="W565" s="3490"/>
      <c r="X565" s="3490"/>
      <c r="Y565" s="520"/>
      <c r="Z565" s="2293"/>
      <c r="AA565" s="520"/>
      <c r="AB565" s="3611">
        <v>4</v>
      </c>
      <c r="AC565" s="520"/>
      <c r="AD565" s="520"/>
      <c r="AE565" s="520"/>
      <c r="AF565" s="2344"/>
      <c r="AG565" s="520"/>
      <c r="AH565" s="520"/>
    </row>
    <row r="566" spans="1:34" ht="15.75" customHeight="1" x14ac:dyDescent="0.35">
      <c r="A566" s="601"/>
      <c r="B566" s="564"/>
      <c r="C566" s="2185"/>
      <c r="D566" s="3167"/>
      <c r="E566" s="3089"/>
      <c r="F566" s="3090"/>
      <c r="G566" s="3090"/>
      <c r="H566" s="3091"/>
      <c r="I566" s="3089"/>
      <c r="J566" s="3090"/>
      <c r="K566" s="3090"/>
      <c r="L566" s="3090"/>
      <c r="M566" s="3090"/>
      <c r="N566" s="3090"/>
      <c r="O566" s="3091"/>
      <c r="P566" s="3475"/>
      <c r="Q566" s="3476"/>
      <c r="R566" s="3476"/>
      <c r="S566" s="3477"/>
      <c r="T566" s="3491"/>
      <c r="U566" s="3491"/>
      <c r="V566" s="3491"/>
      <c r="W566" s="3491"/>
      <c r="X566" s="3491"/>
      <c r="Y566" s="520"/>
      <c r="Z566" s="2293"/>
      <c r="AA566" s="520"/>
      <c r="AB566" s="3611"/>
      <c r="AC566" s="520"/>
      <c r="AD566" s="520"/>
      <c r="AE566" s="520"/>
      <c r="AF566" s="2344"/>
      <c r="AG566" s="520"/>
      <c r="AH566" s="520"/>
    </row>
    <row r="567" spans="1:34" ht="15.75" customHeight="1" x14ac:dyDescent="0.35">
      <c r="A567" s="601"/>
      <c r="B567" s="564"/>
      <c r="C567" s="2185"/>
      <c r="D567" s="3167"/>
      <c r="E567" s="3089"/>
      <c r="F567" s="3090"/>
      <c r="G567" s="3090"/>
      <c r="H567" s="3091"/>
      <c r="I567" s="3089"/>
      <c r="J567" s="3090"/>
      <c r="K567" s="3090"/>
      <c r="L567" s="3090"/>
      <c r="M567" s="3090"/>
      <c r="N567" s="3090"/>
      <c r="O567" s="3091"/>
      <c r="P567" s="3475"/>
      <c r="Q567" s="3476"/>
      <c r="R567" s="3476"/>
      <c r="S567" s="3477"/>
      <c r="T567" s="3491"/>
      <c r="U567" s="3491"/>
      <c r="V567" s="3491"/>
      <c r="W567" s="3491"/>
      <c r="X567" s="3491"/>
      <c r="Y567" s="520"/>
      <c r="Z567" s="2293"/>
      <c r="AA567" s="520"/>
      <c r="AB567" s="3611"/>
      <c r="AC567" s="520"/>
      <c r="AD567" s="520"/>
      <c r="AE567" s="520"/>
      <c r="AF567" s="2344"/>
      <c r="AG567" s="520"/>
      <c r="AH567" s="520"/>
    </row>
    <row r="568" spans="1:34" ht="15.75" customHeight="1" x14ac:dyDescent="0.35">
      <c r="A568" s="601"/>
      <c r="B568" s="564"/>
      <c r="C568" s="2185"/>
      <c r="D568" s="3167"/>
      <c r="E568" s="3089"/>
      <c r="F568" s="3090"/>
      <c r="G568" s="3090"/>
      <c r="H568" s="3091"/>
      <c r="I568" s="3089"/>
      <c r="J568" s="3090"/>
      <c r="K568" s="3090"/>
      <c r="L568" s="3090"/>
      <c r="M568" s="3090"/>
      <c r="N568" s="3090"/>
      <c r="O568" s="3091"/>
      <c r="P568" s="3475"/>
      <c r="Q568" s="3476"/>
      <c r="R568" s="3476"/>
      <c r="S568" s="3477"/>
      <c r="T568" s="3491"/>
      <c r="U568" s="3491"/>
      <c r="V568" s="3491"/>
      <c r="W568" s="3491"/>
      <c r="X568" s="3491"/>
      <c r="Y568" s="520"/>
      <c r="Z568" s="2293"/>
      <c r="AA568" s="520"/>
      <c r="AB568" s="3611"/>
      <c r="AC568" s="520"/>
      <c r="AD568" s="520"/>
      <c r="AE568" s="520"/>
      <c r="AF568" s="2344"/>
      <c r="AG568" s="520"/>
      <c r="AH568" s="520"/>
    </row>
    <row r="569" spans="1:34" ht="15.75" customHeight="1" x14ac:dyDescent="0.35">
      <c r="A569" s="601"/>
      <c r="B569" s="564"/>
      <c r="C569" s="2185"/>
      <c r="D569" s="3167"/>
      <c r="E569" s="3089"/>
      <c r="F569" s="3090"/>
      <c r="G569" s="3090"/>
      <c r="H569" s="3091"/>
      <c r="I569" s="3089"/>
      <c r="J569" s="3090"/>
      <c r="K569" s="3090"/>
      <c r="L569" s="3090"/>
      <c r="M569" s="3090"/>
      <c r="N569" s="3090"/>
      <c r="O569" s="3091"/>
      <c r="P569" s="3475"/>
      <c r="Q569" s="3476"/>
      <c r="R569" s="3476"/>
      <c r="S569" s="3477"/>
      <c r="T569" s="3491"/>
      <c r="U569" s="3491"/>
      <c r="V569" s="3491"/>
      <c r="W569" s="3491"/>
      <c r="X569" s="3491"/>
      <c r="Y569" s="520"/>
      <c r="Z569" s="2293"/>
      <c r="AA569" s="520"/>
      <c r="AB569" s="3611"/>
      <c r="AC569" s="520"/>
      <c r="AD569" s="520"/>
      <c r="AE569" s="520"/>
      <c r="AF569" s="2344"/>
      <c r="AG569" s="520"/>
      <c r="AH569" s="520"/>
    </row>
    <row r="570" spans="1:34" s="15" customFormat="1" ht="15.75" customHeight="1" x14ac:dyDescent="0.25">
      <c r="A570" s="2377"/>
      <c r="B570" s="2369"/>
      <c r="C570" s="2378"/>
      <c r="D570" s="3168"/>
      <c r="E570" s="3092"/>
      <c r="F570" s="3093"/>
      <c r="G570" s="3093"/>
      <c r="H570" s="3094"/>
      <c r="I570" s="3092"/>
      <c r="J570" s="3093"/>
      <c r="K570" s="3093"/>
      <c r="L570" s="3093"/>
      <c r="M570" s="3093"/>
      <c r="N570" s="3093"/>
      <c r="O570" s="3094"/>
      <c r="P570" s="3478"/>
      <c r="Q570" s="3479"/>
      <c r="R570" s="3479"/>
      <c r="S570" s="3480"/>
      <c r="T570" s="3618"/>
      <c r="U570" s="3618"/>
      <c r="V570" s="3618"/>
      <c r="W570" s="3618"/>
      <c r="X570" s="3618"/>
      <c r="Y570" s="2329"/>
      <c r="Z570" s="2293"/>
      <c r="AA570" s="2329"/>
      <c r="AB570" s="3611"/>
      <c r="AC570" s="2329"/>
      <c r="AD570" s="2329"/>
      <c r="AE570" s="2329"/>
      <c r="AF570" s="2347"/>
      <c r="AG570" s="2329"/>
      <c r="AH570" s="2329"/>
    </row>
    <row r="571" spans="1:34" ht="27" customHeight="1" x14ac:dyDescent="0.35">
      <c r="A571" s="144"/>
      <c r="B571" s="197"/>
      <c r="C571" s="189"/>
      <c r="D571" s="3442" t="s">
        <v>1831</v>
      </c>
      <c r="E571" s="3443"/>
      <c r="F571" s="3443"/>
      <c r="G571" s="3443"/>
      <c r="H571" s="3443"/>
      <c r="I571" s="3443"/>
      <c r="J571" s="3443"/>
      <c r="K571" s="3443"/>
      <c r="L571" s="3443"/>
      <c r="M571" s="3443"/>
      <c r="N571" s="3443"/>
      <c r="O571" s="3444"/>
      <c r="P571" s="3210" t="s">
        <v>184</v>
      </c>
      <c r="Q571" s="3211"/>
      <c r="R571" s="3211"/>
      <c r="S571" s="3223"/>
      <c r="T571" s="1469">
        <f>COUNTIF(AB535:AB570,"1")*T534</f>
        <v>0</v>
      </c>
      <c r="U571" s="1469">
        <f>COUNTIF(AB535:AB570,"2")*U534</f>
        <v>2</v>
      </c>
      <c r="V571" s="1469">
        <f>COUNTIF(AB535:AB570,"3")*V534</f>
        <v>6</v>
      </c>
      <c r="W571" s="1469">
        <f>COUNTIF(AB535:AB570,"4")*W534</f>
        <v>12</v>
      </c>
      <c r="X571" s="1469">
        <f>COUNTIF(AB535:AB570,"5")*X534</f>
        <v>0</v>
      </c>
      <c r="Y571" s="520"/>
      <c r="Z571" s="2293"/>
      <c r="AA571" s="520"/>
      <c r="AC571" s="520"/>
      <c r="AD571" s="520"/>
      <c r="AE571" s="520"/>
      <c r="AF571" s="2344"/>
      <c r="AG571" s="520"/>
      <c r="AH571" s="520"/>
    </row>
    <row r="572" spans="1:34" ht="46.5" customHeight="1" x14ac:dyDescent="0.35">
      <c r="A572" s="144"/>
      <c r="B572" s="197"/>
      <c r="C572" s="189"/>
      <c r="D572" s="3445"/>
      <c r="E572" s="3446"/>
      <c r="F572" s="3446"/>
      <c r="G572" s="3446"/>
      <c r="H572" s="3446"/>
      <c r="I572" s="3446"/>
      <c r="J572" s="3446"/>
      <c r="K572" s="3446"/>
      <c r="L572" s="3446"/>
      <c r="M572" s="3446"/>
      <c r="N572" s="3446"/>
      <c r="O572" s="3447"/>
      <c r="P572" s="3212"/>
      <c r="Q572" s="3213"/>
      <c r="R572" s="3213"/>
      <c r="S572" s="3224"/>
      <c r="T572" s="3240">
        <f>SUM(T571:X571)</f>
        <v>20</v>
      </c>
      <c r="U572" s="3241"/>
      <c r="V572" s="3241"/>
      <c r="W572" s="3241"/>
      <c r="X572" s="3242"/>
      <c r="Y572" s="520"/>
      <c r="Z572" s="2293"/>
      <c r="AA572" s="520"/>
      <c r="AC572" s="520"/>
      <c r="AD572" s="520"/>
      <c r="AE572" s="520"/>
      <c r="AF572" s="2344"/>
      <c r="AG572" s="520"/>
      <c r="AH572" s="520"/>
    </row>
    <row r="573" spans="1:34" s="22" customFormat="1" ht="95.25" customHeight="1" x14ac:dyDescent="0.25">
      <c r="A573" s="1268"/>
      <c r="B573" s="381"/>
      <c r="C573" s="380"/>
      <c r="D573" s="3448"/>
      <c r="E573" s="3449"/>
      <c r="F573" s="3449"/>
      <c r="G573" s="3449"/>
      <c r="H573" s="3449"/>
      <c r="I573" s="3449"/>
      <c r="J573" s="3449"/>
      <c r="K573" s="3449"/>
      <c r="L573" s="3449"/>
      <c r="M573" s="3449"/>
      <c r="N573" s="3449"/>
      <c r="O573" s="3450"/>
      <c r="P573" s="3615" t="s">
        <v>182</v>
      </c>
      <c r="Q573" s="3616"/>
      <c r="R573" s="3616"/>
      <c r="S573" s="3617"/>
      <c r="T573" s="3125">
        <f>SUM(T572:X572)/AF573</f>
        <v>3.3333333333333335</v>
      </c>
      <c r="U573" s="3125"/>
      <c r="V573" s="3612" t="str">
        <f>IF(ROUND(T573,0)=1,"Sangat Tidak Memenuhi Syarat",IF(ROUND(T573,0)=2,"Kurang Memenuhi Syarat",IF(ROUND(T573,0)=3,"Cukup Memenuhi Syarat",IF(ROUND(T573,0)=4,"Memenuhi Syarat",IF(ROUND(T573,0)=5,"Sangat Memenuhi Syarat")))))</f>
        <v>Cukup Memenuhi Syarat</v>
      </c>
      <c r="W573" s="3613"/>
      <c r="X573" s="3614"/>
      <c r="Y573" s="2292"/>
      <c r="Z573" s="2293"/>
      <c r="AA573" s="2292"/>
      <c r="AB573" s="2292"/>
      <c r="AC573" s="2292"/>
      <c r="AD573" s="2292"/>
      <c r="AE573" s="2292"/>
      <c r="AF573" s="2345">
        <f>COUNTIF(AB535:AB570,"&gt;0")</f>
        <v>6</v>
      </c>
      <c r="AG573" s="2292"/>
      <c r="AH573" s="2292"/>
    </row>
    <row r="574" spans="1:34" ht="19.7" customHeight="1" x14ac:dyDescent="0.35">
      <c r="A574" s="144"/>
      <c r="B574" s="197"/>
      <c r="C574" s="189"/>
      <c r="D574" s="189"/>
      <c r="E574" s="189"/>
      <c r="F574" s="189"/>
      <c r="G574" s="189"/>
      <c r="H574" s="189"/>
      <c r="I574" s="189"/>
      <c r="J574" s="189"/>
      <c r="K574" s="189"/>
      <c r="L574" s="189"/>
      <c r="M574" s="189"/>
      <c r="N574" s="189"/>
      <c r="O574" s="189"/>
      <c r="P574" s="189"/>
      <c r="Q574" s="189"/>
      <c r="R574" s="515"/>
      <c r="S574" s="189"/>
      <c r="T574" s="189"/>
      <c r="U574" s="189"/>
      <c r="V574" s="189"/>
      <c r="W574" s="189"/>
      <c r="X574" s="189"/>
      <c r="Y574" s="520"/>
      <c r="Z574" s="2293"/>
      <c r="AA574" s="520"/>
      <c r="AC574" s="520"/>
      <c r="AD574" s="520"/>
      <c r="AE574" s="520"/>
      <c r="AF574" s="2344"/>
      <c r="AG574" s="520"/>
      <c r="AH574" s="520"/>
    </row>
    <row r="575" spans="1:34" ht="17.25" x14ac:dyDescent="0.35">
      <c r="A575" s="601"/>
      <c r="B575" s="3776" t="s">
        <v>219</v>
      </c>
      <c r="C575" s="3777"/>
      <c r="D575" s="3777"/>
      <c r="E575" s="3777"/>
      <c r="F575" s="3777"/>
      <c r="G575" s="3777"/>
      <c r="H575" s="3777"/>
      <c r="I575" s="3777"/>
      <c r="J575" s="3777"/>
      <c r="K575" s="3777"/>
      <c r="L575" s="3778"/>
      <c r="M575" s="1515">
        <f>$T$284</f>
        <v>3.5714285714285716</v>
      </c>
      <c r="N575" s="1515">
        <f>$T$318</f>
        <v>3</v>
      </c>
      <c r="O575" s="1515">
        <f>T336</f>
        <v>3.5</v>
      </c>
      <c r="P575" s="1515">
        <f>T366</f>
        <v>3.5</v>
      </c>
      <c r="Q575" s="1515">
        <f>T382</f>
        <v>4.25</v>
      </c>
      <c r="R575" s="1515">
        <f>T430</f>
        <v>3.8333333333333335</v>
      </c>
      <c r="S575" s="1515"/>
      <c r="T575" s="3782">
        <f>SUM(M575:R577)</f>
        <v>50.454761904761902</v>
      </c>
      <c r="U575" s="3782"/>
      <c r="V575" s="3782"/>
      <c r="W575" s="3782"/>
      <c r="X575" s="3782"/>
      <c r="Y575" s="520"/>
      <c r="Z575" s="2293"/>
      <c r="AA575" s="520"/>
      <c r="AC575" s="520"/>
      <c r="AD575" s="520"/>
      <c r="AE575" s="520"/>
      <c r="AF575" s="3867">
        <f>COUNTIF(M575:R577,"&gt;0")</f>
        <v>13</v>
      </c>
      <c r="AG575" s="520"/>
      <c r="AH575" s="520"/>
    </row>
    <row r="576" spans="1:34" ht="17.25" x14ac:dyDescent="0.35">
      <c r="A576" s="601"/>
      <c r="B576" s="3779" t="s">
        <v>220</v>
      </c>
      <c r="C576" s="3780"/>
      <c r="D576" s="3780"/>
      <c r="E576" s="3780"/>
      <c r="F576" s="3780"/>
      <c r="G576" s="3780"/>
      <c r="H576" s="3780"/>
      <c r="I576" s="3780"/>
      <c r="J576" s="3780"/>
      <c r="K576" s="3780"/>
      <c r="L576" s="3781"/>
      <c r="M576" s="1515">
        <f>T456</f>
        <v>3.8</v>
      </c>
      <c r="N576" s="1515">
        <f>T481</f>
        <v>4</v>
      </c>
      <c r="O576" s="1515">
        <f>T490</f>
        <v>4</v>
      </c>
      <c r="P576" s="1515">
        <f>T498</f>
        <v>5</v>
      </c>
      <c r="Q576" s="1515">
        <f>T506</f>
        <v>4</v>
      </c>
      <c r="R576" s="1511">
        <f>T531</f>
        <v>4.666666666666667</v>
      </c>
      <c r="S576" s="1515"/>
      <c r="T576" s="3783">
        <f>T575/AF575</f>
        <v>3.8811355311355311</v>
      </c>
      <c r="U576" s="3783"/>
      <c r="V576" s="3783"/>
      <c r="W576" s="3783"/>
      <c r="X576" s="3783"/>
      <c r="Y576" s="520"/>
      <c r="Z576" s="2293"/>
      <c r="AA576" s="520"/>
      <c r="AC576" s="520"/>
      <c r="AD576" s="520"/>
      <c r="AE576" s="520"/>
      <c r="AF576" s="3867"/>
      <c r="AG576" s="520"/>
      <c r="AH576" s="520"/>
    </row>
    <row r="577" spans="1:34" ht="48" customHeight="1" x14ac:dyDescent="0.35">
      <c r="A577" s="601"/>
      <c r="B577" s="2394"/>
      <c r="C577" s="2395"/>
      <c r="D577" s="2395"/>
      <c r="E577" s="2395"/>
      <c r="F577" s="2395"/>
      <c r="G577" s="2395"/>
      <c r="H577" s="2395"/>
      <c r="I577" s="2395"/>
      <c r="J577" s="2395"/>
      <c r="K577" s="2395"/>
      <c r="L577" s="2395"/>
      <c r="M577" s="1511">
        <f>T573</f>
        <v>3.3333333333333335</v>
      </c>
      <c r="N577" s="680"/>
      <c r="O577" s="1515"/>
      <c r="P577" s="1515"/>
      <c r="Q577" s="1515"/>
      <c r="R577" s="1515"/>
      <c r="S577" s="1515"/>
      <c r="T577" s="3786" t="str">
        <f>IF(ROUND(T576,0)=1,"Sangat Tidak Memenuhi Syarat",IF(ROUND(T576,0)=2,"Kurang memenuhi Syarat",IF(ROUND(T576,0)=3,"Cukup Memenuhi Syarat",IF(ROUND(T576,0)=4,"Memenuhi Syarat",IF(ROUND(T576,0)&gt;=5,"Sangat Memenuhi Syarat")))))</f>
        <v>Memenuhi Syarat</v>
      </c>
      <c r="U577" s="3786"/>
      <c r="V577" s="3786"/>
      <c r="W577" s="3786"/>
      <c r="X577" s="3786"/>
      <c r="Y577" s="520"/>
      <c r="Z577" s="2293"/>
      <c r="AA577" s="520"/>
      <c r="AC577" s="520"/>
      <c r="AD577" s="520"/>
      <c r="AE577" s="520"/>
      <c r="AF577" s="3867"/>
      <c r="AG577" s="520"/>
      <c r="AH577" s="520"/>
    </row>
    <row r="578" spans="1:34" ht="17.25" x14ac:dyDescent="0.35">
      <c r="A578" s="144"/>
      <c r="B578" s="3787" t="s">
        <v>275</v>
      </c>
      <c r="C578" s="3788"/>
      <c r="D578" s="3788"/>
      <c r="E578" s="3788"/>
      <c r="F578" s="3788"/>
      <c r="G578" s="3788"/>
      <c r="H578" s="3788"/>
      <c r="I578" s="3788"/>
      <c r="J578" s="3788"/>
      <c r="K578" s="3788"/>
      <c r="L578" s="3788"/>
      <c r="M578" s="3788"/>
      <c r="N578" s="3788"/>
      <c r="O578" s="3788"/>
      <c r="P578" s="3788"/>
      <c r="Q578" s="3788"/>
      <c r="R578" s="3788"/>
      <c r="S578" s="3788"/>
      <c r="T578" s="3788"/>
      <c r="U578" s="3788"/>
      <c r="V578" s="3788"/>
      <c r="W578" s="3788"/>
      <c r="X578" s="3789"/>
      <c r="Y578" s="520"/>
      <c r="Z578" s="2293"/>
      <c r="AA578" s="520"/>
      <c r="AC578" s="520"/>
      <c r="AD578" s="520"/>
      <c r="AE578" s="520"/>
      <c r="AF578" s="2344"/>
      <c r="AG578" s="520"/>
      <c r="AH578" s="520"/>
    </row>
    <row r="579" spans="1:34" ht="17.25" x14ac:dyDescent="0.35">
      <c r="A579" s="144"/>
      <c r="B579" s="193"/>
      <c r="C579" s="512"/>
      <c r="D579" s="518"/>
      <c r="E579" s="518"/>
      <c r="F579" s="513"/>
      <c r="G579" s="513"/>
      <c r="H579" s="513"/>
      <c r="I579" s="513"/>
      <c r="J579" s="513"/>
      <c r="K579" s="513"/>
      <c r="L579" s="513"/>
      <c r="M579" s="513"/>
      <c r="N579" s="513"/>
      <c r="O579" s="513"/>
      <c r="P579" s="513"/>
      <c r="Q579" s="513"/>
      <c r="R579" s="513"/>
      <c r="S579" s="513"/>
      <c r="T579" s="513"/>
      <c r="U579" s="513"/>
      <c r="V579" s="513"/>
      <c r="W579" s="513"/>
      <c r="X579" s="519"/>
      <c r="Y579" s="520"/>
      <c r="Z579" s="2293"/>
      <c r="AA579" s="520"/>
      <c r="AC579" s="520"/>
      <c r="AD579" s="520"/>
      <c r="AE579" s="520"/>
      <c r="AF579" s="2344"/>
      <c r="AG579" s="520"/>
      <c r="AH579" s="520"/>
    </row>
    <row r="580" spans="1:34" ht="17.25" x14ac:dyDescent="0.35">
      <c r="A580" s="144"/>
      <c r="B580" s="3784" t="s">
        <v>168</v>
      </c>
      <c r="C580" s="3784"/>
      <c r="D580" s="3784"/>
      <c r="E580" s="3784"/>
      <c r="F580" s="3784"/>
      <c r="G580" s="3784"/>
      <c r="H580" s="3784"/>
      <c r="I580" s="3784"/>
      <c r="J580" s="3784"/>
      <c r="K580" s="3784"/>
      <c r="L580" s="3784"/>
      <c r="M580" s="3784"/>
      <c r="N580" s="3784"/>
      <c r="O580" s="3784"/>
      <c r="P580" s="3784"/>
      <c r="Q580" s="3784"/>
      <c r="R580" s="3784"/>
      <c r="S580" s="3784"/>
      <c r="T580" s="3784"/>
      <c r="U580" s="3784"/>
      <c r="V580" s="3784"/>
      <c r="W580" s="3784"/>
      <c r="X580" s="3785"/>
      <c r="Y580" s="520"/>
      <c r="Z580" s="2293"/>
      <c r="AA580" s="520"/>
      <c r="AC580" s="520"/>
      <c r="AD580" s="520"/>
      <c r="AE580" s="520"/>
      <c r="AF580" s="2344"/>
      <c r="AG580" s="520"/>
      <c r="AH580" s="520"/>
    </row>
    <row r="581" spans="1:34" ht="17.25" x14ac:dyDescent="0.35">
      <c r="A581" s="144"/>
      <c r="B581" s="197"/>
      <c r="C581" s="189"/>
      <c r="D581" s="144"/>
      <c r="E581" s="144"/>
      <c r="F581" s="144"/>
      <c r="G581" s="144"/>
      <c r="H581" s="144"/>
      <c r="I581" s="144"/>
      <c r="J581" s="144"/>
      <c r="K581" s="144"/>
      <c r="L581" s="144"/>
      <c r="M581" s="144"/>
      <c r="N581" s="144"/>
      <c r="O581" s="144"/>
      <c r="P581" s="144"/>
      <c r="Q581" s="144"/>
      <c r="R581" s="144"/>
      <c r="S581" s="144"/>
      <c r="T581" s="144"/>
      <c r="U581" s="144"/>
      <c r="V581" s="144"/>
      <c r="W581" s="144"/>
      <c r="X581" s="436"/>
      <c r="Y581" s="520"/>
      <c r="Z581" s="2293"/>
      <c r="AA581" s="520"/>
      <c r="AC581" s="520"/>
      <c r="AD581" s="520"/>
      <c r="AE581" s="520"/>
      <c r="AF581" s="2344"/>
      <c r="AG581" s="520"/>
      <c r="AH581" s="520"/>
    </row>
    <row r="582" spans="1:34" ht="17.25" x14ac:dyDescent="0.35">
      <c r="A582" s="144"/>
      <c r="B582" s="3770" t="s">
        <v>1832</v>
      </c>
      <c r="C582" s="3771"/>
      <c r="D582" s="3771"/>
      <c r="E582" s="3771"/>
      <c r="F582" s="3771"/>
      <c r="G582" s="3771"/>
      <c r="H582" s="3771"/>
      <c r="I582" s="3771"/>
      <c r="J582" s="3771"/>
      <c r="K582" s="3771"/>
      <c r="L582" s="3771"/>
      <c r="M582" s="3771"/>
      <c r="N582" s="3771"/>
      <c r="O582" s="3771"/>
      <c r="P582" s="3771"/>
      <c r="Q582" s="3771"/>
      <c r="R582" s="3771"/>
      <c r="S582" s="3771"/>
      <c r="T582" s="3771"/>
      <c r="U582" s="3771"/>
      <c r="V582" s="3771"/>
      <c r="W582" s="3771"/>
      <c r="X582" s="3772"/>
      <c r="Y582" s="520"/>
      <c r="Z582" s="2293"/>
      <c r="AA582" s="520"/>
      <c r="AC582" s="520"/>
      <c r="AD582" s="520"/>
      <c r="AE582" s="520"/>
      <c r="AF582" s="2344"/>
      <c r="AG582" s="520"/>
      <c r="AH582" s="520"/>
    </row>
    <row r="583" spans="1:34" ht="17.25" x14ac:dyDescent="0.35">
      <c r="A583" s="144"/>
      <c r="B583" s="3770"/>
      <c r="C583" s="3771"/>
      <c r="D583" s="3771"/>
      <c r="E583" s="3771"/>
      <c r="F583" s="3771"/>
      <c r="G583" s="3771"/>
      <c r="H583" s="3771"/>
      <c r="I583" s="3771"/>
      <c r="J583" s="3771"/>
      <c r="K583" s="3771"/>
      <c r="L583" s="3771"/>
      <c r="M583" s="3771"/>
      <c r="N583" s="3771"/>
      <c r="O583" s="3771"/>
      <c r="P583" s="3771"/>
      <c r="Q583" s="3771"/>
      <c r="R583" s="3771"/>
      <c r="S583" s="3771"/>
      <c r="T583" s="3771"/>
      <c r="U583" s="3771"/>
      <c r="V583" s="3771"/>
      <c r="W583" s="3771"/>
      <c r="X583" s="3772"/>
      <c r="Y583" s="520"/>
      <c r="Z583" s="2293"/>
      <c r="AA583" s="520"/>
      <c r="AC583" s="520"/>
      <c r="AD583" s="520"/>
      <c r="AE583" s="520"/>
      <c r="AF583" s="2344"/>
      <c r="AG583" s="520"/>
      <c r="AH583" s="520"/>
    </row>
    <row r="584" spans="1:34" ht="17.25" x14ac:dyDescent="0.35">
      <c r="A584" s="144"/>
      <c r="B584" s="3770"/>
      <c r="C584" s="3771"/>
      <c r="D584" s="3771"/>
      <c r="E584" s="3771"/>
      <c r="F584" s="3771"/>
      <c r="G584" s="3771"/>
      <c r="H584" s="3771"/>
      <c r="I584" s="3771"/>
      <c r="J584" s="3771"/>
      <c r="K584" s="3771"/>
      <c r="L584" s="3771"/>
      <c r="M584" s="3771"/>
      <c r="N584" s="3771"/>
      <c r="O584" s="3771"/>
      <c r="P584" s="3771"/>
      <c r="Q584" s="3771"/>
      <c r="R584" s="3771"/>
      <c r="S584" s="3771"/>
      <c r="T584" s="3771"/>
      <c r="U584" s="3771"/>
      <c r="V584" s="3771"/>
      <c r="W584" s="3771"/>
      <c r="X584" s="3772"/>
      <c r="Y584" s="520"/>
      <c r="Z584" s="2293"/>
      <c r="AA584" s="520"/>
      <c r="AC584" s="520"/>
      <c r="AD584" s="520"/>
      <c r="AE584" s="520"/>
      <c r="AF584" s="2344"/>
      <c r="AG584" s="520"/>
      <c r="AH584" s="520"/>
    </row>
    <row r="585" spans="1:34" ht="17.25" x14ac:dyDescent="0.35">
      <c r="A585" s="144"/>
      <c r="B585" s="3770"/>
      <c r="C585" s="3771"/>
      <c r="D585" s="3771"/>
      <c r="E585" s="3771"/>
      <c r="F585" s="3771"/>
      <c r="G585" s="3771"/>
      <c r="H585" s="3771"/>
      <c r="I585" s="3771"/>
      <c r="J585" s="3771"/>
      <c r="K585" s="3771"/>
      <c r="L585" s="3771"/>
      <c r="M585" s="3771"/>
      <c r="N585" s="3771"/>
      <c r="O585" s="3771"/>
      <c r="P585" s="3771"/>
      <c r="Q585" s="3771"/>
      <c r="R585" s="3771"/>
      <c r="S585" s="3771"/>
      <c r="T585" s="3771"/>
      <c r="U585" s="3771"/>
      <c r="V585" s="3771"/>
      <c r="W585" s="3771"/>
      <c r="X585" s="3772"/>
      <c r="Y585" s="520"/>
      <c r="Z585" s="2293"/>
      <c r="AA585" s="520"/>
      <c r="AC585" s="520"/>
      <c r="AD585" s="520"/>
      <c r="AE585" s="520"/>
      <c r="AF585" s="2344"/>
      <c r="AG585" s="520"/>
      <c r="AH585" s="520"/>
    </row>
    <row r="586" spans="1:34" ht="17.25" x14ac:dyDescent="0.35">
      <c r="A586" s="144"/>
      <c r="B586" s="3770"/>
      <c r="C586" s="3771"/>
      <c r="D586" s="3771"/>
      <c r="E586" s="3771"/>
      <c r="F586" s="3771"/>
      <c r="G586" s="3771"/>
      <c r="H586" s="3771"/>
      <c r="I586" s="3771"/>
      <c r="J586" s="3771"/>
      <c r="K586" s="3771"/>
      <c r="L586" s="3771"/>
      <c r="M586" s="3771"/>
      <c r="N586" s="3771"/>
      <c r="O586" s="3771"/>
      <c r="P586" s="3771"/>
      <c r="Q586" s="3771"/>
      <c r="R586" s="3771"/>
      <c r="S586" s="3771"/>
      <c r="T586" s="3771"/>
      <c r="U586" s="3771"/>
      <c r="V586" s="3771"/>
      <c r="W586" s="3771"/>
      <c r="X586" s="3772"/>
      <c r="Y586" s="520"/>
      <c r="Z586" s="2293"/>
      <c r="AA586" s="520"/>
      <c r="AC586" s="520"/>
      <c r="AD586" s="520"/>
      <c r="AE586" s="520"/>
      <c r="AF586" s="2344"/>
      <c r="AG586" s="520"/>
      <c r="AH586" s="520"/>
    </row>
    <row r="587" spans="1:34" ht="17.25" x14ac:dyDescent="0.35">
      <c r="A587" s="144"/>
      <c r="B587" s="3770"/>
      <c r="C587" s="3771"/>
      <c r="D587" s="3771"/>
      <c r="E587" s="3771"/>
      <c r="F587" s="3771"/>
      <c r="G587" s="3771"/>
      <c r="H587" s="3771"/>
      <c r="I587" s="3771"/>
      <c r="J587" s="3771"/>
      <c r="K587" s="3771"/>
      <c r="L587" s="3771"/>
      <c r="M587" s="3771"/>
      <c r="N587" s="3771"/>
      <c r="O587" s="3771"/>
      <c r="P587" s="3771"/>
      <c r="Q587" s="3771"/>
      <c r="R587" s="3771"/>
      <c r="S587" s="3771"/>
      <c r="T587" s="3771"/>
      <c r="U587" s="3771"/>
      <c r="V587" s="3771"/>
      <c r="W587" s="3771"/>
      <c r="X587" s="3772"/>
      <c r="Y587" s="520"/>
      <c r="Z587" s="2293"/>
      <c r="AA587" s="520"/>
      <c r="AC587" s="520"/>
      <c r="AD587" s="520"/>
      <c r="AE587" s="520"/>
      <c r="AF587" s="2344"/>
      <c r="AG587" s="520"/>
      <c r="AH587" s="520"/>
    </row>
    <row r="588" spans="1:34" ht="17.25" x14ac:dyDescent="0.35">
      <c r="A588" s="144"/>
      <c r="B588" s="3773"/>
      <c r="C588" s="3774"/>
      <c r="D588" s="3774"/>
      <c r="E588" s="3774"/>
      <c r="F588" s="3774"/>
      <c r="G588" s="3774"/>
      <c r="H588" s="3774"/>
      <c r="I588" s="3774"/>
      <c r="J588" s="3774"/>
      <c r="K588" s="3774"/>
      <c r="L588" s="3774"/>
      <c r="M588" s="3774"/>
      <c r="N588" s="3774"/>
      <c r="O588" s="3774"/>
      <c r="P588" s="3774"/>
      <c r="Q588" s="3774"/>
      <c r="R588" s="3774"/>
      <c r="S588" s="3774"/>
      <c r="T588" s="3774"/>
      <c r="U588" s="3774"/>
      <c r="V588" s="3774"/>
      <c r="W588" s="3774"/>
      <c r="X588" s="3775"/>
      <c r="Y588" s="520"/>
      <c r="Z588" s="2293"/>
      <c r="AA588" s="520"/>
      <c r="AC588" s="520"/>
      <c r="AD588" s="520"/>
      <c r="AE588" s="520"/>
      <c r="AF588" s="2344"/>
      <c r="AG588" s="520"/>
      <c r="AH588" s="520"/>
    </row>
    <row r="589" spans="1:34" ht="17.25" x14ac:dyDescent="0.35">
      <c r="A589" s="144"/>
      <c r="B589" s="193"/>
      <c r="C589" s="512"/>
      <c r="D589" s="513"/>
      <c r="E589" s="513"/>
      <c r="F589" s="513"/>
      <c r="G589" s="513"/>
      <c r="H589" s="513"/>
      <c r="I589" s="513"/>
      <c r="J589" s="513"/>
      <c r="K589" s="513"/>
      <c r="L589" s="513"/>
      <c r="M589" s="513"/>
      <c r="N589" s="513"/>
      <c r="O589" s="513"/>
      <c r="P589" s="513"/>
      <c r="Q589" s="513"/>
      <c r="R589" s="513"/>
      <c r="S589" s="513"/>
      <c r="T589" s="513"/>
      <c r="U589" s="513"/>
      <c r="V589" s="513"/>
      <c r="W589" s="513"/>
      <c r="X589" s="519"/>
      <c r="Y589" s="520"/>
      <c r="Z589" s="2293"/>
      <c r="AA589" s="520"/>
      <c r="AC589" s="520"/>
      <c r="AD589" s="520"/>
      <c r="AE589" s="520"/>
      <c r="AF589" s="2344"/>
      <c r="AG589" s="520"/>
      <c r="AH589" s="520"/>
    </row>
    <row r="590" spans="1:34" ht="17.25" x14ac:dyDescent="0.35">
      <c r="A590" s="144"/>
      <c r="B590" s="197"/>
      <c r="C590" s="189"/>
      <c r="D590" s="144"/>
      <c r="E590" s="144"/>
      <c r="F590" s="144"/>
      <c r="G590" s="144"/>
      <c r="H590" s="144"/>
      <c r="I590" s="144"/>
      <c r="J590" s="144"/>
      <c r="K590" s="144"/>
      <c r="L590" s="144"/>
      <c r="M590" s="144"/>
      <c r="N590" s="144"/>
      <c r="O590" s="144"/>
      <c r="P590" s="144"/>
      <c r="Q590" s="144"/>
      <c r="R590" s="144"/>
      <c r="S590" s="144"/>
      <c r="T590" s="144"/>
      <c r="U590" s="144"/>
      <c r="V590" s="144"/>
      <c r="W590" s="144"/>
      <c r="X590" s="436"/>
      <c r="Y590" s="520"/>
      <c r="Z590" s="2293"/>
      <c r="AA590" s="520"/>
      <c r="AC590" s="520"/>
      <c r="AD590" s="520"/>
      <c r="AE590" s="520"/>
      <c r="AF590" s="2344"/>
      <c r="AG590" s="520"/>
      <c r="AH590" s="520"/>
    </row>
    <row r="591" spans="1:34" ht="17.25" x14ac:dyDescent="0.35">
      <c r="A591" s="144"/>
      <c r="B591" s="197"/>
      <c r="C591" s="189"/>
      <c r="D591" s="144"/>
      <c r="E591" s="144"/>
      <c r="F591" s="144"/>
      <c r="G591" s="144"/>
      <c r="H591" s="144"/>
      <c r="I591" s="144"/>
      <c r="J591" s="144"/>
      <c r="K591" s="144"/>
      <c r="L591" s="144"/>
      <c r="M591" s="144"/>
      <c r="N591" s="144"/>
      <c r="O591" s="144"/>
      <c r="P591" s="144"/>
      <c r="Q591" s="144"/>
      <c r="R591" s="144"/>
      <c r="S591" s="144"/>
      <c r="T591" s="144"/>
      <c r="U591" s="144"/>
      <c r="V591" s="144"/>
      <c r="W591" s="144"/>
      <c r="X591" s="436"/>
      <c r="Y591" s="520"/>
      <c r="Z591" s="2293"/>
      <c r="AA591" s="520"/>
      <c r="AC591" s="520"/>
      <c r="AD591" s="520"/>
      <c r="AE591" s="520"/>
      <c r="AF591" s="2344"/>
      <c r="AG591" s="520"/>
      <c r="AH591" s="520"/>
    </row>
    <row r="592" spans="1:34" s="4" customFormat="1" x14ac:dyDescent="0.35">
      <c r="A592" s="198"/>
      <c r="B592" s="501"/>
      <c r="C592" s="1488"/>
      <c r="D592" s="198"/>
      <c r="E592" s="198"/>
      <c r="F592" s="3495" t="s">
        <v>853</v>
      </c>
      <c r="G592" s="3495"/>
      <c r="H592" s="198"/>
      <c r="I592" s="198"/>
      <c r="J592" s="198"/>
      <c r="K592" s="198"/>
      <c r="L592" s="198"/>
      <c r="M592" s="198"/>
      <c r="N592" s="198"/>
      <c r="O592" s="198"/>
      <c r="P592" s="3495" t="s">
        <v>945</v>
      </c>
      <c r="Q592" s="3495"/>
      <c r="R592" s="3495"/>
      <c r="S592" s="3495"/>
      <c r="T592" s="3495"/>
      <c r="U592" s="3495"/>
      <c r="V592" s="3495"/>
      <c r="W592" s="198"/>
      <c r="X592" s="510"/>
      <c r="Y592" s="2330"/>
      <c r="Z592" s="2331"/>
      <c r="AA592" s="2330"/>
      <c r="AB592" s="2331"/>
      <c r="AC592" s="2330"/>
      <c r="AD592" s="2330"/>
      <c r="AE592" s="2330"/>
      <c r="AF592" s="2348"/>
      <c r="AG592" s="2330"/>
      <c r="AH592" s="2330"/>
    </row>
    <row r="593" spans="1:34" s="4" customFormat="1" x14ac:dyDescent="0.35">
      <c r="A593" s="198"/>
      <c r="B593" s="501"/>
      <c r="C593" s="1488"/>
      <c r="D593" s="198"/>
      <c r="E593" s="198"/>
      <c r="F593" s="3375" t="str">
        <f>'CEKLIST 002 (BIO DATA)'!A6</f>
        <v>Supervisor Analis Penjaminan</v>
      </c>
      <c r="G593" s="3375"/>
      <c r="H593" s="600"/>
      <c r="I593" s="600"/>
      <c r="J593" s="600"/>
      <c r="K593" s="600"/>
      <c r="L593" s="600"/>
      <c r="M593" s="600"/>
      <c r="N593" s="600"/>
      <c r="O593" s="3375" t="str">
        <f>'CEKLIST 002 (BIO DATA)'!A3</f>
        <v>AO Penjaminan I</v>
      </c>
      <c r="P593" s="3375"/>
      <c r="Q593" s="3375"/>
      <c r="R593" s="600"/>
      <c r="S593" s="3375" t="str">
        <f>'CEKLIST 002 (BIO DATA)'!A4</f>
        <v>AO Penjaminan II</v>
      </c>
      <c r="T593" s="3375"/>
      <c r="U593" s="3375"/>
      <c r="V593" s="3375"/>
      <c r="W593" s="3375"/>
      <c r="X593" s="510"/>
      <c r="Y593" s="2330"/>
      <c r="Z593" s="2331"/>
      <c r="AA593" s="2330"/>
      <c r="AB593" s="2331"/>
      <c r="AC593" s="2330"/>
      <c r="AD593" s="2330"/>
      <c r="AE593" s="2330"/>
      <c r="AF593" s="2348"/>
      <c r="AG593" s="2330"/>
      <c r="AH593" s="2330"/>
    </row>
    <row r="594" spans="1:34" s="4" customFormat="1" x14ac:dyDescent="0.35">
      <c r="A594" s="198"/>
      <c r="B594" s="501"/>
      <c r="C594" s="1488"/>
      <c r="D594" s="198"/>
      <c r="E594" s="198"/>
      <c r="F594" s="198"/>
      <c r="G594" s="198"/>
      <c r="H594" s="198"/>
      <c r="I594" s="198"/>
      <c r="J594" s="198"/>
      <c r="K594" s="198"/>
      <c r="L594" s="198"/>
      <c r="M594" s="198"/>
      <c r="N594" s="198"/>
      <c r="O594" s="198"/>
      <c r="P594" s="198"/>
      <c r="Q594" s="198"/>
      <c r="R594" s="198"/>
      <c r="S594" s="198"/>
      <c r="T594" s="198"/>
      <c r="U594" s="198"/>
      <c r="V594" s="198"/>
      <c r="W594" s="198"/>
      <c r="X594" s="510"/>
      <c r="Y594" s="2330"/>
      <c r="Z594" s="2331"/>
      <c r="AA594" s="2330"/>
      <c r="AB594" s="2331"/>
      <c r="AC594" s="2330"/>
      <c r="AD594" s="2330"/>
      <c r="AE594" s="2330"/>
      <c r="AF594" s="2348"/>
      <c r="AG594" s="2330"/>
      <c r="AH594" s="2330"/>
    </row>
    <row r="595" spans="1:34" s="4" customFormat="1" x14ac:dyDescent="0.35">
      <c r="A595" s="198"/>
      <c r="B595" s="501"/>
      <c r="C595" s="1488"/>
      <c r="D595" s="198"/>
      <c r="E595" s="198"/>
      <c r="F595" s="198"/>
      <c r="G595" s="198"/>
      <c r="H595" s="198"/>
      <c r="I595" s="198"/>
      <c r="J595" s="198"/>
      <c r="K595" s="198"/>
      <c r="L595" s="198"/>
      <c r="M595" s="198"/>
      <c r="N595" s="198"/>
      <c r="O595" s="198"/>
      <c r="P595" s="198"/>
      <c r="Q595" s="198"/>
      <c r="R595" s="198"/>
      <c r="S595" s="198"/>
      <c r="T595" s="198"/>
      <c r="U595" s="198"/>
      <c r="V595" s="198"/>
      <c r="W595" s="198"/>
      <c r="X595" s="510"/>
      <c r="Y595" s="2330"/>
      <c r="Z595" s="2331"/>
      <c r="AA595" s="2330"/>
      <c r="AB595" s="2331"/>
      <c r="AC595" s="2330"/>
      <c r="AD595" s="2330"/>
      <c r="AE595" s="2330"/>
      <c r="AF595" s="2348"/>
      <c r="AG595" s="2330"/>
      <c r="AH595" s="2330"/>
    </row>
    <row r="596" spans="1:34" s="4" customFormat="1" x14ac:dyDescent="0.35">
      <c r="A596" s="198"/>
      <c r="B596" s="501"/>
      <c r="C596" s="1488"/>
      <c r="D596" s="198"/>
      <c r="E596" s="198"/>
      <c r="F596" s="198"/>
      <c r="G596" s="198"/>
      <c r="H596" s="198"/>
      <c r="I596" s="198"/>
      <c r="J596" s="198"/>
      <c r="K596" s="198"/>
      <c r="L596" s="198"/>
      <c r="M596" s="198"/>
      <c r="N596" s="198"/>
      <c r="O596" s="198"/>
      <c r="P596" s="198"/>
      <c r="Q596" s="198"/>
      <c r="R596" s="198"/>
      <c r="S596" s="198"/>
      <c r="T596" s="198"/>
      <c r="U596" s="198"/>
      <c r="V596" s="198"/>
      <c r="W596" s="198"/>
      <c r="X596" s="510"/>
      <c r="Y596" s="2330"/>
      <c r="Z596" s="2331"/>
      <c r="AA596" s="2330"/>
      <c r="AB596" s="2331"/>
      <c r="AC596" s="2330"/>
      <c r="AD596" s="2330"/>
      <c r="AE596" s="2330"/>
      <c r="AF596" s="2348"/>
      <c r="AG596" s="2330"/>
      <c r="AH596" s="2330"/>
    </row>
    <row r="597" spans="1:34" s="4" customFormat="1" x14ac:dyDescent="0.35">
      <c r="A597" s="198"/>
      <c r="B597" s="501"/>
      <c r="C597" s="1488"/>
      <c r="D597" s="198"/>
      <c r="E597" s="198"/>
      <c r="F597" s="198"/>
      <c r="G597" s="198"/>
      <c r="H597" s="198"/>
      <c r="I597" s="198"/>
      <c r="J597" s="198"/>
      <c r="K597" s="198"/>
      <c r="L597" s="198"/>
      <c r="M597" s="198"/>
      <c r="N597" s="198"/>
      <c r="O597" s="198"/>
      <c r="P597" s="198"/>
      <c r="Q597" s="198"/>
      <c r="R597" s="198"/>
      <c r="S597" s="198"/>
      <c r="T597" s="198"/>
      <c r="U597" s="198"/>
      <c r="V597" s="198"/>
      <c r="W597" s="198"/>
      <c r="X597" s="510"/>
      <c r="Y597" s="2330"/>
      <c r="Z597" s="2331"/>
      <c r="AA597" s="2330"/>
      <c r="AB597" s="2331"/>
      <c r="AC597" s="2330"/>
      <c r="AD597" s="2330"/>
      <c r="AE597" s="2330"/>
      <c r="AF597" s="2348"/>
      <c r="AG597" s="2330"/>
      <c r="AH597" s="2330"/>
    </row>
    <row r="598" spans="1:34" s="4" customFormat="1" x14ac:dyDescent="0.35">
      <c r="A598" s="198"/>
      <c r="B598" s="501"/>
      <c r="C598" s="1488"/>
      <c r="D598" s="198"/>
      <c r="E598" s="198"/>
      <c r="F598" s="198"/>
      <c r="G598" s="198"/>
      <c r="H598" s="198"/>
      <c r="I598" s="198"/>
      <c r="J598" s="198"/>
      <c r="K598" s="198"/>
      <c r="L598" s="198"/>
      <c r="M598" s="198"/>
      <c r="N598" s="198"/>
      <c r="O598" s="198"/>
      <c r="P598" s="198"/>
      <c r="Q598" s="198"/>
      <c r="R598" s="198"/>
      <c r="S598" s="198"/>
      <c r="T598" s="198"/>
      <c r="U598" s="198"/>
      <c r="V598" s="198"/>
      <c r="W598" s="198"/>
      <c r="X598" s="510"/>
      <c r="Y598" s="2330"/>
      <c r="Z598" s="2331"/>
      <c r="AA598" s="2330"/>
      <c r="AB598" s="2331"/>
      <c r="AC598" s="2330"/>
      <c r="AD598" s="2330"/>
      <c r="AE598" s="2330"/>
      <c r="AF598" s="2348"/>
      <c r="AG598" s="2330"/>
      <c r="AH598" s="2330"/>
    </row>
    <row r="599" spans="1:34" s="4" customFormat="1" x14ac:dyDescent="0.35">
      <c r="A599" s="198"/>
      <c r="B599" s="501"/>
      <c r="C599" s="1488"/>
      <c r="D599" s="198"/>
      <c r="E599" s="198"/>
      <c r="F599" s="3495" t="str">
        <f>'CEKLIST 002 (BIO DATA)'!D6</f>
        <v>I Wayan Ruspa</v>
      </c>
      <c r="G599" s="3495"/>
      <c r="H599" s="198"/>
      <c r="I599" s="198"/>
      <c r="J599" s="198"/>
      <c r="K599" s="198"/>
      <c r="L599" s="198"/>
      <c r="M599" s="198"/>
      <c r="N599" s="198"/>
      <c r="O599" s="3495" t="str">
        <f>'CEKLIST 002 (BIO DATA)'!D3</f>
        <v>Adi irawan saputra</v>
      </c>
      <c r="P599" s="3495"/>
      <c r="Q599" s="3495"/>
      <c r="R599" s="198"/>
      <c r="S599" s="3495" t="str">
        <f>'CEKLIST 002 (BIO DATA)'!D4</f>
        <v>Deni Ardian</v>
      </c>
      <c r="T599" s="3495"/>
      <c r="U599" s="3495"/>
      <c r="V599" s="3495"/>
      <c r="W599" s="3495"/>
      <c r="X599" s="510"/>
      <c r="Y599" s="2330"/>
      <c r="Z599" s="2331"/>
      <c r="AA599" s="2330"/>
      <c r="AB599" s="2331"/>
      <c r="AC599" s="2330"/>
      <c r="AD599" s="2330"/>
      <c r="AE599" s="2330"/>
      <c r="AF599" s="2348"/>
      <c r="AG599" s="2330"/>
      <c r="AH599" s="2330"/>
    </row>
    <row r="600" spans="1:34" ht="17.25" x14ac:dyDescent="0.35">
      <c r="A600" s="144"/>
      <c r="B600" s="197"/>
      <c r="C600" s="189"/>
      <c r="D600" s="144"/>
      <c r="E600" s="144"/>
      <c r="F600" s="144"/>
      <c r="G600" s="144"/>
      <c r="H600" s="144"/>
      <c r="I600" s="144"/>
      <c r="J600" s="144"/>
      <c r="K600" s="144"/>
      <c r="L600" s="144"/>
      <c r="M600" s="144"/>
      <c r="N600" s="144"/>
      <c r="O600" s="198"/>
      <c r="P600" s="198"/>
      <c r="Q600" s="198"/>
      <c r="R600" s="198"/>
      <c r="S600" s="198"/>
      <c r="T600" s="198"/>
      <c r="U600" s="198"/>
      <c r="V600" s="198"/>
      <c r="W600" s="198"/>
      <c r="X600" s="436"/>
      <c r="Y600" s="520"/>
      <c r="Z600" s="2293"/>
      <c r="AA600" s="520"/>
      <c r="AC600" s="520"/>
      <c r="AD600" s="520"/>
      <c r="AE600" s="520"/>
      <c r="AF600" s="2344"/>
      <c r="AG600" s="520"/>
      <c r="AH600" s="520"/>
    </row>
    <row r="601" spans="1:34" ht="17.25" x14ac:dyDescent="0.35">
      <c r="A601" s="144"/>
      <c r="B601" s="197"/>
      <c r="C601" s="189"/>
      <c r="D601" s="144"/>
      <c r="E601" s="144"/>
      <c r="F601" s="144"/>
      <c r="G601" s="144"/>
      <c r="H601" s="144"/>
      <c r="I601" s="144"/>
      <c r="J601" s="144"/>
      <c r="K601" s="144"/>
      <c r="L601" s="144"/>
      <c r="M601" s="144"/>
      <c r="N601" s="144"/>
      <c r="O601" s="144"/>
      <c r="P601" s="144"/>
      <c r="Q601" s="144"/>
      <c r="R601" s="144"/>
      <c r="S601" s="144"/>
      <c r="T601" s="144"/>
      <c r="U601" s="144"/>
      <c r="V601" s="144"/>
      <c r="W601" s="144"/>
      <c r="X601" s="436"/>
      <c r="Y601" s="520"/>
      <c r="Z601" s="2293"/>
      <c r="AA601" s="520"/>
      <c r="AC601" s="520"/>
      <c r="AD601" s="520"/>
      <c r="AE601" s="520"/>
      <c r="AF601" s="2344"/>
      <c r="AG601" s="520"/>
      <c r="AH601" s="520"/>
    </row>
    <row r="602" spans="1:34" ht="17.25" x14ac:dyDescent="0.35">
      <c r="A602" s="144"/>
      <c r="B602" s="201"/>
      <c r="C602" s="511"/>
      <c r="D602" s="443"/>
      <c r="E602" s="443"/>
      <c r="F602" s="443"/>
      <c r="G602" s="443"/>
      <c r="H602" s="443"/>
      <c r="I602" s="443"/>
      <c r="J602" s="443"/>
      <c r="K602" s="443"/>
      <c r="L602" s="443"/>
      <c r="M602" s="443"/>
      <c r="N602" s="443"/>
      <c r="O602" s="443"/>
      <c r="P602" s="443"/>
      <c r="Q602" s="443"/>
      <c r="R602" s="443"/>
      <c r="S602" s="443"/>
      <c r="T602" s="443"/>
      <c r="U602" s="443"/>
      <c r="V602" s="443"/>
      <c r="W602" s="443"/>
      <c r="X602" s="466"/>
      <c r="Y602" s="520"/>
      <c r="Z602" s="2293"/>
      <c r="AA602" s="520"/>
      <c r="AC602" s="520"/>
      <c r="AD602" s="520"/>
      <c r="AE602" s="520"/>
      <c r="AF602" s="2344"/>
      <c r="AG602" s="520"/>
      <c r="AH602" s="520"/>
    </row>
    <row r="603" spans="1:34" x14ac:dyDescent="0.3">
      <c r="A603" s="520"/>
      <c r="B603" s="520"/>
      <c r="C603" s="521"/>
      <c r="D603" s="61"/>
      <c r="E603" s="61"/>
      <c r="F603" s="61"/>
      <c r="G603" s="61"/>
      <c r="H603" s="61"/>
      <c r="I603" s="61"/>
      <c r="J603" s="61"/>
      <c r="K603" s="61"/>
      <c r="L603" s="61"/>
      <c r="M603" s="61"/>
      <c r="N603" s="61"/>
      <c r="O603" s="61"/>
      <c r="P603" s="61"/>
      <c r="Q603" s="520"/>
      <c r="R603" s="520"/>
      <c r="S603" s="520"/>
      <c r="T603" s="520"/>
      <c r="U603" s="520"/>
      <c r="V603" s="520"/>
      <c r="W603" s="520"/>
      <c r="X603" s="520"/>
      <c r="Y603" s="520"/>
      <c r="Z603" s="2293"/>
      <c r="AA603" s="520"/>
      <c r="AC603" s="520"/>
      <c r="AD603" s="520"/>
      <c r="AE603" s="520"/>
      <c r="AF603" s="2344"/>
      <c r="AG603" s="520"/>
      <c r="AH603" s="520"/>
    </row>
    <row r="604" spans="1:34" x14ac:dyDescent="0.3">
      <c r="A604" s="520"/>
      <c r="B604" s="520"/>
      <c r="C604" s="521"/>
      <c r="D604" s="61"/>
      <c r="E604" s="61"/>
      <c r="F604" s="61"/>
      <c r="G604" s="61"/>
      <c r="H604" s="61"/>
      <c r="I604" s="61"/>
      <c r="J604" s="61"/>
      <c r="K604" s="61"/>
      <c r="L604" s="61"/>
      <c r="M604" s="61"/>
      <c r="N604" s="61"/>
      <c r="O604" s="61"/>
      <c r="P604" s="61"/>
      <c r="Q604" s="520"/>
      <c r="R604" s="520"/>
      <c r="S604" s="520"/>
      <c r="T604" s="520"/>
      <c r="U604" s="520"/>
      <c r="V604" s="520"/>
      <c r="W604" s="520"/>
      <c r="X604" s="520"/>
      <c r="Y604" s="520"/>
      <c r="Z604" s="2293"/>
      <c r="AA604" s="520"/>
      <c r="AC604" s="520"/>
      <c r="AD604" s="520"/>
      <c r="AE604" s="520"/>
      <c r="AF604" s="2344"/>
      <c r="AG604" s="520"/>
      <c r="AH604" s="520"/>
    </row>
    <row r="605" spans="1:34" x14ac:dyDescent="0.3">
      <c r="A605" s="520"/>
      <c r="B605" s="520"/>
      <c r="C605" s="521"/>
      <c r="D605" s="61"/>
      <c r="E605" s="61"/>
      <c r="F605" s="61"/>
      <c r="G605" s="61"/>
      <c r="H605" s="61"/>
      <c r="I605" s="61"/>
      <c r="J605" s="61"/>
      <c r="K605" s="61"/>
      <c r="L605" s="61"/>
      <c r="M605" s="61"/>
      <c r="N605" s="61"/>
      <c r="O605" s="61"/>
      <c r="P605" s="61"/>
      <c r="Q605" s="520"/>
      <c r="R605" s="520"/>
      <c r="S605" s="520"/>
      <c r="T605" s="520"/>
      <c r="U605" s="520"/>
      <c r="V605" s="520"/>
      <c r="W605" s="520"/>
      <c r="X605" s="520"/>
      <c r="Y605" s="520"/>
      <c r="Z605" s="2293"/>
      <c r="AA605" s="520"/>
      <c r="AC605" s="520"/>
      <c r="AD605" s="520"/>
      <c r="AE605" s="520"/>
      <c r="AF605" s="2344"/>
      <c r="AG605" s="520"/>
      <c r="AH605" s="520"/>
    </row>
    <row r="606" spans="1:34" x14ac:dyDescent="0.3">
      <c r="A606" s="520"/>
      <c r="B606" s="520"/>
      <c r="C606" s="521"/>
      <c r="D606" s="61"/>
      <c r="E606" s="61"/>
      <c r="F606" s="61"/>
      <c r="G606" s="61"/>
      <c r="H606" s="61"/>
      <c r="I606" s="61"/>
      <c r="J606" s="61"/>
      <c r="K606" s="61"/>
      <c r="L606" s="61"/>
      <c r="M606" s="61"/>
      <c r="N606" s="61"/>
      <c r="O606" s="61"/>
      <c r="P606" s="61"/>
      <c r="Q606" s="520"/>
      <c r="R606" s="520"/>
      <c r="S606" s="520"/>
      <c r="T606" s="520"/>
      <c r="U606" s="520"/>
      <c r="V606" s="520"/>
      <c r="W606" s="520"/>
      <c r="X606" s="520"/>
      <c r="Y606" s="520"/>
      <c r="Z606" s="2293"/>
      <c r="AA606" s="520"/>
      <c r="AC606" s="520"/>
      <c r="AD606" s="520"/>
      <c r="AE606" s="520"/>
      <c r="AF606" s="2344"/>
      <c r="AG606" s="520"/>
      <c r="AH606" s="520"/>
    </row>
    <row r="607" spans="1:34" x14ac:dyDescent="0.3">
      <c r="A607" s="520"/>
      <c r="B607" s="520"/>
      <c r="C607" s="521"/>
      <c r="D607" s="61"/>
      <c r="E607" s="61"/>
      <c r="F607" s="61"/>
      <c r="G607" s="61"/>
      <c r="H607" s="61"/>
      <c r="I607" s="61"/>
      <c r="J607" s="61"/>
      <c r="K607" s="61"/>
      <c r="L607" s="61"/>
      <c r="M607" s="61"/>
      <c r="N607" s="61"/>
      <c r="O607" s="61"/>
      <c r="P607" s="61"/>
      <c r="Q607" s="520"/>
      <c r="R607" s="520"/>
      <c r="S607" s="520"/>
      <c r="T607" s="520"/>
      <c r="U607" s="520"/>
      <c r="V607" s="520"/>
      <c r="W607" s="520"/>
      <c r="X607" s="520"/>
      <c r="Y607" s="520"/>
      <c r="Z607" s="2293"/>
      <c r="AA607" s="520"/>
      <c r="AC607" s="520"/>
      <c r="AD607" s="520"/>
      <c r="AE607" s="520"/>
      <c r="AF607" s="2344"/>
      <c r="AG607" s="520"/>
      <c r="AH607" s="520"/>
    </row>
    <row r="608" spans="1:34" x14ac:dyDescent="0.3">
      <c r="A608" s="520"/>
      <c r="B608" s="520"/>
      <c r="C608" s="521"/>
      <c r="D608" s="61"/>
      <c r="E608" s="61"/>
      <c r="F608" s="61"/>
      <c r="G608" s="61"/>
      <c r="H608" s="61"/>
      <c r="I608" s="61"/>
      <c r="J608" s="61"/>
      <c r="K608" s="61"/>
      <c r="L608" s="61"/>
      <c r="M608" s="61"/>
      <c r="N608" s="61"/>
      <c r="O608" s="61"/>
      <c r="P608" s="61"/>
      <c r="Q608" s="520"/>
      <c r="R608" s="520"/>
      <c r="S608" s="520"/>
      <c r="T608" s="520"/>
      <c r="U608" s="520"/>
      <c r="V608" s="520"/>
      <c r="W608" s="520"/>
      <c r="X608" s="520"/>
      <c r="Y608" s="520"/>
      <c r="Z608" s="2293"/>
      <c r="AA608" s="520"/>
      <c r="AC608" s="520"/>
      <c r="AD608" s="520"/>
      <c r="AE608" s="520"/>
      <c r="AF608" s="2344"/>
      <c r="AG608" s="520"/>
      <c r="AH608" s="520"/>
    </row>
    <row r="609" spans="1:34" x14ac:dyDescent="0.3">
      <c r="A609" s="520"/>
      <c r="B609" s="520"/>
      <c r="C609" s="521"/>
      <c r="D609" s="61"/>
      <c r="E609" s="61"/>
      <c r="F609" s="61"/>
      <c r="G609" s="61"/>
      <c r="H609" s="61"/>
      <c r="I609" s="61"/>
      <c r="J609" s="61"/>
      <c r="K609" s="61"/>
      <c r="L609" s="61"/>
      <c r="M609" s="61"/>
      <c r="N609" s="61"/>
      <c r="O609" s="61"/>
      <c r="P609" s="61"/>
      <c r="Q609" s="520"/>
      <c r="R609" s="520"/>
      <c r="S609" s="520"/>
      <c r="T609" s="520"/>
      <c r="U609" s="520"/>
      <c r="V609" s="520"/>
      <c r="W609" s="520"/>
      <c r="X609" s="520"/>
      <c r="Y609" s="520"/>
      <c r="Z609" s="2293"/>
      <c r="AA609" s="520"/>
      <c r="AC609" s="520"/>
      <c r="AD609" s="520"/>
      <c r="AE609" s="520"/>
      <c r="AF609" s="2344"/>
      <c r="AG609" s="520"/>
      <c r="AH609" s="520"/>
    </row>
    <row r="610" spans="1:34" x14ac:dyDescent="0.3">
      <c r="A610" s="520"/>
      <c r="B610" s="520"/>
      <c r="C610" s="521"/>
      <c r="D610" s="61"/>
      <c r="E610" s="61"/>
      <c r="F610" s="61"/>
      <c r="G610" s="61"/>
      <c r="H610" s="61"/>
      <c r="I610" s="61"/>
      <c r="J610" s="61"/>
      <c r="K610" s="61"/>
      <c r="L610" s="61"/>
      <c r="M610" s="61"/>
      <c r="N610" s="61"/>
      <c r="O610" s="61"/>
      <c r="P610" s="61"/>
      <c r="Q610" s="520"/>
      <c r="R610" s="520"/>
      <c r="S610" s="520"/>
      <c r="T610" s="520"/>
      <c r="U610" s="520"/>
      <c r="V610" s="520"/>
      <c r="W610" s="520"/>
      <c r="X610" s="520"/>
      <c r="Y610" s="520"/>
      <c r="Z610" s="2293"/>
      <c r="AA610" s="520"/>
      <c r="AC610" s="520"/>
      <c r="AD610" s="520"/>
      <c r="AE610" s="520"/>
      <c r="AF610" s="2344"/>
      <c r="AG610" s="520"/>
      <c r="AH610" s="520"/>
    </row>
    <row r="611" spans="1:34" x14ac:dyDescent="0.3">
      <c r="A611" s="520"/>
      <c r="B611" s="520"/>
      <c r="C611" s="521"/>
      <c r="D611" s="61"/>
      <c r="E611" s="61"/>
      <c r="F611" s="61"/>
      <c r="G611" s="61"/>
      <c r="H611" s="61"/>
      <c r="I611" s="61"/>
      <c r="J611" s="61"/>
      <c r="K611" s="61"/>
      <c r="L611" s="61"/>
      <c r="M611" s="61"/>
      <c r="N611" s="61"/>
      <c r="O611" s="61"/>
      <c r="P611" s="61"/>
      <c r="Q611" s="520"/>
      <c r="R611" s="520"/>
      <c r="S611" s="520"/>
      <c r="T611" s="520"/>
      <c r="U611" s="520"/>
      <c r="V611" s="520"/>
      <c r="W611" s="520"/>
      <c r="X611" s="520"/>
      <c r="Y611" s="520"/>
      <c r="Z611" s="2293"/>
      <c r="AA611" s="520"/>
      <c r="AC611" s="520"/>
      <c r="AD611" s="520"/>
      <c r="AE611" s="520"/>
      <c r="AF611" s="2344"/>
      <c r="AG611" s="520"/>
      <c r="AH611" s="520"/>
    </row>
    <row r="612" spans="1:34" x14ac:dyDescent="0.3">
      <c r="A612" s="520"/>
      <c r="B612" s="520"/>
      <c r="C612" s="521"/>
      <c r="D612" s="61"/>
      <c r="E612" s="61"/>
      <c r="F612" s="61"/>
      <c r="G612" s="61"/>
      <c r="H612" s="61"/>
      <c r="I612" s="61"/>
      <c r="J612" s="61"/>
      <c r="K612" s="61"/>
      <c r="L612" s="61"/>
      <c r="M612" s="61"/>
      <c r="N612" s="61"/>
      <c r="O612" s="61"/>
      <c r="P612" s="61"/>
      <c r="Q612" s="520"/>
      <c r="R612" s="520"/>
      <c r="S612" s="520"/>
      <c r="T612" s="520"/>
      <c r="U612" s="520"/>
      <c r="V612" s="520"/>
      <c r="W612" s="520"/>
      <c r="X612" s="520"/>
      <c r="Y612" s="520"/>
      <c r="Z612" s="2293"/>
      <c r="AA612" s="520"/>
      <c r="AC612" s="520"/>
      <c r="AD612" s="520"/>
      <c r="AE612" s="520"/>
      <c r="AF612" s="2344"/>
      <c r="AG612" s="520"/>
      <c r="AH612" s="520"/>
    </row>
    <row r="613" spans="1:34" x14ac:dyDescent="0.3">
      <c r="A613" s="520"/>
      <c r="B613" s="520"/>
      <c r="C613" s="521"/>
      <c r="D613" s="61"/>
      <c r="E613" s="61"/>
      <c r="F613" s="61"/>
      <c r="G613" s="61"/>
      <c r="H613" s="61"/>
      <c r="I613" s="61"/>
      <c r="J613" s="61"/>
      <c r="K613" s="61"/>
      <c r="L613" s="61"/>
      <c r="M613" s="61"/>
      <c r="N613" s="61"/>
      <c r="O613" s="61"/>
      <c r="P613" s="61"/>
      <c r="Q613" s="520"/>
      <c r="R613" s="520"/>
      <c r="S613" s="520"/>
      <c r="T613" s="520"/>
      <c r="U613" s="520"/>
      <c r="V613" s="520"/>
      <c r="W613" s="520"/>
      <c r="X613" s="520"/>
      <c r="Y613" s="520"/>
      <c r="Z613" s="2293"/>
      <c r="AA613" s="520"/>
      <c r="AC613" s="520"/>
      <c r="AD613" s="520"/>
      <c r="AE613" s="520"/>
      <c r="AF613" s="2344"/>
      <c r="AG613" s="520"/>
      <c r="AH613" s="520"/>
    </row>
    <row r="614" spans="1:34" x14ac:dyDescent="0.3">
      <c r="A614" s="520"/>
      <c r="B614" s="520"/>
      <c r="C614" s="521"/>
      <c r="D614" s="61"/>
      <c r="E614" s="61"/>
      <c r="F614" s="61"/>
      <c r="G614" s="61"/>
      <c r="H614" s="61"/>
      <c r="I614" s="61"/>
      <c r="J614" s="61"/>
      <c r="K614" s="61"/>
      <c r="L614" s="61"/>
      <c r="M614" s="61"/>
      <c r="N614" s="61"/>
      <c r="O614" s="61"/>
      <c r="P614" s="61"/>
      <c r="Q614" s="520"/>
      <c r="R614" s="520"/>
      <c r="S614" s="520"/>
      <c r="T614" s="520"/>
      <c r="U614" s="520"/>
      <c r="V614" s="520"/>
      <c r="W614" s="520"/>
      <c r="X614" s="520"/>
      <c r="Y614" s="520"/>
      <c r="Z614" s="2293"/>
      <c r="AA614" s="520"/>
      <c r="AC614" s="520"/>
      <c r="AD614" s="520"/>
      <c r="AE614" s="520"/>
      <c r="AF614" s="2344"/>
      <c r="AG614" s="520"/>
      <c r="AH614" s="520"/>
    </row>
    <row r="615" spans="1:34" x14ac:dyDescent="0.3">
      <c r="A615" s="520"/>
      <c r="B615" s="520"/>
      <c r="C615" s="521"/>
      <c r="D615" s="61"/>
      <c r="E615" s="61"/>
      <c r="F615" s="61"/>
      <c r="G615" s="61"/>
      <c r="H615" s="61"/>
      <c r="I615" s="61"/>
      <c r="J615" s="61"/>
      <c r="K615" s="61"/>
      <c r="L615" s="61"/>
      <c r="M615" s="61"/>
      <c r="N615" s="61"/>
      <c r="O615" s="61"/>
      <c r="P615" s="61"/>
      <c r="Q615" s="520"/>
      <c r="R615" s="520"/>
      <c r="S615" s="520"/>
      <c r="T615" s="520"/>
      <c r="U615" s="520"/>
      <c r="V615" s="520"/>
      <c r="W615" s="520"/>
      <c r="X615" s="520"/>
      <c r="Y615" s="520"/>
      <c r="Z615" s="2293"/>
      <c r="AA615" s="520"/>
      <c r="AC615" s="520"/>
      <c r="AD615" s="520"/>
      <c r="AE615" s="520"/>
      <c r="AF615" s="2344"/>
      <c r="AG615" s="520"/>
      <c r="AH615" s="520"/>
    </row>
    <row r="616" spans="1:34" x14ac:dyDescent="0.3">
      <c r="F616" s="3"/>
      <c r="G616" s="3"/>
      <c r="H616" s="3"/>
      <c r="I616" s="3"/>
      <c r="J616" s="3"/>
      <c r="K616" s="3"/>
      <c r="L616" s="3"/>
      <c r="M616" s="3"/>
      <c r="N616" s="3"/>
      <c r="O616" s="3"/>
      <c r="P616" s="3"/>
    </row>
    <row r="617" spans="1:34" x14ac:dyDescent="0.3">
      <c r="F617" s="3"/>
      <c r="G617" s="3"/>
      <c r="H617" s="3"/>
      <c r="I617" s="3"/>
      <c r="J617" s="3"/>
      <c r="K617" s="3"/>
      <c r="L617" s="3"/>
      <c r="M617" s="3"/>
      <c r="N617" s="3"/>
      <c r="O617" s="3"/>
      <c r="P617" s="3"/>
    </row>
    <row r="618" spans="1:34" x14ac:dyDescent="0.3">
      <c r="F618" s="3"/>
      <c r="G618" s="3"/>
      <c r="H618" s="3"/>
      <c r="I618" s="3"/>
      <c r="J618" s="3"/>
      <c r="K618" s="3"/>
      <c r="L618" s="3"/>
      <c r="M618" s="3"/>
      <c r="N618" s="3"/>
      <c r="O618" s="3"/>
      <c r="P618" s="3"/>
    </row>
    <row r="619" spans="1:34" x14ac:dyDescent="0.3">
      <c r="F619" s="3"/>
      <c r="G619" s="3"/>
      <c r="H619" s="3"/>
      <c r="I619" s="3"/>
      <c r="J619" s="3"/>
      <c r="K619" s="3"/>
      <c r="L619" s="3"/>
      <c r="M619" s="3"/>
      <c r="N619" s="3"/>
      <c r="O619" s="3"/>
      <c r="P619" s="3"/>
    </row>
  </sheetData>
  <mergeCells count="1147">
    <mergeCell ref="G7:I8"/>
    <mergeCell ref="J5:L6"/>
    <mergeCell ref="J7:L8"/>
    <mergeCell ref="F18:K18"/>
    <mergeCell ref="F19:K19"/>
    <mergeCell ref="F16:K16"/>
    <mergeCell ref="F17:K17"/>
    <mergeCell ref="F14:K14"/>
    <mergeCell ref="F15:K15"/>
    <mergeCell ref="A8:F8"/>
    <mergeCell ref="B14:E14"/>
    <mergeCell ref="B15:E15"/>
    <mergeCell ref="P534:S534"/>
    <mergeCell ref="P531:S531"/>
    <mergeCell ref="P529:S530"/>
    <mergeCell ref="P490:S490"/>
    <mergeCell ref="P488:S489"/>
    <mergeCell ref="B169:Q169"/>
    <mergeCell ref="K170:L170"/>
    <mergeCell ref="I270:O270"/>
    <mergeCell ref="B152:E152"/>
    <mergeCell ref="B154:E154"/>
    <mergeCell ref="B100:E100"/>
    <mergeCell ref="B101:E101"/>
    <mergeCell ref="B81:E81"/>
    <mergeCell ref="B57:N57"/>
    <mergeCell ref="I50:J50"/>
    <mergeCell ref="B74:E75"/>
    <mergeCell ref="B62:I62"/>
    <mergeCell ref="B61:I61"/>
    <mergeCell ref="N22:O23"/>
    <mergeCell ref="B12:E12"/>
    <mergeCell ref="B13:E13"/>
    <mergeCell ref="AF575:AF577"/>
    <mergeCell ref="P571:S572"/>
    <mergeCell ref="P573:S573"/>
    <mergeCell ref="P496:S497"/>
    <mergeCell ref="P498:S498"/>
    <mergeCell ref="P501:S501"/>
    <mergeCell ref="U547:U552"/>
    <mergeCell ref="X535:X540"/>
    <mergeCell ref="I269:O269"/>
    <mergeCell ref="I264:O264"/>
    <mergeCell ref="P264:S269"/>
    <mergeCell ref="D467:D472"/>
    <mergeCell ref="E473:H478"/>
    <mergeCell ref="E467:H472"/>
    <mergeCell ref="E486:H487"/>
    <mergeCell ref="E485:H485"/>
    <mergeCell ref="P479:S480"/>
    <mergeCell ref="B22:B23"/>
    <mergeCell ref="C22:F23"/>
    <mergeCell ref="G33:J33"/>
    <mergeCell ref="J56:K56"/>
    <mergeCell ref="B63:I63"/>
    <mergeCell ref="B56:F56"/>
    <mergeCell ref="I51:J51"/>
    <mergeCell ref="K47:L47"/>
    <mergeCell ref="K48:L48"/>
    <mergeCell ref="K49:L49"/>
    <mergeCell ref="B82:E82"/>
    <mergeCell ref="B99:E99"/>
    <mergeCell ref="B105:E105"/>
    <mergeCell ref="B113:E113"/>
    <mergeCell ref="B114:E114"/>
    <mergeCell ref="B115:E115"/>
    <mergeCell ref="B108:E108"/>
    <mergeCell ref="B109:E109"/>
    <mergeCell ref="F99:H99"/>
    <mergeCell ref="F91:H91"/>
    <mergeCell ref="F87:H87"/>
    <mergeCell ref="B104:E104"/>
    <mergeCell ref="B112:E112"/>
    <mergeCell ref="P288:S293"/>
    <mergeCell ref="P294:S299"/>
    <mergeCell ref="I303:O303"/>
    <mergeCell ref="D288:D293"/>
    <mergeCell ref="E294:H299"/>
    <mergeCell ref="I302:O302"/>
    <mergeCell ref="I274:O274"/>
    <mergeCell ref="D258:D263"/>
    <mergeCell ref="I273:O273"/>
    <mergeCell ref="I265:O265"/>
    <mergeCell ref="I266:O266"/>
    <mergeCell ref="I267:O267"/>
    <mergeCell ref="I268:O268"/>
    <mergeCell ref="D511:D516"/>
    <mergeCell ref="C508:R508"/>
    <mergeCell ref="I397:O397"/>
    <mergeCell ref="J225:K225"/>
    <mergeCell ref="D320:R320"/>
    <mergeCell ref="I226:I228"/>
    <mergeCell ref="I396:O396"/>
    <mergeCell ref="P459:S460"/>
    <mergeCell ref="D340:D345"/>
    <mergeCell ref="D328:D333"/>
    <mergeCell ref="D270:D275"/>
    <mergeCell ref="D264:D269"/>
    <mergeCell ref="P334:S335"/>
    <mergeCell ref="D294:D299"/>
    <mergeCell ref="I473:O478"/>
    <mergeCell ref="D252:D257"/>
    <mergeCell ref="C231:I233"/>
    <mergeCell ref="J231:K232"/>
    <mergeCell ref="J233:K233"/>
    <mergeCell ref="P481:S481"/>
    <mergeCell ref="P485:S485"/>
    <mergeCell ref="D459:D460"/>
    <mergeCell ref="P502:S503"/>
    <mergeCell ref="P511:S516"/>
    <mergeCell ref="P510:R510"/>
    <mergeCell ref="E453:H453"/>
    <mergeCell ref="E452:H452"/>
    <mergeCell ref="I459:O460"/>
    <mergeCell ref="E459:H460"/>
    <mergeCell ref="I452:O452"/>
    <mergeCell ref="P451:S451"/>
    <mergeCell ref="P366:S366"/>
    <mergeCell ref="T190:T191"/>
    <mergeCell ref="B143:E143"/>
    <mergeCell ref="G167:G168"/>
    <mergeCell ref="D189:F189"/>
    <mergeCell ref="D191:F191"/>
    <mergeCell ref="H191:L191"/>
    <mergeCell ref="K177:L177"/>
    <mergeCell ref="T194:T195"/>
    <mergeCell ref="Q196:S197"/>
    <mergeCell ref="W188:W189"/>
    <mergeCell ref="W264:W269"/>
    <mergeCell ref="W258:W263"/>
    <mergeCell ref="X258:X263"/>
    <mergeCell ref="V264:V269"/>
    <mergeCell ref="U264:U269"/>
    <mergeCell ref="C215:H215"/>
    <mergeCell ref="J215:K215"/>
    <mergeCell ref="C216:C217"/>
    <mergeCell ref="I216:I219"/>
    <mergeCell ref="L220:L221"/>
    <mergeCell ref="N220:N221"/>
    <mergeCell ref="D218:F218"/>
    <mergeCell ref="D193:F193"/>
    <mergeCell ref="M193:S193"/>
    <mergeCell ref="AB188:AB189"/>
    <mergeCell ref="AB190:AB191"/>
    <mergeCell ref="T188:T189"/>
    <mergeCell ref="X188:X189"/>
    <mergeCell ref="U190:U191"/>
    <mergeCell ref="X252:X257"/>
    <mergeCell ref="T252:T257"/>
    <mergeCell ref="U252:U257"/>
    <mergeCell ref="V252:V257"/>
    <mergeCell ref="W252:W257"/>
    <mergeCell ref="T238:X238"/>
    <mergeCell ref="D188:L188"/>
    <mergeCell ref="H189:L189"/>
    <mergeCell ref="C203:C204"/>
    <mergeCell ref="C213:C214"/>
    <mergeCell ref="B155:E155"/>
    <mergeCell ref="B156:E156"/>
    <mergeCell ref="C179:E179"/>
    <mergeCell ref="K179:L179"/>
    <mergeCell ref="C205:H205"/>
    <mergeCell ref="C218:C219"/>
    <mergeCell ref="K175:L175"/>
    <mergeCell ref="B167:E168"/>
    <mergeCell ref="I167:J168"/>
    <mergeCell ref="I170:J170"/>
    <mergeCell ref="F167:F168"/>
    <mergeCell ref="J220:K220"/>
    <mergeCell ref="T197:X197"/>
    <mergeCell ref="U188:U189"/>
    <mergeCell ref="T198:U198"/>
    <mergeCell ref="U194:U195"/>
    <mergeCell ref="V188:V189"/>
    <mergeCell ref="H167:H168"/>
    <mergeCell ref="B158:E158"/>
    <mergeCell ref="C170:E170"/>
    <mergeCell ref="C171:E171"/>
    <mergeCell ref="T186:X186"/>
    <mergeCell ref="K172:L172"/>
    <mergeCell ref="I174:J174"/>
    <mergeCell ref="I179:J179"/>
    <mergeCell ref="C196:P198"/>
    <mergeCell ref="C192:C193"/>
    <mergeCell ref="C202:L202"/>
    <mergeCell ref="O220:O221"/>
    <mergeCell ref="I178:J178"/>
    <mergeCell ref="C178:E178"/>
    <mergeCell ref="X352:X357"/>
    <mergeCell ref="X346:X351"/>
    <mergeCell ref="T352:T357"/>
    <mergeCell ref="U352:U357"/>
    <mergeCell ref="V352:V357"/>
    <mergeCell ref="T346:T351"/>
    <mergeCell ref="W346:W351"/>
    <mergeCell ref="T310:T315"/>
    <mergeCell ref="P300:S305"/>
    <mergeCell ref="P306:S306"/>
    <mergeCell ref="W288:W293"/>
    <mergeCell ref="T322:T327"/>
    <mergeCell ref="T300:T305"/>
    <mergeCell ref="U300:U305"/>
    <mergeCell ref="I311:O311"/>
    <mergeCell ref="V300:V305"/>
    <mergeCell ref="X264:X269"/>
    <mergeCell ref="T258:T263"/>
    <mergeCell ref="D529:O531"/>
    <mergeCell ref="I515:O515"/>
    <mergeCell ref="P493:S493"/>
    <mergeCell ref="P473:S478"/>
    <mergeCell ref="I469:O469"/>
    <mergeCell ref="I471:O471"/>
    <mergeCell ref="I468:O468"/>
    <mergeCell ref="D461:D466"/>
    <mergeCell ref="I521:O521"/>
    <mergeCell ref="I514:O514"/>
    <mergeCell ref="D500:G500"/>
    <mergeCell ref="D492:H492"/>
    <mergeCell ref="P484:Q484"/>
    <mergeCell ref="I486:O487"/>
    <mergeCell ref="I485:O485"/>
    <mergeCell ref="D486:D487"/>
    <mergeCell ref="E502:H503"/>
    <mergeCell ref="D496:O498"/>
    <mergeCell ref="D509:H509"/>
    <mergeCell ref="I493:O493"/>
    <mergeCell ref="E493:H493"/>
    <mergeCell ref="P486:S487"/>
    <mergeCell ref="P483:Q483"/>
    <mergeCell ref="I470:O470"/>
    <mergeCell ref="D473:D478"/>
    <mergeCell ref="I466:O466"/>
    <mergeCell ref="I461:O461"/>
    <mergeCell ref="E511:H516"/>
    <mergeCell ref="I494:O495"/>
    <mergeCell ref="I502:O503"/>
    <mergeCell ref="I463:O463"/>
    <mergeCell ref="I462:O462"/>
    <mergeCell ref="A1:X1"/>
    <mergeCell ref="A2:X2"/>
    <mergeCell ref="A4:F4"/>
    <mergeCell ref="A5:F5"/>
    <mergeCell ref="A7:F7"/>
    <mergeCell ref="I358:O363"/>
    <mergeCell ref="I352:O357"/>
    <mergeCell ref="D322:D327"/>
    <mergeCell ref="I321:O321"/>
    <mergeCell ref="A6:F6"/>
    <mergeCell ref="M4:O4"/>
    <mergeCell ref="M5:O5"/>
    <mergeCell ref="M7:O7"/>
    <mergeCell ref="G4:I4"/>
    <mergeCell ref="J4:L4"/>
    <mergeCell ref="P29:S29"/>
    <mergeCell ref="N29:O29"/>
    <mergeCell ref="G26:J26"/>
    <mergeCell ref="G27:J27"/>
    <mergeCell ref="G5:I6"/>
    <mergeCell ref="W322:W327"/>
    <mergeCell ref="V336:X336"/>
    <mergeCell ref="V328:V333"/>
    <mergeCell ref="P336:S336"/>
    <mergeCell ref="T328:T333"/>
    <mergeCell ref="T284:U284"/>
    <mergeCell ref="V284:X284"/>
    <mergeCell ref="D307:D309"/>
    <mergeCell ref="D310:D315"/>
    <mergeCell ref="I307:O309"/>
    <mergeCell ref="I288:O293"/>
    <mergeCell ref="V270:V275"/>
    <mergeCell ref="B582:X588"/>
    <mergeCell ref="B575:L575"/>
    <mergeCell ref="B576:L576"/>
    <mergeCell ref="W565:W570"/>
    <mergeCell ref="T575:X575"/>
    <mergeCell ref="T576:X576"/>
    <mergeCell ref="T565:T570"/>
    <mergeCell ref="U565:U570"/>
    <mergeCell ref="P378:S378"/>
    <mergeCell ref="P379:S379"/>
    <mergeCell ref="M225:M226"/>
    <mergeCell ref="N225:N226"/>
    <mergeCell ref="B580:X580"/>
    <mergeCell ref="T577:X577"/>
    <mergeCell ref="B578:X578"/>
    <mergeCell ref="X565:X570"/>
    <mergeCell ref="D571:O573"/>
    <mergeCell ref="V565:V570"/>
    <mergeCell ref="E494:H495"/>
    <mergeCell ref="E510:H510"/>
    <mergeCell ref="D502:D503"/>
    <mergeCell ref="D479:O481"/>
    <mergeCell ref="D488:O490"/>
    <mergeCell ref="D517:D522"/>
    <mergeCell ref="P467:S472"/>
    <mergeCell ref="D484:H484"/>
    <mergeCell ref="T489:X489"/>
    <mergeCell ref="P492:Q492"/>
    <mergeCell ref="I306:O306"/>
    <mergeCell ref="I541:O546"/>
    <mergeCell ref="T572:X572"/>
    <mergeCell ref="T573:U573"/>
    <mergeCell ref="C29:F29"/>
    <mergeCell ref="C30:F30"/>
    <mergeCell ref="C31:F31"/>
    <mergeCell ref="C32:F32"/>
    <mergeCell ref="P36:S36"/>
    <mergeCell ref="T66:X66"/>
    <mergeCell ref="R59:S60"/>
    <mergeCell ref="I47:J47"/>
    <mergeCell ref="I48:J48"/>
    <mergeCell ref="B51:H51"/>
    <mergeCell ref="K50:L50"/>
    <mergeCell ref="K51:L51"/>
    <mergeCell ref="J61:K61"/>
    <mergeCell ref="J62:K62"/>
    <mergeCell ref="V54:X54"/>
    <mergeCell ref="T53:X53"/>
    <mergeCell ref="J60:K60"/>
    <mergeCell ref="O59:Q60"/>
    <mergeCell ref="R54:S54"/>
    <mergeCell ref="T39:X39"/>
    <mergeCell ref="T40:U40"/>
    <mergeCell ref="V40:X40"/>
    <mergeCell ref="T46:X46"/>
    <mergeCell ref="M46:N47"/>
    <mergeCell ref="R62:S62"/>
    <mergeCell ref="R63:S63"/>
    <mergeCell ref="N30:O30"/>
    <mergeCell ref="N31:O31"/>
    <mergeCell ref="N32:O32"/>
    <mergeCell ref="P30:S30"/>
    <mergeCell ref="K32:M32"/>
    <mergeCell ref="K33:M33"/>
    <mergeCell ref="B18:E18"/>
    <mergeCell ref="T22:X22"/>
    <mergeCell ref="T67:U67"/>
    <mergeCell ref="N64:X64"/>
    <mergeCell ref="C33:F33"/>
    <mergeCell ref="B50:E50"/>
    <mergeCell ref="C26:F26"/>
    <mergeCell ref="C27:F27"/>
    <mergeCell ref="C28:F28"/>
    <mergeCell ref="G24:J24"/>
    <mergeCell ref="G25:J25"/>
    <mergeCell ref="C24:F24"/>
    <mergeCell ref="C25:F25"/>
    <mergeCell ref="B19:E19"/>
    <mergeCell ref="G28:J28"/>
    <mergeCell ref="B76:E76"/>
    <mergeCell ref="B87:E87"/>
    <mergeCell ref="G31:J31"/>
    <mergeCell ref="G32:J32"/>
    <mergeCell ref="G29:J29"/>
    <mergeCell ref="G30:J30"/>
    <mergeCell ref="A71:G71"/>
    <mergeCell ref="I74:I75"/>
    <mergeCell ref="F76:I76"/>
    <mergeCell ref="B79:E79"/>
    <mergeCell ref="B80:E80"/>
    <mergeCell ref="N76:N123"/>
    <mergeCell ref="M51:X51"/>
    <mergeCell ref="M48:N50"/>
    <mergeCell ref="F49:H49"/>
    <mergeCell ref="T54:U54"/>
    <mergeCell ref="M59:N60"/>
    <mergeCell ref="V573:X573"/>
    <mergeCell ref="I565:O570"/>
    <mergeCell ref="P559:S564"/>
    <mergeCell ref="P565:S570"/>
    <mergeCell ref="B10:D10"/>
    <mergeCell ref="B21:J21"/>
    <mergeCell ref="K22:M23"/>
    <mergeCell ref="K24:M24"/>
    <mergeCell ref="K25:M25"/>
    <mergeCell ref="P22:S23"/>
    <mergeCell ref="P24:S24"/>
    <mergeCell ref="F12:K12"/>
    <mergeCell ref="F13:K13"/>
    <mergeCell ref="G22:J23"/>
    <mergeCell ref="B16:E16"/>
    <mergeCell ref="B17:E17"/>
    <mergeCell ref="G56:H56"/>
    <mergeCell ref="J63:K63"/>
    <mergeCell ref="J64:K64"/>
    <mergeCell ref="B11:I11"/>
    <mergeCell ref="B72:F72"/>
    <mergeCell ref="B48:E48"/>
    <mergeCell ref="I537:O537"/>
    <mergeCell ref="I501:O501"/>
    <mergeCell ref="I464:O464"/>
    <mergeCell ref="I555:O555"/>
    <mergeCell ref="I522:O522"/>
    <mergeCell ref="D454:O456"/>
    <mergeCell ref="I465:O465"/>
    <mergeCell ref="D565:D570"/>
    <mergeCell ref="E565:H570"/>
    <mergeCell ref="E559:H564"/>
    <mergeCell ref="I556:O556"/>
    <mergeCell ref="I557:O557"/>
    <mergeCell ref="D553:D558"/>
    <mergeCell ref="E553:H558"/>
    <mergeCell ref="I553:O553"/>
    <mergeCell ref="V288:V293"/>
    <mergeCell ref="U375:U377"/>
    <mergeCell ref="T366:U366"/>
    <mergeCell ref="U307:U309"/>
    <mergeCell ref="V307:V309"/>
    <mergeCell ref="T307:T309"/>
    <mergeCell ref="U346:U351"/>
    <mergeCell ref="V346:V351"/>
    <mergeCell ref="V535:V540"/>
    <mergeCell ref="U358:U363"/>
    <mergeCell ref="P541:S546"/>
    <mergeCell ref="I538:O538"/>
    <mergeCell ref="I539:O539"/>
    <mergeCell ref="P535:S540"/>
    <mergeCell ref="T535:T540"/>
    <mergeCell ref="I421:O427"/>
    <mergeCell ref="I523:O528"/>
    <mergeCell ref="I510:O510"/>
    <mergeCell ref="I534:O534"/>
    <mergeCell ref="D380:O382"/>
    <mergeCell ref="P382:S382"/>
    <mergeCell ref="I378:O378"/>
    <mergeCell ref="D352:D357"/>
    <mergeCell ref="I400:O406"/>
    <mergeCell ref="T541:T546"/>
    <mergeCell ref="D547:D552"/>
    <mergeCell ref="T547:T552"/>
    <mergeCell ref="D559:D564"/>
    <mergeCell ref="X559:X564"/>
    <mergeCell ref="U553:U558"/>
    <mergeCell ref="V553:V558"/>
    <mergeCell ref="I559:O564"/>
    <mergeCell ref="W553:W558"/>
    <mergeCell ref="W547:W552"/>
    <mergeCell ref="P547:S552"/>
    <mergeCell ref="I554:O554"/>
    <mergeCell ref="T553:T558"/>
    <mergeCell ref="I547:O552"/>
    <mergeCell ref="P553:S558"/>
    <mergeCell ref="X517:X522"/>
    <mergeCell ref="W559:W564"/>
    <mergeCell ref="T559:T564"/>
    <mergeCell ref="U559:U564"/>
    <mergeCell ref="V559:V564"/>
    <mergeCell ref="E523:H528"/>
    <mergeCell ref="E517:H522"/>
    <mergeCell ref="I536:O536"/>
    <mergeCell ref="X553:X558"/>
    <mergeCell ref="V547:V552"/>
    <mergeCell ref="P517:S522"/>
    <mergeCell ref="P523:S528"/>
    <mergeCell ref="I518:O518"/>
    <mergeCell ref="I558:O558"/>
    <mergeCell ref="D533:R533"/>
    <mergeCell ref="V541:V546"/>
    <mergeCell ref="X523:X528"/>
    <mergeCell ref="X547:X552"/>
    <mergeCell ref="D523:D528"/>
    <mergeCell ref="U535:U540"/>
    <mergeCell ref="E547:H552"/>
    <mergeCell ref="E541:H546"/>
    <mergeCell ref="D494:D495"/>
    <mergeCell ref="X494:X495"/>
    <mergeCell ref="V523:V528"/>
    <mergeCell ref="T517:T522"/>
    <mergeCell ref="I511:O511"/>
    <mergeCell ref="I512:O512"/>
    <mergeCell ref="D504:O506"/>
    <mergeCell ref="E501:H501"/>
    <mergeCell ref="W511:W516"/>
    <mergeCell ref="V511:V516"/>
    <mergeCell ref="P504:S505"/>
    <mergeCell ref="T511:T516"/>
    <mergeCell ref="T523:T528"/>
    <mergeCell ref="I516:O516"/>
    <mergeCell ref="T509:X509"/>
    <mergeCell ref="T505:X505"/>
    <mergeCell ref="U523:U528"/>
    <mergeCell ref="W517:W522"/>
    <mergeCell ref="I513:O513"/>
    <mergeCell ref="P506:S506"/>
    <mergeCell ref="I519:O519"/>
    <mergeCell ref="W523:W528"/>
    <mergeCell ref="I535:O535"/>
    <mergeCell ref="I540:O540"/>
    <mergeCell ref="I520:O520"/>
    <mergeCell ref="E535:H540"/>
    <mergeCell ref="E534:H534"/>
    <mergeCell ref="D535:D540"/>
    <mergeCell ref="D541:D546"/>
    <mergeCell ref="U541:U546"/>
    <mergeCell ref="W541:W546"/>
    <mergeCell ref="T533:X533"/>
    <mergeCell ref="X541:X546"/>
    <mergeCell ref="W535:W540"/>
    <mergeCell ref="P494:S495"/>
    <mergeCell ref="T497:X497"/>
    <mergeCell ref="W437:W443"/>
    <mergeCell ref="U437:U443"/>
    <mergeCell ref="U322:U327"/>
    <mergeCell ref="U502:U503"/>
    <mergeCell ref="T506:U506"/>
    <mergeCell ref="V506:X506"/>
    <mergeCell ref="T502:T503"/>
    <mergeCell ref="T500:X500"/>
    <mergeCell ref="T494:T495"/>
    <mergeCell ref="V498:X498"/>
    <mergeCell ref="T498:U498"/>
    <mergeCell ref="V502:V503"/>
    <mergeCell ref="W502:W503"/>
    <mergeCell ref="X502:X503"/>
    <mergeCell ref="T490:U490"/>
    <mergeCell ref="U494:U495"/>
    <mergeCell ref="V494:V495"/>
    <mergeCell ref="W486:W487"/>
    <mergeCell ref="T486:T487"/>
    <mergeCell ref="X461:X466"/>
    <mergeCell ref="W461:W466"/>
    <mergeCell ref="U461:U466"/>
    <mergeCell ref="P453:S453"/>
    <mergeCell ref="P461:S466"/>
    <mergeCell ref="T459:X459"/>
    <mergeCell ref="V400:V406"/>
    <mergeCell ref="V318:X318"/>
    <mergeCell ref="P316:S317"/>
    <mergeCell ref="P318:S318"/>
    <mergeCell ref="P322:S327"/>
    <mergeCell ref="P321:S321"/>
    <mergeCell ref="T320:X320"/>
    <mergeCell ref="X322:X327"/>
    <mergeCell ref="V322:V327"/>
    <mergeCell ref="T444:T450"/>
    <mergeCell ref="U444:U450"/>
    <mergeCell ref="X437:X443"/>
    <mergeCell ref="V340:V345"/>
    <mergeCell ref="W352:W357"/>
    <mergeCell ref="T317:X317"/>
    <mergeCell ref="I444:O450"/>
    <mergeCell ref="P437:S443"/>
    <mergeCell ref="I437:O443"/>
    <mergeCell ref="P444:S450"/>
    <mergeCell ref="U328:U333"/>
    <mergeCell ref="X328:X333"/>
    <mergeCell ref="W358:W363"/>
    <mergeCell ref="T365:X365"/>
    <mergeCell ref="T335:X335"/>
    <mergeCell ref="T338:X338"/>
    <mergeCell ref="I385:O385"/>
    <mergeCell ref="W328:W333"/>
    <mergeCell ref="T336:U336"/>
    <mergeCell ref="T384:X384"/>
    <mergeCell ref="V407:V413"/>
    <mergeCell ref="W407:W413"/>
    <mergeCell ref="V393:V399"/>
    <mergeCell ref="T461:T466"/>
    <mergeCell ref="P454:S455"/>
    <mergeCell ref="P456:S456"/>
    <mergeCell ref="E421:H427"/>
    <mergeCell ref="E414:H420"/>
    <mergeCell ref="D421:D427"/>
    <mergeCell ref="D414:D420"/>
    <mergeCell ref="I453:O453"/>
    <mergeCell ref="D458:H458"/>
    <mergeCell ref="P452:S452"/>
    <mergeCell ref="P436:S436"/>
    <mergeCell ref="I399:O399"/>
    <mergeCell ref="I416:O416"/>
    <mergeCell ref="P428:S429"/>
    <mergeCell ref="D428:O430"/>
    <mergeCell ref="D386:D392"/>
    <mergeCell ref="E444:H450"/>
    <mergeCell ref="E437:H443"/>
    <mergeCell ref="D444:D450"/>
    <mergeCell ref="E461:H466"/>
    <mergeCell ref="E386:H392"/>
    <mergeCell ref="V437:V443"/>
    <mergeCell ref="V444:V450"/>
    <mergeCell ref="C34:F34"/>
    <mergeCell ref="C36:F36"/>
    <mergeCell ref="C35:F35"/>
    <mergeCell ref="C37:F37"/>
    <mergeCell ref="F48:H48"/>
    <mergeCell ref="F50:H50"/>
    <mergeCell ref="G34:J34"/>
    <mergeCell ref="G36:J36"/>
    <mergeCell ref="B44:H44"/>
    <mergeCell ref="B49:E49"/>
    <mergeCell ref="M167:Q167"/>
    <mergeCell ref="C188:C189"/>
    <mergeCell ref="C175:E175"/>
    <mergeCell ref="C194:C195"/>
    <mergeCell ref="M191:S191"/>
    <mergeCell ref="M192:S192"/>
    <mergeCell ref="J124:L126"/>
    <mergeCell ref="B78:E78"/>
    <mergeCell ref="B88:E88"/>
    <mergeCell ref="B140:E140"/>
    <mergeCell ref="B141:E141"/>
    <mergeCell ref="M125:Q125"/>
    <mergeCell ref="M126:N126"/>
    <mergeCell ref="B139:E139"/>
    <mergeCell ref="B151:E151"/>
    <mergeCell ref="B38:Q40"/>
    <mergeCell ref="R38:S39"/>
    <mergeCell ref="R40:S40"/>
    <mergeCell ref="B52:Q54"/>
    <mergeCell ref="R52:S53"/>
    <mergeCell ref="O48:Q48"/>
    <mergeCell ref="O49:Q49"/>
    <mergeCell ref="T288:T293"/>
    <mergeCell ref="U288:U293"/>
    <mergeCell ref="T294:T299"/>
    <mergeCell ref="W307:W309"/>
    <mergeCell ref="Q76:Q123"/>
    <mergeCell ref="D190:L190"/>
    <mergeCell ref="B144:E144"/>
    <mergeCell ref="K173:L173"/>
    <mergeCell ref="K180:L181"/>
    <mergeCell ref="M181:Q181"/>
    <mergeCell ref="N35:O35"/>
    <mergeCell ref="N36:O36"/>
    <mergeCell ref="M134:Q134"/>
    <mergeCell ref="J74:L75"/>
    <mergeCell ref="M74:Q74"/>
    <mergeCell ref="B98:E98"/>
    <mergeCell ref="F46:H47"/>
    <mergeCell ref="M76:M123"/>
    <mergeCell ref="I46:L46"/>
    <mergeCell ref="K35:M35"/>
    <mergeCell ref="K36:M36"/>
    <mergeCell ref="B42:D42"/>
    <mergeCell ref="G35:J35"/>
    <mergeCell ref="M61:N63"/>
    <mergeCell ref="B43:G43"/>
    <mergeCell ref="B86:E86"/>
    <mergeCell ref="B116:E116"/>
    <mergeCell ref="B117:E117"/>
    <mergeCell ref="B118:E118"/>
    <mergeCell ref="B77:E77"/>
    <mergeCell ref="V67:X67"/>
    <mergeCell ref="D240:D245"/>
    <mergeCell ref="AB270:AB275"/>
    <mergeCell ref="AB276:AB281"/>
    <mergeCell ref="P205:P210"/>
    <mergeCell ref="AB246:AB251"/>
    <mergeCell ref="AB252:AB257"/>
    <mergeCell ref="AB258:AB263"/>
    <mergeCell ref="AB264:AB269"/>
    <mergeCell ref="J203:K204"/>
    <mergeCell ref="D212:F212"/>
    <mergeCell ref="C173:E173"/>
    <mergeCell ref="C172:E172"/>
    <mergeCell ref="I175:J175"/>
    <mergeCell ref="C174:E174"/>
    <mergeCell ref="M194:S194"/>
    <mergeCell ref="K176:L176"/>
    <mergeCell ref="K167:L168"/>
    <mergeCell ref="K174:L174"/>
    <mergeCell ref="AB192:AB193"/>
    <mergeCell ref="AB194:AB195"/>
    <mergeCell ref="T192:T193"/>
    <mergeCell ref="U192:U193"/>
    <mergeCell ref="V192:V193"/>
    <mergeCell ref="T240:T245"/>
    <mergeCell ref="U246:U251"/>
    <mergeCell ref="D209:F209"/>
    <mergeCell ref="C210:H210"/>
    <mergeCell ref="I177:J177"/>
    <mergeCell ref="K178:L178"/>
    <mergeCell ref="C177:E177"/>
    <mergeCell ref="C176:E176"/>
    <mergeCell ref="H186:L187"/>
    <mergeCell ref="B180:J182"/>
    <mergeCell ref="AB294:AB299"/>
    <mergeCell ref="X307:X309"/>
    <mergeCell ref="I272:O272"/>
    <mergeCell ref="I301:O301"/>
    <mergeCell ref="X294:X299"/>
    <mergeCell ref="I295:O295"/>
    <mergeCell ref="P220:P221"/>
    <mergeCell ref="D213:F213"/>
    <mergeCell ref="W190:W191"/>
    <mergeCell ref="V198:X198"/>
    <mergeCell ref="W194:W195"/>
    <mergeCell ref="X194:X195"/>
    <mergeCell ref="D214:F214"/>
    <mergeCell ref="U276:U281"/>
    <mergeCell ref="V276:V281"/>
    <mergeCell ref="U270:U275"/>
    <mergeCell ref="D276:D281"/>
    <mergeCell ref="T270:T275"/>
    <mergeCell ref="B237:X237"/>
    <mergeCell ref="W300:W305"/>
    <mergeCell ref="X300:X305"/>
    <mergeCell ref="I221:I224"/>
    <mergeCell ref="T264:T269"/>
    <mergeCell ref="L205:L210"/>
    <mergeCell ref="M205:M210"/>
    <mergeCell ref="C206:H206"/>
    <mergeCell ref="P240:S245"/>
    <mergeCell ref="P246:S251"/>
    <mergeCell ref="I246:O251"/>
    <mergeCell ref="C207:H207"/>
    <mergeCell ref="W276:W281"/>
    <mergeCell ref="X276:X281"/>
    <mergeCell ref="AB346:AB351"/>
    <mergeCell ref="W340:W345"/>
    <mergeCell ref="X340:X345"/>
    <mergeCell ref="AB340:AB345"/>
    <mergeCell ref="T340:T345"/>
    <mergeCell ref="P339:S339"/>
    <mergeCell ref="D225:G225"/>
    <mergeCell ref="H195:L195"/>
    <mergeCell ref="X190:X191"/>
    <mergeCell ref="D195:F195"/>
    <mergeCell ref="D194:L194"/>
    <mergeCell ref="M195:S195"/>
    <mergeCell ref="D192:L192"/>
    <mergeCell ref="M190:S190"/>
    <mergeCell ref="V190:V191"/>
    <mergeCell ref="E252:H257"/>
    <mergeCell ref="B200:H200"/>
    <mergeCell ref="W192:W193"/>
    <mergeCell ref="V194:V195"/>
    <mergeCell ref="X192:X193"/>
    <mergeCell ref="Q198:S198"/>
    <mergeCell ref="I239:O239"/>
    <mergeCell ref="P239:S239"/>
    <mergeCell ref="L233:M233"/>
    <mergeCell ref="I210:I214"/>
    <mergeCell ref="C211:C212"/>
    <mergeCell ref="J206:K206"/>
    <mergeCell ref="J207:K207"/>
    <mergeCell ref="D219:F219"/>
    <mergeCell ref="I275:O275"/>
    <mergeCell ref="D204:F204"/>
    <mergeCell ref="H193:L193"/>
    <mergeCell ref="AB352:AB357"/>
    <mergeCell ref="T286:X286"/>
    <mergeCell ref="U294:U299"/>
    <mergeCell ref="V294:V299"/>
    <mergeCell ref="W294:W299"/>
    <mergeCell ref="AB322:AB327"/>
    <mergeCell ref="AB328:AB333"/>
    <mergeCell ref="AB288:AB293"/>
    <mergeCell ref="AB307:AB309"/>
    <mergeCell ref="J205:K205"/>
    <mergeCell ref="I304:O304"/>
    <mergeCell ref="I305:O305"/>
    <mergeCell ref="I296:O296"/>
    <mergeCell ref="D222:G222"/>
    <mergeCell ref="D224:G224"/>
    <mergeCell ref="D216:F216"/>
    <mergeCell ref="N205:N210"/>
    <mergeCell ref="AB240:AB245"/>
    <mergeCell ref="AB300:AB305"/>
    <mergeCell ref="A236:X236"/>
    <mergeCell ref="X246:X251"/>
    <mergeCell ref="E246:H251"/>
    <mergeCell ref="I294:O294"/>
    <mergeCell ref="I252:O257"/>
    <mergeCell ref="I240:O245"/>
    <mergeCell ref="E339:H339"/>
    <mergeCell ref="E307:H309"/>
    <mergeCell ref="E270:H275"/>
    <mergeCell ref="I298:O298"/>
    <mergeCell ref="P276:S281"/>
    <mergeCell ref="P282:S283"/>
    <mergeCell ref="I276:O281"/>
    <mergeCell ref="AB358:AB363"/>
    <mergeCell ref="AB372:AB374"/>
    <mergeCell ref="V366:X366"/>
    <mergeCell ref="T370:X370"/>
    <mergeCell ref="V372:V374"/>
    <mergeCell ref="AB310:AB315"/>
    <mergeCell ref="W310:W315"/>
    <mergeCell ref="X310:X315"/>
    <mergeCell ref="I312:O312"/>
    <mergeCell ref="I313:O313"/>
    <mergeCell ref="I314:O314"/>
    <mergeCell ref="I315:O315"/>
    <mergeCell ref="I310:O310"/>
    <mergeCell ref="V310:V315"/>
    <mergeCell ref="X372:X374"/>
    <mergeCell ref="U400:U406"/>
    <mergeCell ref="W393:W399"/>
    <mergeCell ref="U372:U374"/>
    <mergeCell ref="W372:W374"/>
    <mergeCell ref="T372:T374"/>
    <mergeCell ref="I371:O371"/>
    <mergeCell ref="I372:O374"/>
    <mergeCell ref="T382:U382"/>
    <mergeCell ref="V382:X382"/>
    <mergeCell ref="T386:T392"/>
    <mergeCell ref="W400:W406"/>
    <mergeCell ref="V386:V392"/>
    <mergeCell ref="T375:T377"/>
    <mergeCell ref="P380:S381"/>
    <mergeCell ref="P393:S399"/>
    <mergeCell ref="P400:S406"/>
    <mergeCell ref="V358:V363"/>
    <mergeCell ref="AB400:AB406"/>
    <mergeCell ref="AB407:AB413"/>
    <mergeCell ref="W386:W392"/>
    <mergeCell ref="AB386:AB392"/>
    <mergeCell ref="X400:X406"/>
    <mergeCell ref="T400:T406"/>
    <mergeCell ref="P386:S392"/>
    <mergeCell ref="V375:V377"/>
    <mergeCell ref="W414:W420"/>
    <mergeCell ref="X407:X413"/>
    <mergeCell ref="W421:W427"/>
    <mergeCell ref="X421:X427"/>
    <mergeCell ref="U386:U392"/>
    <mergeCell ref="T393:T399"/>
    <mergeCell ref="U393:U399"/>
    <mergeCell ref="X414:X420"/>
    <mergeCell ref="V421:V427"/>
    <mergeCell ref="P421:S427"/>
    <mergeCell ref="T421:T427"/>
    <mergeCell ref="X393:X399"/>
    <mergeCell ref="U414:U420"/>
    <mergeCell ref="V414:V420"/>
    <mergeCell ref="U407:U413"/>
    <mergeCell ref="AB375:AB377"/>
    <mergeCell ref="T414:T420"/>
    <mergeCell ref="T407:T413"/>
    <mergeCell ref="AB414:AB420"/>
    <mergeCell ref="AB393:AB399"/>
    <mergeCell ref="X386:X392"/>
    <mergeCell ref="W375:W377"/>
    <mergeCell ref="T381:X381"/>
    <mergeCell ref="P414:S420"/>
    <mergeCell ref="AB523:AB528"/>
    <mergeCell ref="AB502:AB504"/>
    <mergeCell ref="AB511:AB516"/>
    <mergeCell ref="AB517:AB522"/>
    <mergeCell ref="AB467:AB472"/>
    <mergeCell ref="AB473:AB478"/>
    <mergeCell ref="AB485:AB487"/>
    <mergeCell ref="AB494:AB496"/>
    <mergeCell ref="V430:X430"/>
    <mergeCell ref="W494:W495"/>
    <mergeCell ref="T492:X492"/>
    <mergeCell ref="T430:U430"/>
    <mergeCell ref="U421:U427"/>
    <mergeCell ref="T429:X429"/>
    <mergeCell ref="T473:T478"/>
    <mergeCell ref="T467:T472"/>
    <mergeCell ref="U511:U516"/>
    <mergeCell ref="T437:T443"/>
    <mergeCell ref="T435:X435"/>
    <mergeCell ref="AB421:AB427"/>
    <mergeCell ref="U467:U472"/>
    <mergeCell ref="V467:V472"/>
    <mergeCell ref="V473:V478"/>
    <mergeCell ref="V490:X490"/>
    <mergeCell ref="V486:V487"/>
    <mergeCell ref="U473:U478"/>
    <mergeCell ref="T484:X484"/>
    <mergeCell ref="U486:U487"/>
    <mergeCell ref="X486:X487"/>
    <mergeCell ref="X473:X478"/>
    <mergeCell ref="V461:V466"/>
    <mergeCell ref="X444:X450"/>
    <mergeCell ref="AB565:AB570"/>
    <mergeCell ref="T455:X455"/>
    <mergeCell ref="T456:U456"/>
    <mergeCell ref="V456:X456"/>
    <mergeCell ref="T480:X480"/>
    <mergeCell ref="W467:W472"/>
    <mergeCell ref="T530:X530"/>
    <mergeCell ref="T531:U531"/>
    <mergeCell ref="U517:U522"/>
    <mergeCell ref="V517:V522"/>
    <mergeCell ref="X511:X516"/>
    <mergeCell ref="I417:O417"/>
    <mergeCell ref="I418:O418"/>
    <mergeCell ref="I419:O419"/>
    <mergeCell ref="I436:O436"/>
    <mergeCell ref="C434:R434"/>
    <mergeCell ref="P430:S430"/>
    <mergeCell ref="I472:O472"/>
    <mergeCell ref="I467:O467"/>
    <mergeCell ref="AB553:AB558"/>
    <mergeCell ref="T481:U481"/>
    <mergeCell ref="V481:X481"/>
    <mergeCell ref="W444:W450"/>
    <mergeCell ref="AB541:AB546"/>
    <mergeCell ref="AB547:AB552"/>
    <mergeCell ref="AB535:AB540"/>
    <mergeCell ref="AB437:AB443"/>
    <mergeCell ref="V531:X531"/>
    <mergeCell ref="AB559:AB564"/>
    <mergeCell ref="D437:D443"/>
    <mergeCell ref="AB444:AB450"/>
    <mergeCell ref="AB461:AB466"/>
    <mergeCell ref="X467:X472"/>
    <mergeCell ref="W473:W478"/>
    <mergeCell ref="X240:X245"/>
    <mergeCell ref="E328:H333"/>
    <mergeCell ref="B157:E157"/>
    <mergeCell ref="K182:L182"/>
    <mergeCell ref="J136:L158"/>
    <mergeCell ref="B147:E147"/>
    <mergeCell ref="B142:E142"/>
    <mergeCell ref="B148:E148"/>
    <mergeCell ref="B150:E150"/>
    <mergeCell ref="B149:E149"/>
    <mergeCell ref="O182:Q182"/>
    <mergeCell ref="O205:O210"/>
    <mergeCell ref="C186:F187"/>
    <mergeCell ref="G186:G187"/>
    <mergeCell ref="Q203:R204"/>
    <mergeCell ref="D203:H203"/>
    <mergeCell ref="M182:N182"/>
    <mergeCell ref="I203:I204"/>
    <mergeCell ref="B137:E137"/>
    <mergeCell ref="X375:X377"/>
    <mergeCell ref="L232:P232"/>
    <mergeCell ref="P270:S275"/>
    <mergeCell ref="W246:W251"/>
    <mergeCell ref="T246:T251"/>
    <mergeCell ref="V246:V251"/>
    <mergeCell ref="U240:U245"/>
    <mergeCell ref="V240:V245"/>
    <mergeCell ref="W240:W245"/>
    <mergeCell ref="E264:H269"/>
    <mergeCell ref="E258:H263"/>
    <mergeCell ref="T59:X59"/>
    <mergeCell ref="B59:I60"/>
    <mergeCell ref="N24:O24"/>
    <mergeCell ref="N25:O25"/>
    <mergeCell ref="N26:O26"/>
    <mergeCell ref="N27:O27"/>
    <mergeCell ref="P37:S37"/>
    <mergeCell ref="P26:S26"/>
    <mergeCell ref="P27:S27"/>
    <mergeCell ref="P28:S28"/>
    <mergeCell ref="G37:O37"/>
    <mergeCell ref="R61:S61"/>
    <mergeCell ref="R48:S48"/>
    <mergeCell ref="R49:S49"/>
    <mergeCell ref="R50:S50"/>
    <mergeCell ref="O46:Q47"/>
    <mergeCell ref="P33:S33"/>
    <mergeCell ref="P34:S34"/>
    <mergeCell ref="P35:S35"/>
    <mergeCell ref="R46:S47"/>
    <mergeCell ref="O61:Q61"/>
    <mergeCell ref="K34:M34"/>
    <mergeCell ref="N28:O28"/>
    <mergeCell ref="N33:O33"/>
    <mergeCell ref="N34:O34"/>
    <mergeCell ref="K29:M29"/>
    <mergeCell ref="K26:M26"/>
    <mergeCell ref="K27:M27"/>
    <mergeCell ref="K28:M28"/>
    <mergeCell ref="P25:S25"/>
    <mergeCell ref="P31:S31"/>
    <mergeCell ref="P32:S32"/>
    <mergeCell ref="K30:M30"/>
    <mergeCell ref="K31:M31"/>
    <mergeCell ref="AB76:AB123"/>
    <mergeCell ref="AB136:AB158"/>
    <mergeCell ref="B159:I161"/>
    <mergeCell ref="J159:L161"/>
    <mergeCell ref="M160:Q160"/>
    <mergeCell ref="M161:N161"/>
    <mergeCell ref="O161:Q161"/>
    <mergeCell ref="B124:I126"/>
    <mergeCell ref="O76:O123"/>
    <mergeCell ref="P76:P123"/>
    <mergeCell ref="B119:E119"/>
    <mergeCell ref="B97:E97"/>
    <mergeCell ref="B122:E122"/>
    <mergeCell ref="I134:I135"/>
    <mergeCell ref="J134:L135"/>
    <mergeCell ref="B110:E110"/>
    <mergeCell ref="B145:E145"/>
    <mergeCell ref="B146:E146"/>
    <mergeCell ref="B136:E136"/>
    <mergeCell ref="B84:E84"/>
    <mergeCell ref="B134:E135"/>
    <mergeCell ref="B120:E120"/>
    <mergeCell ref="B123:E123"/>
    <mergeCell ref="B93:E93"/>
    <mergeCell ref="B121:E121"/>
    <mergeCell ref="B111:E111"/>
    <mergeCell ref="J76:L123"/>
    <mergeCell ref="B83:E83"/>
    <mergeCell ref="B153:E153"/>
    <mergeCell ref="B138:E138"/>
    <mergeCell ref="O50:Q50"/>
    <mergeCell ref="O62:Q62"/>
    <mergeCell ref="O63:Q63"/>
    <mergeCell ref="B46:E47"/>
    <mergeCell ref="J59:L59"/>
    <mergeCell ref="K171:L171"/>
    <mergeCell ref="C190:C191"/>
    <mergeCell ref="B165:J165"/>
    <mergeCell ref="I173:J173"/>
    <mergeCell ref="B94:E94"/>
    <mergeCell ref="B95:E95"/>
    <mergeCell ref="B96:E96"/>
    <mergeCell ref="O126:Q126"/>
    <mergeCell ref="I176:J176"/>
    <mergeCell ref="R65:S66"/>
    <mergeCell ref="R67:S67"/>
    <mergeCell ref="M136:M158"/>
    <mergeCell ref="N136:N158"/>
    <mergeCell ref="O136:O158"/>
    <mergeCell ref="B70:D70"/>
    <mergeCell ref="B65:Q67"/>
    <mergeCell ref="I49:J49"/>
    <mergeCell ref="B64:I64"/>
    <mergeCell ref="B89:E89"/>
    <mergeCell ref="B91:E91"/>
    <mergeCell ref="B85:E85"/>
    <mergeCell ref="B106:E106"/>
    <mergeCell ref="B107:E107"/>
    <mergeCell ref="B90:E90"/>
    <mergeCell ref="B92:E92"/>
    <mergeCell ref="B102:E102"/>
    <mergeCell ref="B103:E103"/>
    <mergeCell ref="M188:S188"/>
    <mergeCell ref="M189:S189"/>
    <mergeCell ref="D217:F217"/>
    <mergeCell ref="J209:K209"/>
    <mergeCell ref="L203:P203"/>
    <mergeCell ref="D211:F211"/>
    <mergeCell ref="D220:G220"/>
    <mergeCell ref="E310:H315"/>
    <mergeCell ref="E288:H293"/>
    <mergeCell ref="E239:H239"/>
    <mergeCell ref="E287:H287"/>
    <mergeCell ref="E306:H306"/>
    <mergeCell ref="D282:O284"/>
    <mergeCell ref="E276:H281"/>
    <mergeCell ref="E240:H245"/>
    <mergeCell ref="C221:H221"/>
    <mergeCell ref="D223:G223"/>
    <mergeCell ref="I287:O287"/>
    <mergeCell ref="C229:I229"/>
    <mergeCell ref="C230:I230"/>
    <mergeCell ref="P287:S287"/>
    <mergeCell ref="D300:D305"/>
    <mergeCell ref="E300:H305"/>
    <mergeCell ref="P284:S284"/>
    <mergeCell ref="F592:G592"/>
    <mergeCell ref="F593:G593"/>
    <mergeCell ref="E451:H451"/>
    <mergeCell ref="E436:H436"/>
    <mergeCell ref="P252:S257"/>
    <mergeCell ref="P258:S263"/>
    <mergeCell ref="E400:H406"/>
    <mergeCell ref="E393:H399"/>
    <mergeCell ref="F599:G599"/>
    <mergeCell ref="P592:V592"/>
    <mergeCell ref="O593:Q593"/>
    <mergeCell ref="S593:W593"/>
    <mergeCell ref="O599:Q599"/>
    <mergeCell ref="S599:W599"/>
    <mergeCell ref="P136:P158"/>
    <mergeCell ref="Q136:Q158"/>
    <mergeCell ref="E378:H378"/>
    <mergeCell ref="E375:H377"/>
    <mergeCell ref="I451:O451"/>
    <mergeCell ref="U340:U345"/>
    <mergeCell ref="N233:P233"/>
    <mergeCell ref="O225:O226"/>
    <mergeCell ref="M220:M221"/>
    <mergeCell ref="C226:H226"/>
    <mergeCell ref="D227:G227"/>
    <mergeCell ref="D228:G228"/>
    <mergeCell ref="I171:J171"/>
    <mergeCell ref="I172:J172"/>
    <mergeCell ref="M186:S187"/>
    <mergeCell ref="D358:D363"/>
    <mergeCell ref="I258:O263"/>
    <mergeCell ref="I271:O271"/>
    <mergeCell ref="T276:T281"/>
    <mergeCell ref="I299:O299"/>
    <mergeCell ref="I297:O297"/>
    <mergeCell ref="L225:L226"/>
    <mergeCell ref="P225:P226"/>
    <mergeCell ref="U258:U263"/>
    <mergeCell ref="V258:V263"/>
    <mergeCell ref="T358:T363"/>
    <mergeCell ref="T318:U318"/>
    <mergeCell ref="P364:S365"/>
    <mergeCell ref="X358:X363"/>
    <mergeCell ref="P372:S374"/>
    <mergeCell ref="I339:O339"/>
    <mergeCell ref="I328:O333"/>
    <mergeCell ref="I340:O345"/>
    <mergeCell ref="I322:O327"/>
    <mergeCell ref="P328:S333"/>
    <mergeCell ref="P340:S345"/>
    <mergeCell ref="P352:S357"/>
    <mergeCell ref="P358:S363"/>
    <mergeCell ref="P371:S371"/>
    <mergeCell ref="W270:W275"/>
    <mergeCell ref="X270:X275"/>
    <mergeCell ref="U310:U315"/>
    <mergeCell ref="P307:S309"/>
    <mergeCell ref="X288:X293"/>
    <mergeCell ref="C369:R369"/>
    <mergeCell ref="D246:D251"/>
    <mergeCell ref="E352:H357"/>
    <mergeCell ref="E346:H351"/>
    <mergeCell ref="E358:H363"/>
    <mergeCell ref="T283:X283"/>
    <mergeCell ref="E385:H385"/>
    <mergeCell ref="E340:H345"/>
    <mergeCell ref="I420:O420"/>
    <mergeCell ref="I414:O415"/>
    <mergeCell ref="P407:S413"/>
    <mergeCell ref="P385:R385"/>
    <mergeCell ref="D364:O366"/>
    <mergeCell ref="E371:H371"/>
    <mergeCell ref="E322:H327"/>
    <mergeCell ref="D393:D399"/>
    <mergeCell ref="I300:O300"/>
    <mergeCell ref="D316:O318"/>
    <mergeCell ref="D372:D374"/>
    <mergeCell ref="E321:H321"/>
    <mergeCell ref="D400:D406"/>
    <mergeCell ref="I398:O398"/>
    <mergeCell ref="E372:H374"/>
    <mergeCell ref="D346:D351"/>
    <mergeCell ref="I346:O351"/>
    <mergeCell ref="P310:S315"/>
    <mergeCell ref="D407:D413"/>
    <mergeCell ref="I407:O413"/>
    <mergeCell ref="E407:H413"/>
    <mergeCell ref="D375:D377"/>
    <mergeCell ref="I379:O379"/>
    <mergeCell ref="E379:H379"/>
    <mergeCell ref="P375:S377"/>
    <mergeCell ref="I375:O377"/>
    <mergeCell ref="P346:S351"/>
    <mergeCell ref="D338:R338"/>
    <mergeCell ref="D334:O336"/>
  </mergeCells>
  <conditionalFormatting sqref="C231:I233">
    <cfRule type="containsBlanks" dxfId="17" priority="9">
      <formula>LEN(TRIM(C231))=0</formula>
    </cfRule>
  </conditionalFormatting>
  <conditionalFormatting sqref="B124:I126 B159:I161">
    <cfRule type="containsBlanks" dxfId="16" priority="8" stopIfTrue="1">
      <formula>LEN(TRIM(B124))=0</formula>
    </cfRule>
  </conditionalFormatting>
  <conditionalFormatting sqref="B159:I161 B124:I126">
    <cfRule type="containsBlanks" dxfId="15" priority="6" stopIfTrue="1">
      <formula>LEN(TRIM(B124))=0</formula>
    </cfRule>
    <cfRule type="containsBlanks" dxfId="14" priority="7" stopIfTrue="1">
      <formula>LEN(TRIM(B124))=0</formula>
    </cfRule>
  </conditionalFormatting>
  <conditionalFormatting sqref="F15:K17">
    <cfRule type="containsBlanks" dxfId="13" priority="5" stopIfTrue="1">
      <formula>LEN(TRIM(F15))=0</formula>
    </cfRule>
  </conditionalFormatting>
  <conditionalFormatting sqref="B38:Q40 B52:Q54 B65:Q67 B124:I126 B159:I161 B180:J182 C196:P198 C231:I233 D282:O284 D316:O318 D334:O336 D364:O366 D380:O382 D428:O430 D479:O481 D488:O490 D454:O456 D504:O506 D496:O498 D529:O531 D571:O573">
    <cfRule type="containsBlanks" dxfId="12" priority="4" stopIfTrue="1">
      <formula>LEN(TRIM(B38))=0</formula>
    </cfRule>
  </conditionalFormatting>
  <conditionalFormatting sqref="P24:S37 R48:S50 R61:S63 J76:L123 J136:L158 K170:L179 M189:S189 M191:S191 M193:S193 M195:S195">
    <cfRule type="containsBlanks" dxfId="11" priority="3" stopIfTrue="1">
      <formula>LEN(TRIM(J24))=0</formula>
    </cfRule>
  </conditionalFormatting>
  <conditionalFormatting sqref="P240:S281 P288:S315 P322:S333 P340:S363 P372:S379 P386:S427 P437:S453 P461:S478 P486:S487 P494:S495 P502:S503 P511:S528 P535:S570">
    <cfRule type="containsBlanks" dxfId="10" priority="2" stopIfTrue="1">
      <formula>LEN(TRIM(P240))=0</formula>
    </cfRule>
  </conditionalFormatting>
  <conditionalFormatting sqref="F13:K13">
    <cfRule type="containsBlanks" dxfId="9" priority="1">
      <formula>LEN(TRIM(F13))=0</formula>
    </cfRule>
  </conditionalFormatting>
  <pageMargins left="0.7" right="0.7" top="0.75" bottom="0.75" header="0.3" footer="0.3"/>
  <pageSetup paperSize="9" scale="31" orientation="portrait" r:id="rId1"/>
  <headerFooter>
    <oddFooter>&amp;LFKS-FKV&amp;RHalaman &amp;P</oddFooter>
  </headerFooter>
  <rowBreaks count="6" manualBreakCount="6">
    <brk id="70" max="23" man="1"/>
    <brk id="176" max="23" man="1"/>
    <brk id="263" max="23" man="1"/>
    <brk id="374" max="23" man="1"/>
    <brk id="472" max="23" man="1"/>
    <brk id="578" max="23" man="1"/>
  </rowBreaks>
  <ignoredErrors>
    <ignoredError sqref="D452" numberStoredAsText="1"/>
  </ignoredErrors>
  <drawing r:id="rId2"/>
  <legacyDrawing r:id="rId3"/>
  <oleObjects>
    <mc:AlternateContent xmlns:mc="http://schemas.openxmlformats.org/markup-compatibility/2006">
      <mc:Choice Requires="x14">
        <oleObject shapeId="5151">
          <objectPr defaultSize="0" autoFill="0" autoPict="0" dde="1">
            <anchor moveWithCells="1">
              <from>
                <xdr:col>19</xdr:col>
                <xdr:colOff>0</xdr:colOff>
                <xdr:row>26</xdr:row>
                <xdr:rowOff>0</xdr:rowOff>
              </from>
              <to>
                <xdr:col>24</xdr:col>
                <xdr:colOff>9525</xdr:colOff>
                <xdr:row>27</xdr:row>
                <xdr:rowOff>9525</xdr:rowOff>
              </to>
            </anchor>
          </objectPr>
        </oleObject>
      </mc:Choice>
    </mc:AlternateContent>
    <mc:AlternateContent xmlns:mc="http://schemas.openxmlformats.org/markup-compatibility/2006">
      <mc:Choice Requires="x14">
        <oleObject shapeId="5154">
          <objectPr defaultSize="0" autoFill="0" autoPict="0" dde="1">
            <anchor moveWithCells="1">
              <from>
                <xdr:col>19</xdr:col>
                <xdr:colOff>0</xdr:colOff>
                <xdr:row>29</xdr:row>
                <xdr:rowOff>0</xdr:rowOff>
              </from>
              <to>
                <xdr:col>24</xdr:col>
                <xdr:colOff>9525</xdr:colOff>
                <xdr:row>30</xdr:row>
                <xdr:rowOff>9525</xdr:rowOff>
              </to>
            </anchor>
          </objectPr>
        </oleObject>
      </mc:Choice>
    </mc:AlternateContent>
    <mc:AlternateContent xmlns:mc="http://schemas.openxmlformats.org/markup-compatibility/2006">
      <mc:Choice Requires="x14">
        <oleObject shapeId="5157">
          <objectPr defaultSize="0" autoFill="0" autoPict="0" dde="1">
            <anchor moveWithCells="1">
              <from>
                <xdr:col>19</xdr:col>
                <xdr:colOff>0</xdr:colOff>
                <xdr:row>32</xdr:row>
                <xdr:rowOff>0</xdr:rowOff>
              </from>
              <to>
                <xdr:col>24</xdr:col>
                <xdr:colOff>9525</xdr:colOff>
                <xdr:row>33</xdr:row>
                <xdr:rowOff>9525</xdr:rowOff>
              </to>
            </anchor>
          </objectPr>
        </oleObject>
      </mc:Choice>
    </mc:AlternateContent>
    <mc:AlternateContent xmlns:mc="http://schemas.openxmlformats.org/markup-compatibility/2006">
      <mc:Choice Requires="x14">
        <oleObject shapeId="5160">
          <objectPr defaultSize="0" autoFill="0" autoPict="0" dde="1">
            <anchor moveWithCells="1">
              <from>
                <xdr:col>19</xdr:col>
                <xdr:colOff>0</xdr:colOff>
                <xdr:row>35</xdr:row>
                <xdr:rowOff>0</xdr:rowOff>
              </from>
              <to>
                <xdr:col>24</xdr:col>
                <xdr:colOff>9525</xdr:colOff>
                <xdr:row>36</xdr:row>
                <xdr:rowOff>9525</xdr:rowOff>
              </to>
            </anchor>
          </objectPr>
        </oleObject>
      </mc:Choice>
    </mc:AlternateContent>
    <mc:AlternateContent xmlns:mc="http://schemas.openxmlformats.org/markup-compatibility/2006">
      <mc:Choice Requires="x14">
        <oleObject shapeId="5183">
          <objectPr defaultSize="0" autoFill="0" autoLine="0" autoPict="0" dde="1">
            <anchor moveWithCells="1">
              <from>
                <xdr:col>19</xdr:col>
                <xdr:colOff>38100</xdr:colOff>
                <xdr:row>31</xdr:row>
                <xdr:rowOff>85725</xdr:rowOff>
              </from>
              <to>
                <xdr:col>19</xdr:col>
                <xdr:colOff>276225</xdr:colOff>
                <xdr:row>31</xdr:row>
                <xdr:rowOff>276225</xdr:rowOff>
              </to>
            </anchor>
          </objectPr>
        </oleObject>
      </mc:Choice>
    </mc:AlternateContent>
    <mc:AlternateContent xmlns:mc="http://schemas.openxmlformats.org/markup-compatibility/2006">
      <mc:Choice Requires="x14">
        <oleObject shapeId="5184">
          <objectPr defaultSize="0" autoFill="0" autoLine="0" autoPict="0" dde="1">
            <anchor moveWithCells="1">
              <from>
                <xdr:col>19</xdr:col>
                <xdr:colOff>38100</xdr:colOff>
                <xdr:row>32</xdr:row>
                <xdr:rowOff>85725</xdr:rowOff>
              </from>
              <to>
                <xdr:col>19</xdr:col>
                <xdr:colOff>276225</xdr:colOff>
                <xdr:row>32</xdr:row>
                <xdr:rowOff>276225</xdr:rowOff>
              </to>
            </anchor>
          </objectPr>
        </oleObject>
      </mc:Choice>
    </mc:AlternateContent>
    <mc:AlternateContent xmlns:mc="http://schemas.openxmlformats.org/markup-compatibility/2006">
      <mc:Choice Requires="x14">
        <oleObject shapeId="5185">
          <objectPr defaultSize="0" autoFill="0" autoLine="0" autoPict="0" dde="1">
            <anchor moveWithCells="1">
              <from>
                <xdr:col>19</xdr:col>
                <xdr:colOff>38100</xdr:colOff>
                <xdr:row>33</xdr:row>
                <xdr:rowOff>85725</xdr:rowOff>
              </from>
              <to>
                <xdr:col>19</xdr:col>
                <xdr:colOff>276225</xdr:colOff>
                <xdr:row>33</xdr:row>
                <xdr:rowOff>276225</xdr:rowOff>
              </to>
            </anchor>
          </objectPr>
        </oleObject>
      </mc:Choice>
    </mc:AlternateContent>
    <mc:AlternateContent xmlns:mc="http://schemas.openxmlformats.org/markup-compatibility/2006">
      <mc:Choice Requires="x14">
        <oleObject shapeId="5186">
          <objectPr defaultSize="0" autoFill="0" autoLine="0" autoPict="0" dde="1">
            <anchor moveWithCells="1">
              <from>
                <xdr:col>19</xdr:col>
                <xdr:colOff>38100</xdr:colOff>
                <xdr:row>34</xdr:row>
                <xdr:rowOff>85725</xdr:rowOff>
              </from>
              <to>
                <xdr:col>19</xdr:col>
                <xdr:colOff>276225</xdr:colOff>
                <xdr:row>34</xdr:row>
                <xdr:rowOff>276225</xdr:rowOff>
              </to>
            </anchor>
          </objectPr>
        </oleObject>
      </mc:Choice>
    </mc:AlternateContent>
    <mc:AlternateContent xmlns:mc="http://schemas.openxmlformats.org/markup-compatibility/2006">
      <mc:Choice Requires="x14">
        <oleObject shapeId="5187">
          <objectPr defaultSize="0" autoFill="0" autoLine="0" autoPict="0" dde="1">
            <anchor moveWithCells="1">
              <from>
                <xdr:col>19</xdr:col>
                <xdr:colOff>38100</xdr:colOff>
                <xdr:row>35</xdr:row>
                <xdr:rowOff>85725</xdr:rowOff>
              </from>
              <to>
                <xdr:col>19</xdr:col>
                <xdr:colOff>276225</xdr:colOff>
                <xdr:row>35</xdr:row>
                <xdr:rowOff>276225</xdr:rowOff>
              </to>
            </anchor>
          </objectPr>
        </oleObject>
      </mc:Choice>
    </mc:AlternateContent>
    <mc:AlternateContent xmlns:mc="http://schemas.openxmlformats.org/markup-compatibility/2006">
      <mc:Choice Requires="x14">
        <oleObject shapeId="5242">
          <objectPr defaultSize="0" autoFill="0" autoLine="0" autoPict="0" dde="1">
            <anchor moveWithCells="1">
              <from>
                <xdr:col>19</xdr:col>
                <xdr:colOff>28575</xdr:colOff>
                <xdr:row>36</xdr:row>
                <xdr:rowOff>85725</xdr:rowOff>
              </from>
              <to>
                <xdr:col>19</xdr:col>
                <xdr:colOff>276225</xdr:colOff>
                <xdr:row>36</xdr:row>
                <xdr:rowOff>276225</xdr:rowOff>
              </to>
            </anchor>
          </objectPr>
        </oleObject>
      </mc:Choice>
    </mc:AlternateContent>
    <mc:AlternateContent xmlns:mc="http://schemas.openxmlformats.org/markup-compatibility/2006">
      <mc:Choice Requires="x14">
        <oleObject shapeId="5247">
          <objectPr defaultSize="0" autoFill="0" autoPict="0" dde="1">
            <anchor moveWithCells="1">
              <from>
                <xdr:col>19</xdr:col>
                <xdr:colOff>0</xdr:colOff>
                <xdr:row>47</xdr:row>
                <xdr:rowOff>0</xdr:rowOff>
              </from>
              <to>
                <xdr:col>24</xdr:col>
                <xdr:colOff>9525</xdr:colOff>
                <xdr:row>48</xdr:row>
                <xdr:rowOff>9525</xdr:rowOff>
              </to>
            </anchor>
          </objectPr>
        </oleObject>
      </mc:Choice>
    </mc:AlternateContent>
    <mc:AlternateContent xmlns:mc="http://schemas.openxmlformats.org/markup-compatibility/2006">
      <mc:Choice Requires="x14">
        <oleObject shapeId="5250">
          <objectPr defaultSize="0" autoFill="0" autoLine="0" autoPict="0" dde="1">
            <anchor moveWithCells="1">
              <from>
                <xdr:col>19</xdr:col>
                <xdr:colOff>28575</xdr:colOff>
                <xdr:row>47</xdr:row>
                <xdr:rowOff>276225</xdr:rowOff>
              </from>
              <to>
                <xdr:col>19</xdr:col>
                <xdr:colOff>276225</xdr:colOff>
                <xdr:row>47</xdr:row>
                <xdr:rowOff>466725</xdr:rowOff>
              </to>
            </anchor>
          </objectPr>
        </oleObject>
      </mc:Choice>
    </mc:AlternateContent>
    <mc:AlternateContent xmlns:mc="http://schemas.openxmlformats.org/markup-compatibility/2006">
      <mc:Choice Requires="x14">
        <oleObject shapeId="5251">
          <objectPr defaultSize="0" autoFill="0" autoLine="0" autoPict="0" dde="1">
            <anchor moveWithCells="1">
              <from>
                <xdr:col>19</xdr:col>
                <xdr:colOff>28575</xdr:colOff>
                <xdr:row>48</xdr:row>
                <xdr:rowOff>276225</xdr:rowOff>
              </from>
              <to>
                <xdr:col>19</xdr:col>
                <xdr:colOff>276225</xdr:colOff>
                <xdr:row>48</xdr:row>
                <xdr:rowOff>466725</xdr:rowOff>
              </to>
            </anchor>
          </objectPr>
        </oleObject>
      </mc:Choice>
    </mc:AlternateContent>
    <mc:AlternateContent xmlns:mc="http://schemas.openxmlformats.org/markup-compatibility/2006">
      <mc:Choice Requires="x14">
        <oleObject shapeId="5252">
          <objectPr defaultSize="0" autoFill="0" autoLine="0" autoPict="0" dde="1">
            <anchor moveWithCells="1">
              <from>
                <xdr:col>19</xdr:col>
                <xdr:colOff>28575</xdr:colOff>
                <xdr:row>49</xdr:row>
                <xdr:rowOff>276225</xdr:rowOff>
              </from>
              <to>
                <xdr:col>19</xdr:col>
                <xdr:colOff>276225</xdr:colOff>
                <xdr:row>49</xdr:row>
                <xdr:rowOff>466725</xdr:rowOff>
              </to>
            </anchor>
          </objectPr>
        </oleObject>
      </mc:Choice>
    </mc:AlternateContent>
    <mc:AlternateContent xmlns:mc="http://schemas.openxmlformats.org/markup-compatibility/2006">
      <mc:Choice Requires="x14">
        <oleObject shapeId="5267">
          <objectPr defaultSize="0" autoFill="0" autoPict="0" dde="1">
            <anchor moveWithCells="1">
              <from>
                <xdr:col>19</xdr:col>
                <xdr:colOff>0</xdr:colOff>
                <xdr:row>62</xdr:row>
                <xdr:rowOff>0</xdr:rowOff>
              </from>
              <to>
                <xdr:col>24</xdr:col>
                <xdr:colOff>9525</xdr:colOff>
                <xdr:row>63</xdr:row>
                <xdr:rowOff>0</xdr:rowOff>
              </to>
            </anchor>
          </objectPr>
        </oleObject>
      </mc:Choice>
    </mc:AlternateContent>
    <mc:AlternateContent xmlns:mc="http://schemas.openxmlformats.org/markup-compatibility/2006">
      <mc:Choice Requires="x14">
        <oleObject shapeId="5269">
          <objectPr defaultSize="0" autoFill="0" autoLine="0" autoPict="0">
            <anchor moveWithCells="1">
              <from>
                <xdr:col>19</xdr:col>
                <xdr:colOff>28575</xdr:colOff>
                <xdr:row>60</xdr:row>
                <xdr:rowOff>552450</xdr:rowOff>
              </from>
              <to>
                <xdr:col>19</xdr:col>
                <xdr:colOff>276225</xdr:colOff>
                <xdr:row>60</xdr:row>
                <xdr:rowOff>752475</xdr:rowOff>
              </to>
            </anchor>
          </objectPr>
        </oleObject>
      </mc:Choice>
    </mc:AlternateContent>
    <mc:AlternateContent xmlns:mc="http://schemas.openxmlformats.org/markup-compatibility/2006">
      <mc:Choice Requires="x14">
        <oleObject shapeId="5271">
          <objectPr defaultSize="0" autoFill="0" autoLine="0" autoPict="0">
            <anchor moveWithCells="1">
              <from>
                <xdr:col>19</xdr:col>
                <xdr:colOff>28575</xdr:colOff>
                <xdr:row>61</xdr:row>
                <xdr:rowOff>552450</xdr:rowOff>
              </from>
              <to>
                <xdr:col>19</xdr:col>
                <xdr:colOff>276225</xdr:colOff>
                <xdr:row>61</xdr:row>
                <xdr:rowOff>752475</xdr:rowOff>
              </to>
            </anchor>
          </objectPr>
        </oleObject>
      </mc:Choice>
    </mc:AlternateContent>
    <mc:AlternateContent xmlns:mc="http://schemas.openxmlformats.org/markup-compatibility/2006">
      <mc:Choice Requires="x14">
        <oleObject shapeId="5272">
          <objectPr defaultSize="0" autoFill="0" autoLine="0" autoPict="0">
            <anchor moveWithCells="1">
              <from>
                <xdr:col>19</xdr:col>
                <xdr:colOff>28575</xdr:colOff>
                <xdr:row>62</xdr:row>
                <xdr:rowOff>552450</xdr:rowOff>
              </from>
              <to>
                <xdr:col>19</xdr:col>
                <xdr:colOff>276225</xdr:colOff>
                <xdr:row>62</xdr:row>
                <xdr:rowOff>752475</xdr:rowOff>
              </to>
            </anchor>
          </objectPr>
        </oleObject>
      </mc:Choice>
    </mc:AlternateContent>
    <mc:AlternateContent xmlns:mc="http://schemas.openxmlformats.org/markup-compatibility/2006">
      <mc:Choice Requires="x14">
        <oleObject shapeId="5420">
          <objectPr defaultSize="0" autoFill="0" autoPict="0" dde="1">
            <anchor moveWithCells="1">
              <from>
                <xdr:col>19</xdr:col>
                <xdr:colOff>0</xdr:colOff>
                <xdr:row>257</xdr:row>
                <xdr:rowOff>9525</xdr:rowOff>
              </from>
              <to>
                <xdr:col>24</xdr:col>
                <xdr:colOff>0</xdr:colOff>
                <xdr:row>263</xdr:row>
                <xdr:rowOff>0</xdr:rowOff>
              </to>
            </anchor>
          </objectPr>
        </oleObject>
      </mc:Choice>
    </mc:AlternateContent>
    <mc:AlternateContent xmlns:mc="http://schemas.openxmlformats.org/markup-compatibility/2006">
      <mc:Choice Requires="x14">
        <oleObject shapeId="5425">
          <objectPr defaultSize="0" autoFill="0" autoLine="0" autoPict="0">
            <anchor moveWithCells="1">
              <from>
                <xdr:col>19</xdr:col>
                <xdr:colOff>38100</xdr:colOff>
                <xdr:row>241</xdr:row>
                <xdr:rowOff>104775</xdr:rowOff>
              </from>
              <to>
                <xdr:col>19</xdr:col>
                <xdr:colOff>276225</xdr:colOff>
                <xdr:row>242</xdr:row>
                <xdr:rowOff>95250</xdr:rowOff>
              </to>
            </anchor>
          </objectPr>
        </oleObject>
      </mc:Choice>
    </mc:AlternateContent>
    <mc:AlternateContent xmlns:mc="http://schemas.openxmlformats.org/markup-compatibility/2006">
      <mc:Choice Requires="x14">
        <oleObject shapeId="5426">
          <objectPr defaultSize="0" autoFill="0" autoLine="0" autoPict="0">
            <anchor moveWithCells="1">
              <from>
                <xdr:col>19</xdr:col>
                <xdr:colOff>38100</xdr:colOff>
                <xdr:row>247</xdr:row>
                <xdr:rowOff>114300</xdr:rowOff>
              </from>
              <to>
                <xdr:col>19</xdr:col>
                <xdr:colOff>276225</xdr:colOff>
                <xdr:row>248</xdr:row>
                <xdr:rowOff>104775</xdr:rowOff>
              </to>
            </anchor>
          </objectPr>
        </oleObject>
      </mc:Choice>
    </mc:AlternateContent>
    <mc:AlternateContent xmlns:mc="http://schemas.openxmlformats.org/markup-compatibility/2006">
      <mc:Choice Requires="x14">
        <oleObject shapeId="5436">
          <objectPr defaultSize="0" autoFill="0" autoLine="0" autoPict="0">
            <anchor moveWithCells="1">
              <from>
                <xdr:col>19</xdr:col>
                <xdr:colOff>28575</xdr:colOff>
                <xdr:row>253</xdr:row>
                <xdr:rowOff>152400</xdr:rowOff>
              </from>
              <to>
                <xdr:col>19</xdr:col>
                <xdr:colOff>266700</xdr:colOff>
                <xdr:row>254</xdr:row>
                <xdr:rowOff>142875</xdr:rowOff>
              </to>
            </anchor>
          </objectPr>
        </oleObject>
      </mc:Choice>
    </mc:AlternateContent>
    <mc:AlternateContent xmlns:mc="http://schemas.openxmlformats.org/markup-compatibility/2006">
      <mc:Choice Requires="x14">
        <oleObject shapeId="5437">
          <objectPr defaultSize="0" autoFill="0" autoLine="0" autoPict="0">
            <anchor moveWithCells="1">
              <from>
                <xdr:col>19</xdr:col>
                <xdr:colOff>38100</xdr:colOff>
                <xdr:row>259</xdr:row>
                <xdr:rowOff>152400</xdr:rowOff>
              </from>
              <to>
                <xdr:col>19</xdr:col>
                <xdr:colOff>276225</xdr:colOff>
                <xdr:row>260</xdr:row>
                <xdr:rowOff>142875</xdr:rowOff>
              </to>
            </anchor>
          </objectPr>
        </oleObject>
      </mc:Choice>
    </mc:AlternateContent>
    <mc:AlternateContent xmlns:mc="http://schemas.openxmlformats.org/markup-compatibility/2006">
      <mc:Choice Requires="x14">
        <oleObject shapeId="5438">
          <objectPr defaultSize="0" autoFill="0" autoLine="0" autoPict="0">
            <anchor moveWithCells="1">
              <from>
                <xdr:col>19</xdr:col>
                <xdr:colOff>38100</xdr:colOff>
                <xdr:row>265</xdr:row>
                <xdr:rowOff>161925</xdr:rowOff>
              </from>
              <to>
                <xdr:col>19</xdr:col>
                <xdr:colOff>276225</xdr:colOff>
                <xdr:row>266</xdr:row>
                <xdr:rowOff>161925</xdr:rowOff>
              </to>
            </anchor>
          </objectPr>
        </oleObject>
      </mc:Choice>
    </mc:AlternateContent>
    <mc:AlternateContent xmlns:mc="http://schemas.openxmlformats.org/markup-compatibility/2006">
      <mc:Choice Requires="x14">
        <oleObject shapeId="5439">
          <objectPr defaultSize="0" autoFill="0" autoLine="0" autoPict="0">
            <anchor moveWithCells="1">
              <from>
                <xdr:col>19</xdr:col>
                <xdr:colOff>38100</xdr:colOff>
                <xdr:row>271</xdr:row>
                <xdr:rowOff>152400</xdr:rowOff>
              </from>
              <to>
                <xdr:col>19</xdr:col>
                <xdr:colOff>276225</xdr:colOff>
                <xdr:row>272</xdr:row>
                <xdr:rowOff>142875</xdr:rowOff>
              </to>
            </anchor>
          </objectPr>
        </oleObject>
      </mc:Choice>
    </mc:AlternateContent>
    <mc:AlternateContent xmlns:mc="http://schemas.openxmlformats.org/markup-compatibility/2006">
      <mc:Choice Requires="x14">
        <oleObject shapeId="5441">
          <objectPr defaultSize="0" autoFill="0" autoLine="0" autoPict="0">
            <anchor moveWithCells="1">
              <from>
                <xdr:col>19</xdr:col>
                <xdr:colOff>38100</xdr:colOff>
                <xdr:row>277</xdr:row>
                <xdr:rowOff>114300</xdr:rowOff>
              </from>
              <to>
                <xdr:col>19</xdr:col>
                <xdr:colOff>276225</xdr:colOff>
                <xdr:row>278</xdr:row>
                <xdr:rowOff>104775</xdr:rowOff>
              </to>
            </anchor>
          </objectPr>
        </oleObject>
      </mc:Choice>
    </mc:AlternateContent>
    <mc:AlternateContent xmlns:mc="http://schemas.openxmlformats.org/markup-compatibility/2006">
      <mc:Choice Requires="x14">
        <oleObject shapeId="5466">
          <objectPr defaultSize="0" autoFill="0" autoPict="0" dde="1">
            <anchor moveWithCells="1">
              <from>
                <xdr:col>19</xdr:col>
                <xdr:colOff>0</xdr:colOff>
                <xdr:row>287</xdr:row>
                <xdr:rowOff>9525</xdr:rowOff>
              </from>
              <to>
                <xdr:col>24</xdr:col>
                <xdr:colOff>0</xdr:colOff>
                <xdr:row>292</xdr:row>
                <xdr:rowOff>180975</xdr:rowOff>
              </to>
            </anchor>
          </objectPr>
        </oleObject>
      </mc:Choice>
    </mc:AlternateContent>
    <mc:AlternateContent xmlns:mc="http://schemas.openxmlformats.org/markup-compatibility/2006">
      <mc:Choice Requires="x14">
        <oleObject shapeId="5469">
          <objectPr defaultSize="0" autoFill="0" autoPict="0" dde="1">
            <anchor moveWithCells="1">
              <from>
                <xdr:col>19</xdr:col>
                <xdr:colOff>0</xdr:colOff>
                <xdr:row>305</xdr:row>
                <xdr:rowOff>9525</xdr:rowOff>
              </from>
              <to>
                <xdr:col>24</xdr:col>
                <xdr:colOff>0</xdr:colOff>
                <xdr:row>305</xdr:row>
                <xdr:rowOff>1085850</xdr:rowOff>
              </to>
            </anchor>
          </objectPr>
        </oleObject>
      </mc:Choice>
    </mc:AlternateContent>
    <mc:AlternateContent xmlns:mc="http://schemas.openxmlformats.org/markup-compatibility/2006">
      <mc:Choice Requires="x14">
        <oleObject shapeId="5475">
          <objectPr defaultSize="0" autoFill="0" autoLine="0" autoPict="0">
            <anchor moveWithCells="1">
              <from>
                <xdr:col>19</xdr:col>
                <xdr:colOff>38100</xdr:colOff>
                <xdr:row>301</xdr:row>
                <xdr:rowOff>133350</xdr:rowOff>
              </from>
              <to>
                <xdr:col>19</xdr:col>
                <xdr:colOff>276225</xdr:colOff>
                <xdr:row>302</xdr:row>
                <xdr:rowOff>152400</xdr:rowOff>
              </to>
            </anchor>
          </objectPr>
        </oleObject>
      </mc:Choice>
    </mc:AlternateContent>
    <mc:AlternateContent xmlns:mc="http://schemas.openxmlformats.org/markup-compatibility/2006">
      <mc:Choice Requires="x14">
        <oleObject shapeId="5511">
          <objectPr defaultSize="0" autoFill="0" autoPict="0" dde="1">
            <anchor moveWithCells="1">
              <from>
                <xdr:col>19</xdr:col>
                <xdr:colOff>0</xdr:colOff>
                <xdr:row>339</xdr:row>
                <xdr:rowOff>9525</xdr:rowOff>
              </from>
              <to>
                <xdr:col>24</xdr:col>
                <xdr:colOff>0</xdr:colOff>
                <xdr:row>345</xdr:row>
                <xdr:rowOff>0</xdr:rowOff>
              </to>
            </anchor>
          </objectPr>
        </oleObject>
      </mc:Choice>
    </mc:AlternateContent>
    <mc:AlternateContent xmlns:mc="http://schemas.openxmlformats.org/markup-compatibility/2006">
      <mc:Choice Requires="x14">
        <oleObject shapeId="5515">
          <objectPr defaultSize="0" autoFill="0" autoPict="0" dde="1">
            <anchor moveWithCells="1">
              <from>
                <xdr:col>19</xdr:col>
                <xdr:colOff>0</xdr:colOff>
                <xdr:row>351</xdr:row>
                <xdr:rowOff>9525</xdr:rowOff>
              </from>
              <to>
                <xdr:col>24</xdr:col>
                <xdr:colOff>0</xdr:colOff>
                <xdr:row>357</xdr:row>
                <xdr:rowOff>0</xdr:rowOff>
              </to>
            </anchor>
          </objectPr>
        </oleObject>
      </mc:Choice>
    </mc:AlternateContent>
    <mc:AlternateContent xmlns:mc="http://schemas.openxmlformats.org/markup-compatibility/2006">
      <mc:Choice Requires="x14">
        <oleObject shapeId="5516">
          <objectPr defaultSize="0" autoFill="0" autoPict="0" dde="1">
            <anchor moveWithCells="1">
              <from>
                <xdr:col>19</xdr:col>
                <xdr:colOff>0</xdr:colOff>
                <xdr:row>357</xdr:row>
                <xdr:rowOff>9525</xdr:rowOff>
              </from>
              <to>
                <xdr:col>24</xdr:col>
                <xdr:colOff>0</xdr:colOff>
                <xdr:row>363</xdr:row>
                <xdr:rowOff>0</xdr:rowOff>
              </to>
            </anchor>
          </objectPr>
        </oleObject>
      </mc:Choice>
    </mc:AlternateContent>
    <mc:AlternateContent xmlns:mc="http://schemas.openxmlformats.org/markup-compatibility/2006">
      <mc:Choice Requires="x14">
        <oleObject shapeId="5571">
          <objectPr defaultSize="0" autoFill="0" autoLine="0" autoPict="0" dde="1">
            <anchor moveWithCells="1">
              <from>
                <xdr:col>19</xdr:col>
                <xdr:colOff>38100</xdr:colOff>
                <xdr:row>323</xdr:row>
                <xdr:rowOff>85725</xdr:rowOff>
              </from>
              <to>
                <xdr:col>19</xdr:col>
                <xdr:colOff>276225</xdr:colOff>
                <xdr:row>324</xdr:row>
                <xdr:rowOff>95250</xdr:rowOff>
              </to>
            </anchor>
          </objectPr>
        </oleObject>
      </mc:Choice>
    </mc:AlternateContent>
    <mc:AlternateContent xmlns:mc="http://schemas.openxmlformats.org/markup-compatibility/2006">
      <mc:Choice Requires="x14">
        <oleObject shapeId="5662">
          <objectPr defaultSize="0" autoFill="0" autoPict="0" dde="1">
            <anchor moveWithCells="1">
              <from>
                <xdr:col>19</xdr:col>
                <xdr:colOff>0</xdr:colOff>
                <xdr:row>436</xdr:row>
                <xdr:rowOff>0</xdr:rowOff>
              </from>
              <to>
                <xdr:col>23</xdr:col>
                <xdr:colOff>276225</xdr:colOff>
                <xdr:row>443</xdr:row>
                <xdr:rowOff>0</xdr:rowOff>
              </to>
            </anchor>
          </objectPr>
        </oleObject>
      </mc:Choice>
    </mc:AlternateContent>
    <mc:AlternateContent xmlns:mc="http://schemas.openxmlformats.org/markup-compatibility/2006">
      <mc:Choice Requires="x14">
        <oleObject shapeId="5669">
          <objectPr defaultSize="0" autoFill="0" autoPict="0" dde="1">
            <anchor moveWithCells="1">
              <from>
                <xdr:col>19</xdr:col>
                <xdr:colOff>0</xdr:colOff>
                <xdr:row>443</xdr:row>
                <xdr:rowOff>0</xdr:rowOff>
              </from>
              <to>
                <xdr:col>23</xdr:col>
                <xdr:colOff>276225</xdr:colOff>
                <xdr:row>449</xdr:row>
                <xdr:rowOff>200025</xdr:rowOff>
              </to>
            </anchor>
          </objectPr>
        </oleObject>
      </mc:Choice>
    </mc:AlternateContent>
    <mc:AlternateContent xmlns:mc="http://schemas.openxmlformats.org/markup-compatibility/2006">
      <mc:Choice Requires="x14">
        <oleObject shapeId="5674">
          <objectPr defaultSize="0" autoFill="0" autoPict="0" dde="1">
            <anchor moveWithCells="1">
              <from>
                <xdr:col>19</xdr:col>
                <xdr:colOff>0</xdr:colOff>
                <xdr:row>452</xdr:row>
                <xdr:rowOff>0</xdr:rowOff>
              </from>
              <to>
                <xdr:col>23</xdr:col>
                <xdr:colOff>276225</xdr:colOff>
                <xdr:row>453</xdr:row>
                <xdr:rowOff>0</xdr:rowOff>
              </to>
            </anchor>
          </objectPr>
        </oleObject>
      </mc:Choice>
    </mc:AlternateContent>
    <mc:AlternateContent xmlns:mc="http://schemas.openxmlformats.org/markup-compatibility/2006">
      <mc:Choice Requires="x14">
        <oleObject shapeId="5683">
          <objectPr defaultSize="0" autoFill="0" autoPict="0" dde="1">
            <anchor moveWithCells="1">
              <from>
                <xdr:col>19</xdr:col>
                <xdr:colOff>0</xdr:colOff>
                <xdr:row>522</xdr:row>
                <xdr:rowOff>0</xdr:rowOff>
              </from>
              <to>
                <xdr:col>23</xdr:col>
                <xdr:colOff>276225</xdr:colOff>
                <xdr:row>527</xdr:row>
                <xdr:rowOff>152400</xdr:rowOff>
              </to>
            </anchor>
          </objectPr>
        </oleObject>
      </mc:Choice>
    </mc:AlternateContent>
    <mc:AlternateContent xmlns:mc="http://schemas.openxmlformats.org/markup-compatibility/2006">
      <mc:Choice Requires="x14">
        <oleObject shapeId="5686">
          <objectPr defaultSize="0" autoFill="0" autoPict="0" dde="1">
            <anchor moveWithCells="1">
              <from>
                <xdr:col>19</xdr:col>
                <xdr:colOff>0</xdr:colOff>
                <xdr:row>546</xdr:row>
                <xdr:rowOff>0</xdr:rowOff>
              </from>
              <to>
                <xdr:col>23</xdr:col>
                <xdr:colOff>276225</xdr:colOff>
                <xdr:row>552</xdr:row>
                <xdr:rowOff>0</xdr:rowOff>
              </to>
            </anchor>
          </objectPr>
        </oleObject>
      </mc:Choice>
    </mc:AlternateContent>
    <mc:AlternateContent xmlns:mc="http://schemas.openxmlformats.org/markup-compatibility/2006">
      <mc:Choice Requires="x14">
        <oleObject shapeId="5688">
          <objectPr defaultSize="0" autoFill="0" autoPict="0" dde="1">
            <anchor moveWithCells="1">
              <from>
                <xdr:col>19</xdr:col>
                <xdr:colOff>0</xdr:colOff>
                <xdr:row>558</xdr:row>
                <xdr:rowOff>0</xdr:rowOff>
              </from>
              <to>
                <xdr:col>23</xdr:col>
                <xdr:colOff>276225</xdr:colOff>
                <xdr:row>564</xdr:row>
                <xdr:rowOff>0</xdr:rowOff>
              </to>
            </anchor>
          </objectPr>
        </oleObject>
      </mc:Choice>
    </mc:AlternateContent>
    <mc:AlternateContent xmlns:mc="http://schemas.openxmlformats.org/markup-compatibility/2006">
      <mc:Choice Requires="x14">
        <oleObject shapeId="5708">
          <objectPr defaultSize="0" autoFill="0" autoLine="0" autoPict="0">
            <anchor moveWithCells="1">
              <from>
                <xdr:col>19</xdr:col>
                <xdr:colOff>38100</xdr:colOff>
                <xdr:row>501</xdr:row>
                <xdr:rowOff>457200</xdr:rowOff>
              </from>
              <to>
                <xdr:col>19</xdr:col>
                <xdr:colOff>276225</xdr:colOff>
                <xdr:row>502</xdr:row>
                <xdr:rowOff>104775</xdr:rowOff>
              </to>
            </anchor>
          </objectPr>
        </oleObject>
      </mc:Choice>
    </mc:AlternateContent>
    <mc:AlternateContent xmlns:mc="http://schemas.openxmlformats.org/markup-compatibility/2006">
      <mc:Choice Requires="x14">
        <oleObject shapeId="5709">
          <objectPr defaultSize="0" autoFill="0" autoLine="0" autoPict="0">
            <anchor moveWithCells="1">
              <from>
                <xdr:col>19</xdr:col>
                <xdr:colOff>38100</xdr:colOff>
                <xdr:row>512</xdr:row>
                <xdr:rowOff>66675</xdr:rowOff>
              </from>
              <to>
                <xdr:col>19</xdr:col>
                <xdr:colOff>276225</xdr:colOff>
                <xdr:row>513</xdr:row>
                <xdr:rowOff>85725</xdr:rowOff>
              </to>
            </anchor>
          </objectPr>
        </oleObject>
      </mc:Choice>
    </mc:AlternateContent>
    <mc:AlternateContent xmlns:mc="http://schemas.openxmlformats.org/markup-compatibility/2006">
      <mc:Choice Requires="x14">
        <oleObject shapeId="5710">
          <objectPr defaultSize="0" autoFill="0" autoLine="0" autoPict="0">
            <anchor moveWithCells="1">
              <from>
                <xdr:col>19</xdr:col>
                <xdr:colOff>38100</xdr:colOff>
                <xdr:row>518</xdr:row>
                <xdr:rowOff>114300</xdr:rowOff>
              </from>
              <to>
                <xdr:col>19</xdr:col>
                <xdr:colOff>276225</xdr:colOff>
                <xdr:row>519</xdr:row>
                <xdr:rowOff>133350</xdr:rowOff>
              </to>
            </anchor>
          </objectPr>
        </oleObject>
      </mc:Choice>
    </mc:AlternateContent>
    <mc:AlternateContent xmlns:mc="http://schemas.openxmlformats.org/markup-compatibility/2006">
      <mc:Choice Requires="x14">
        <oleObject shapeId="5711">
          <objectPr defaultSize="0" autoFill="0" autoLine="0" autoPict="0">
            <anchor moveWithCells="1">
              <from>
                <xdr:col>19</xdr:col>
                <xdr:colOff>38100</xdr:colOff>
                <xdr:row>524</xdr:row>
                <xdr:rowOff>57150</xdr:rowOff>
              </from>
              <to>
                <xdr:col>19</xdr:col>
                <xdr:colOff>276225</xdr:colOff>
                <xdr:row>525</xdr:row>
                <xdr:rowOff>85725</xdr:rowOff>
              </to>
            </anchor>
          </objectPr>
        </oleObject>
      </mc:Choice>
    </mc:AlternateContent>
    <mc:AlternateContent xmlns:mc="http://schemas.openxmlformats.org/markup-compatibility/2006">
      <mc:Choice Requires="x14">
        <oleObject shapeId="5712">
          <objectPr defaultSize="0" autoFill="0" autoLine="0" autoPict="0">
            <anchor moveWithCells="1">
              <from>
                <xdr:col>19</xdr:col>
                <xdr:colOff>38100</xdr:colOff>
                <xdr:row>536</xdr:row>
                <xdr:rowOff>76200</xdr:rowOff>
              </from>
              <to>
                <xdr:col>19</xdr:col>
                <xdr:colOff>276225</xdr:colOff>
                <xdr:row>537</xdr:row>
                <xdr:rowOff>57150</xdr:rowOff>
              </to>
            </anchor>
          </objectPr>
        </oleObject>
      </mc:Choice>
    </mc:AlternateContent>
    <mc:AlternateContent xmlns:mc="http://schemas.openxmlformats.org/markup-compatibility/2006">
      <mc:Choice Requires="x14">
        <oleObject shapeId="5713">
          <objectPr defaultSize="0" autoFill="0" autoLine="0" autoPict="0">
            <anchor moveWithCells="1">
              <from>
                <xdr:col>19</xdr:col>
                <xdr:colOff>38100</xdr:colOff>
                <xdr:row>542</xdr:row>
                <xdr:rowOff>66675</xdr:rowOff>
              </from>
              <to>
                <xdr:col>19</xdr:col>
                <xdr:colOff>276225</xdr:colOff>
                <xdr:row>543</xdr:row>
                <xdr:rowOff>57150</xdr:rowOff>
              </to>
            </anchor>
          </objectPr>
        </oleObject>
      </mc:Choice>
    </mc:AlternateContent>
    <mc:AlternateContent xmlns:mc="http://schemas.openxmlformats.org/markup-compatibility/2006">
      <mc:Choice Requires="x14">
        <oleObject shapeId="5714">
          <objectPr defaultSize="0" autoFill="0" autoLine="0" autoPict="0">
            <anchor moveWithCells="1">
              <from>
                <xdr:col>19</xdr:col>
                <xdr:colOff>38100</xdr:colOff>
                <xdr:row>548</xdr:row>
                <xdr:rowOff>76200</xdr:rowOff>
              </from>
              <to>
                <xdr:col>19</xdr:col>
                <xdr:colOff>276225</xdr:colOff>
                <xdr:row>549</xdr:row>
                <xdr:rowOff>57150</xdr:rowOff>
              </to>
            </anchor>
          </objectPr>
        </oleObject>
      </mc:Choice>
    </mc:AlternateContent>
    <mc:AlternateContent xmlns:mc="http://schemas.openxmlformats.org/markup-compatibility/2006">
      <mc:Choice Requires="x14">
        <oleObject shapeId="5148">
          <objectPr defaultSize="0" autoFill="0" autoPict="0" dde="1">
            <anchor moveWithCells="1">
              <from>
                <xdr:col>19</xdr:col>
                <xdr:colOff>0</xdr:colOff>
                <xdr:row>23</xdr:row>
                <xdr:rowOff>0</xdr:rowOff>
              </from>
              <to>
                <xdr:col>24</xdr:col>
                <xdr:colOff>9525</xdr:colOff>
                <xdr:row>24</xdr:row>
                <xdr:rowOff>9525</xdr:rowOff>
              </to>
            </anchor>
          </objectPr>
        </oleObject>
      </mc:Choice>
    </mc:AlternateContent>
    <mc:AlternateContent xmlns:mc="http://schemas.openxmlformats.org/markup-compatibility/2006">
      <mc:Choice Requires="x14">
        <oleObject shapeId="5155">
          <objectPr defaultSize="0" autoFill="0" autoPict="0" dde="1">
            <anchor moveWithCells="1">
              <from>
                <xdr:col>19</xdr:col>
                <xdr:colOff>0</xdr:colOff>
                <xdr:row>30</xdr:row>
                <xdr:rowOff>0</xdr:rowOff>
              </from>
              <to>
                <xdr:col>24</xdr:col>
                <xdr:colOff>9525</xdr:colOff>
                <xdr:row>31</xdr:row>
                <xdr:rowOff>9525</xdr:rowOff>
              </to>
            </anchor>
          </objectPr>
        </oleObject>
      </mc:Choice>
    </mc:AlternateContent>
    <mc:AlternateContent xmlns:mc="http://schemas.openxmlformats.org/markup-compatibility/2006">
      <mc:Choice Requires="x14">
        <oleObject shapeId="5158">
          <objectPr defaultSize="0" autoFill="0" autoPict="0" dde="1">
            <anchor moveWithCells="1">
              <from>
                <xdr:col>19</xdr:col>
                <xdr:colOff>0</xdr:colOff>
                <xdr:row>33</xdr:row>
                <xdr:rowOff>0</xdr:rowOff>
              </from>
              <to>
                <xdr:col>24</xdr:col>
                <xdr:colOff>9525</xdr:colOff>
                <xdr:row>34</xdr:row>
                <xdr:rowOff>9525</xdr:rowOff>
              </to>
            </anchor>
          </objectPr>
        </oleObject>
      </mc:Choice>
    </mc:AlternateContent>
    <mc:AlternateContent xmlns:mc="http://schemas.openxmlformats.org/markup-compatibility/2006">
      <mc:Choice Requires="x14">
        <oleObject shapeId="5241">
          <objectPr defaultSize="0" autoFill="0" autoPict="0" dde="1">
            <anchor moveWithCells="1">
              <from>
                <xdr:col>19</xdr:col>
                <xdr:colOff>0</xdr:colOff>
                <xdr:row>36</xdr:row>
                <xdr:rowOff>0</xdr:rowOff>
              </from>
              <to>
                <xdr:col>24</xdr:col>
                <xdr:colOff>19050</xdr:colOff>
                <xdr:row>37</xdr:row>
                <xdr:rowOff>19050</xdr:rowOff>
              </to>
            </anchor>
          </objectPr>
        </oleObject>
      </mc:Choice>
    </mc:AlternateContent>
    <mc:AlternateContent xmlns:mc="http://schemas.openxmlformats.org/markup-compatibility/2006">
      <mc:Choice Requires="x14">
        <oleObject shapeId="5249">
          <objectPr defaultSize="0" autoFill="0" autoPict="0" dde="1">
            <anchor moveWithCells="1">
              <from>
                <xdr:col>19</xdr:col>
                <xdr:colOff>0</xdr:colOff>
                <xdr:row>49</xdr:row>
                <xdr:rowOff>0</xdr:rowOff>
              </from>
              <to>
                <xdr:col>24</xdr:col>
                <xdr:colOff>9525</xdr:colOff>
                <xdr:row>50</xdr:row>
                <xdr:rowOff>9525</xdr:rowOff>
              </to>
            </anchor>
          </objectPr>
        </oleObject>
      </mc:Choice>
    </mc:AlternateContent>
    <mc:AlternateContent xmlns:mc="http://schemas.openxmlformats.org/markup-compatibility/2006">
      <mc:Choice Requires="x14">
        <oleObject shapeId="5419">
          <objectPr defaultSize="0" autoFill="0" autoPict="0" dde="1">
            <anchor moveWithCells="1">
              <from>
                <xdr:col>19</xdr:col>
                <xdr:colOff>0</xdr:colOff>
                <xdr:row>251</xdr:row>
                <xdr:rowOff>9525</xdr:rowOff>
              </from>
              <to>
                <xdr:col>24</xdr:col>
                <xdr:colOff>0</xdr:colOff>
                <xdr:row>257</xdr:row>
                <xdr:rowOff>0</xdr:rowOff>
              </to>
            </anchor>
          </objectPr>
        </oleObject>
      </mc:Choice>
    </mc:AlternateContent>
    <mc:AlternateContent xmlns:mc="http://schemas.openxmlformats.org/markup-compatibility/2006">
      <mc:Choice Requires="x14">
        <oleObject shapeId="5422">
          <objectPr defaultSize="0" autoFill="0" autoPict="0" dde="1">
            <anchor moveWithCells="1">
              <from>
                <xdr:col>19</xdr:col>
                <xdr:colOff>0</xdr:colOff>
                <xdr:row>269</xdr:row>
                <xdr:rowOff>9525</xdr:rowOff>
              </from>
              <to>
                <xdr:col>24</xdr:col>
                <xdr:colOff>0</xdr:colOff>
                <xdr:row>275</xdr:row>
                <xdr:rowOff>0</xdr:rowOff>
              </to>
            </anchor>
          </objectPr>
        </oleObject>
      </mc:Choice>
    </mc:AlternateContent>
    <mc:AlternateContent xmlns:mc="http://schemas.openxmlformats.org/markup-compatibility/2006">
      <mc:Choice Requires="x14">
        <oleObject shapeId="5424">
          <objectPr defaultSize="0" autoFill="0" autoPict="0" dde="1">
            <anchor moveWithCells="1">
              <from>
                <xdr:col>19</xdr:col>
                <xdr:colOff>0</xdr:colOff>
                <xdr:row>275</xdr:row>
                <xdr:rowOff>9525</xdr:rowOff>
              </from>
              <to>
                <xdr:col>24</xdr:col>
                <xdr:colOff>0</xdr:colOff>
                <xdr:row>281</xdr:row>
                <xdr:rowOff>0</xdr:rowOff>
              </to>
            </anchor>
          </objectPr>
        </oleObject>
      </mc:Choice>
    </mc:AlternateContent>
    <mc:AlternateContent xmlns:mc="http://schemas.openxmlformats.org/markup-compatibility/2006">
      <mc:Choice Requires="x14">
        <oleObject shapeId="5514">
          <objectPr defaultSize="0" autoFill="0" autoPict="0" dde="1">
            <anchor moveWithCells="1">
              <from>
                <xdr:col>19</xdr:col>
                <xdr:colOff>0</xdr:colOff>
                <xdr:row>345</xdr:row>
                <xdr:rowOff>9525</xdr:rowOff>
              </from>
              <to>
                <xdr:col>24</xdr:col>
                <xdr:colOff>0</xdr:colOff>
                <xdr:row>351</xdr:row>
                <xdr:rowOff>0</xdr:rowOff>
              </to>
            </anchor>
          </objectPr>
        </oleObject>
      </mc:Choice>
    </mc:AlternateContent>
    <mc:AlternateContent xmlns:mc="http://schemas.openxmlformats.org/markup-compatibility/2006">
      <mc:Choice Requires="x14">
        <oleObject shapeId="5525">
          <objectPr defaultSize="0" autoFill="0" autoPict="0" dde="1">
            <anchor moveWithCells="1">
              <from>
                <xdr:col>19</xdr:col>
                <xdr:colOff>0</xdr:colOff>
                <xdr:row>377</xdr:row>
                <xdr:rowOff>9525</xdr:rowOff>
              </from>
              <to>
                <xdr:col>23</xdr:col>
                <xdr:colOff>276225</xdr:colOff>
                <xdr:row>378</xdr:row>
                <xdr:rowOff>0</xdr:rowOff>
              </to>
            </anchor>
          </objectPr>
        </oleObject>
      </mc:Choice>
    </mc:AlternateContent>
    <mc:AlternateContent xmlns:mc="http://schemas.openxmlformats.org/markup-compatibility/2006">
      <mc:Choice Requires="x14">
        <oleObject shapeId="5526">
          <objectPr defaultSize="0" autoFill="0" autoPict="0" dde="1">
            <anchor moveWithCells="1">
              <from>
                <xdr:col>19</xdr:col>
                <xdr:colOff>0</xdr:colOff>
                <xdr:row>378</xdr:row>
                <xdr:rowOff>9525</xdr:rowOff>
              </from>
              <to>
                <xdr:col>23</xdr:col>
                <xdr:colOff>276225</xdr:colOff>
                <xdr:row>378</xdr:row>
                <xdr:rowOff>971550</xdr:rowOff>
              </to>
            </anchor>
          </objectPr>
        </oleObject>
      </mc:Choice>
    </mc:AlternateContent>
    <mc:AlternateContent xmlns:mc="http://schemas.openxmlformats.org/markup-compatibility/2006">
      <mc:Choice Requires="x14">
        <oleObject shapeId="5548">
          <objectPr defaultSize="0" autoFill="0" autoPict="0" dde="1">
            <anchor moveWithCells="1">
              <from>
                <xdr:col>19</xdr:col>
                <xdr:colOff>0</xdr:colOff>
                <xdr:row>392</xdr:row>
                <xdr:rowOff>9525</xdr:rowOff>
              </from>
              <to>
                <xdr:col>23</xdr:col>
                <xdr:colOff>276225</xdr:colOff>
                <xdr:row>399</xdr:row>
                <xdr:rowOff>0</xdr:rowOff>
              </to>
            </anchor>
          </objectPr>
        </oleObject>
      </mc:Choice>
    </mc:AlternateContent>
    <mc:AlternateContent xmlns:mc="http://schemas.openxmlformats.org/markup-compatibility/2006">
      <mc:Choice Requires="x14">
        <oleObject shapeId="5553">
          <objectPr defaultSize="0" autoFill="0" autoPict="0" dde="1">
            <anchor moveWithCells="1">
              <from>
                <xdr:col>19</xdr:col>
                <xdr:colOff>0</xdr:colOff>
                <xdr:row>420</xdr:row>
                <xdr:rowOff>9525</xdr:rowOff>
              </from>
              <to>
                <xdr:col>23</xdr:col>
                <xdr:colOff>276225</xdr:colOff>
                <xdr:row>427</xdr:row>
                <xdr:rowOff>0</xdr:rowOff>
              </to>
            </anchor>
          </objectPr>
        </oleObject>
      </mc:Choice>
    </mc:AlternateContent>
    <mc:AlternateContent xmlns:mc="http://schemas.openxmlformats.org/markup-compatibility/2006">
      <mc:Choice Requires="x14">
        <oleObject shapeId="5675">
          <objectPr defaultSize="0" autoFill="0" autoPict="0" dde="1">
            <anchor moveWithCells="1">
              <from>
                <xdr:col>19</xdr:col>
                <xdr:colOff>0</xdr:colOff>
                <xdr:row>460</xdr:row>
                <xdr:rowOff>0</xdr:rowOff>
              </from>
              <to>
                <xdr:col>23</xdr:col>
                <xdr:colOff>276225</xdr:colOff>
                <xdr:row>466</xdr:row>
                <xdr:rowOff>9525</xdr:rowOff>
              </to>
            </anchor>
          </objectPr>
        </oleObject>
      </mc:Choice>
    </mc:AlternateContent>
    <mc:AlternateContent xmlns:mc="http://schemas.openxmlformats.org/markup-compatibility/2006">
      <mc:Choice Requires="x14">
        <oleObject shapeId="5677">
          <objectPr defaultSize="0" autoFill="0" autoPict="0" dde="1">
            <anchor moveWithCells="1">
              <from>
                <xdr:col>19</xdr:col>
                <xdr:colOff>0</xdr:colOff>
                <xdr:row>472</xdr:row>
                <xdr:rowOff>0</xdr:rowOff>
              </from>
              <to>
                <xdr:col>23</xdr:col>
                <xdr:colOff>276225</xdr:colOff>
                <xdr:row>478</xdr:row>
                <xdr:rowOff>9525</xdr:rowOff>
              </to>
            </anchor>
          </objectPr>
        </oleObject>
      </mc:Choice>
    </mc:AlternateContent>
    <mc:AlternateContent xmlns:mc="http://schemas.openxmlformats.org/markup-compatibility/2006">
      <mc:Choice Requires="x14">
        <oleObject shapeId="5682">
          <objectPr defaultSize="0" autoFill="0" autoPict="0" dde="1">
            <anchor moveWithCells="1">
              <from>
                <xdr:col>19</xdr:col>
                <xdr:colOff>0</xdr:colOff>
                <xdr:row>516</xdr:row>
                <xdr:rowOff>0</xdr:rowOff>
              </from>
              <to>
                <xdr:col>23</xdr:col>
                <xdr:colOff>276225</xdr:colOff>
                <xdr:row>521</xdr:row>
                <xdr:rowOff>152400</xdr:rowOff>
              </to>
            </anchor>
          </objectPr>
        </oleObject>
      </mc:Choice>
    </mc:AlternateContent>
    <mc:AlternateContent xmlns:mc="http://schemas.openxmlformats.org/markup-compatibility/2006">
      <mc:Choice Requires="x14">
        <oleObject shapeId="5687">
          <objectPr defaultSize="0" autoFill="0" autoPict="0" dde="1">
            <anchor moveWithCells="1">
              <from>
                <xdr:col>19</xdr:col>
                <xdr:colOff>0</xdr:colOff>
                <xdr:row>552</xdr:row>
                <xdr:rowOff>0</xdr:rowOff>
              </from>
              <to>
                <xdr:col>23</xdr:col>
                <xdr:colOff>276225</xdr:colOff>
                <xdr:row>558</xdr:row>
                <xdr:rowOff>0</xdr:rowOff>
              </to>
            </anchor>
          </objectPr>
        </oleObject>
      </mc:Choice>
    </mc:AlternateContent>
    <mc:AlternateContent xmlns:mc="http://schemas.openxmlformats.org/markup-compatibility/2006">
      <mc:Choice Requires="x14">
        <oleObject shapeId="286863">
          <objectPr defaultSize="0" autoFill="0" autoPict="0" dde="1">
            <anchor moveWithCells="1">
              <from>
                <xdr:col>12</xdr:col>
                <xdr:colOff>0</xdr:colOff>
                <xdr:row>170</xdr:row>
                <xdr:rowOff>0</xdr:rowOff>
              </from>
              <to>
                <xdr:col>17</xdr:col>
                <xdr:colOff>0</xdr:colOff>
                <xdr:row>171</xdr:row>
                <xdr:rowOff>0</xdr:rowOff>
              </to>
            </anchor>
          </objectPr>
        </oleObject>
      </mc:Choice>
    </mc:AlternateContent>
    <mc:AlternateContent xmlns:mc="http://schemas.openxmlformats.org/markup-compatibility/2006">
      <mc:Choice Requires="x14">
        <oleObject shapeId="286869">
          <objectPr defaultSize="0" autoFill="0" autoPict="0" dde="1">
            <anchor moveWithCells="1">
              <from>
                <xdr:col>12</xdr:col>
                <xdr:colOff>0</xdr:colOff>
                <xdr:row>171</xdr:row>
                <xdr:rowOff>0</xdr:rowOff>
              </from>
              <to>
                <xdr:col>17</xdr:col>
                <xdr:colOff>0</xdr:colOff>
                <xdr:row>172</xdr:row>
                <xdr:rowOff>0</xdr:rowOff>
              </to>
            </anchor>
          </objectPr>
        </oleObject>
      </mc:Choice>
    </mc:AlternateContent>
    <mc:AlternateContent xmlns:mc="http://schemas.openxmlformats.org/markup-compatibility/2006">
      <mc:Choice Requires="x14">
        <oleObject shapeId="286887">
          <objectPr defaultSize="0" autoFill="0" autoPict="0" dde="1">
            <anchor moveWithCells="1">
              <from>
                <xdr:col>12</xdr:col>
                <xdr:colOff>0</xdr:colOff>
                <xdr:row>174</xdr:row>
                <xdr:rowOff>0</xdr:rowOff>
              </from>
              <to>
                <xdr:col>17</xdr:col>
                <xdr:colOff>0</xdr:colOff>
                <xdr:row>175</xdr:row>
                <xdr:rowOff>0</xdr:rowOff>
              </to>
            </anchor>
          </objectPr>
        </oleObject>
      </mc:Choice>
    </mc:AlternateContent>
    <mc:AlternateContent xmlns:mc="http://schemas.openxmlformats.org/markup-compatibility/2006">
      <mc:Choice Requires="x14">
        <oleObject shapeId="286893">
          <objectPr defaultSize="0" autoFill="0" autoPict="0" dde="1">
            <anchor moveWithCells="1">
              <from>
                <xdr:col>12</xdr:col>
                <xdr:colOff>0</xdr:colOff>
                <xdr:row>175</xdr:row>
                <xdr:rowOff>0</xdr:rowOff>
              </from>
              <to>
                <xdr:col>17</xdr:col>
                <xdr:colOff>0</xdr:colOff>
                <xdr:row>176</xdr:row>
                <xdr:rowOff>0</xdr:rowOff>
              </to>
            </anchor>
          </objectPr>
        </oleObject>
      </mc:Choice>
    </mc:AlternateContent>
    <mc:AlternateContent xmlns:mc="http://schemas.openxmlformats.org/markup-compatibility/2006">
      <mc:Choice Requires="x14">
        <oleObject shapeId="286947">
          <objectPr defaultSize="0" autoFill="0" autoPict="0" dde="1">
            <anchor moveWithCells="1">
              <from>
                <xdr:col>12</xdr:col>
                <xdr:colOff>0</xdr:colOff>
                <xdr:row>75</xdr:row>
                <xdr:rowOff>0</xdr:rowOff>
              </from>
              <to>
                <xdr:col>16</xdr:col>
                <xdr:colOff>638175</xdr:colOff>
                <xdr:row>123</xdr:row>
                <xdr:rowOff>0</xdr:rowOff>
              </to>
            </anchor>
          </objectPr>
        </oleObject>
      </mc:Choice>
    </mc:AlternateContent>
    <mc:AlternateContent xmlns:mc="http://schemas.openxmlformats.org/markup-compatibility/2006">
      <mc:Choice Requires="x14">
        <oleObject shapeId="286953">
          <objectPr defaultSize="0" autoFill="0" autoPict="0" dde="1">
            <anchor moveWithCells="1">
              <from>
                <xdr:col>12</xdr:col>
                <xdr:colOff>0</xdr:colOff>
                <xdr:row>135</xdr:row>
                <xdr:rowOff>0</xdr:rowOff>
              </from>
              <to>
                <xdr:col>16</xdr:col>
                <xdr:colOff>638175</xdr:colOff>
                <xdr:row>158</xdr:row>
                <xdr:rowOff>9525</xdr:rowOff>
              </to>
            </anchor>
          </objectPr>
        </oleObject>
      </mc:Choice>
    </mc:AlternateContent>
    <mc:AlternateContent xmlns:mc="http://schemas.openxmlformats.org/markup-compatibility/2006">
      <mc:Choice Requires="x14">
        <oleObject shapeId="411763">
          <objectPr defaultSize="0" autoFill="0" autoPict="0" dde="1">
            <anchor moveWithCells="1">
              <from>
                <xdr:col>19</xdr:col>
                <xdr:colOff>0</xdr:colOff>
                <xdr:row>189</xdr:row>
                <xdr:rowOff>0</xdr:rowOff>
              </from>
              <to>
                <xdr:col>24</xdr:col>
                <xdr:colOff>0</xdr:colOff>
                <xdr:row>191</xdr:row>
                <xdr:rowOff>0</xdr:rowOff>
              </to>
            </anchor>
          </objectPr>
        </oleObject>
      </mc:Choice>
    </mc:AlternateContent>
    <mc:AlternateContent xmlns:mc="http://schemas.openxmlformats.org/markup-compatibility/2006">
      <mc:Choice Requires="x14">
        <oleObject shapeId="471598">
          <objectPr defaultSize="0" autoFill="0" autoPict="0" dde="1">
            <anchor moveWithCells="1">
              <from>
                <xdr:col>12</xdr:col>
                <xdr:colOff>0</xdr:colOff>
                <xdr:row>177</xdr:row>
                <xdr:rowOff>0</xdr:rowOff>
              </from>
              <to>
                <xdr:col>17</xdr:col>
                <xdr:colOff>0</xdr:colOff>
                <xdr:row>178</xdr:row>
                <xdr:rowOff>0</xdr:rowOff>
              </to>
            </anchor>
          </objectPr>
        </oleObject>
      </mc:Choice>
    </mc:AlternateContent>
    <mc:AlternateContent xmlns:mc="http://schemas.openxmlformats.org/markup-compatibility/2006">
      <mc:Choice Requires="x14">
        <oleObject shapeId="602430">
          <objectPr defaultSize="0" autoFill="0" autoPict="0" dde="1">
            <anchor moveWithCells="1">
              <from>
                <xdr:col>11</xdr:col>
                <xdr:colOff>0</xdr:colOff>
                <xdr:row>226</xdr:row>
                <xdr:rowOff>9525</xdr:rowOff>
              </from>
              <to>
                <xdr:col>16</xdr:col>
                <xdr:colOff>0</xdr:colOff>
                <xdr:row>226</xdr:row>
                <xdr:rowOff>381000</xdr:rowOff>
              </to>
            </anchor>
          </objectPr>
        </oleObject>
      </mc:Choice>
    </mc:AlternateContent>
    <mc:AlternateContent xmlns:mc="http://schemas.openxmlformats.org/markup-compatibility/2006">
      <mc:Choice Requires="x14">
        <oleObject shapeId="602455">
          <objectPr defaultSize="0" autoFill="0" autoPict="0" dde="1">
            <anchor moveWithCells="1">
              <from>
                <xdr:col>11</xdr:col>
                <xdr:colOff>0</xdr:colOff>
                <xdr:row>214</xdr:row>
                <xdr:rowOff>171450</xdr:rowOff>
              </from>
              <to>
                <xdr:col>16</xdr:col>
                <xdr:colOff>0</xdr:colOff>
                <xdr:row>215</xdr:row>
                <xdr:rowOff>381000</xdr:rowOff>
              </to>
            </anchor>
          </objectPr>
        </oleObject>
      </mc:Choice>
    </mc:AlternateContent>
    <mc:AlternateContent xmlns:mc="http://schemas.openxmlformats.org/markup-compatibility/2006">
      <mc:Choice Requires="x14">
        <oleObject shapeId="602465">
          <objectPr defaultSize="0" autoFill="0" autoPict="0" dde="1">
            <anchor moveWithCells="1">
              <from>
                <xdr:col>11</xdr:col>
                <xdr:colOff>0</xdr:colOff>
                <xdr:row>220</xdr:row>
                <xdr:rowOff>171450</xdr:rowOff>
              </from>
              <to>
                <xdr:col>16</xdr:col>
                <xdr:colOff>0</xdr:colOff>
                <xdr:row>222</xdr:row>
                <xdr:rowOff>9525</xdr:rowOff>
              </to>
            </anchor>
          </objectPr>
        </oleObject>
      </mc:Choice>
    </mc:AlternateContent>
    <mc:AlternateContent xmlns:mc="http://schemas.openxmlformats.org/markup-compatibility/2006">
      <mc:Choice Requires="x14">
        <oleObject shapeId="602470">
          <objectPr defaultSize="0" autoFill="0" autoPict="0" dde="1">
            <anchor moveWithCells="1">
              <from>
                <xdr:col>11</xdr:col>
                <xdr:colOff>0</xdr:colOff>
                <xdr:row>221</xdr:row>
                <xdr:rowOff>381000</xdr:rowOff>
              </from>
              <to>
                <xdr:col>16</xdr:col>
                <xdr:colOff>0</xdr:colOff>
                <xdr:row>222</xdr:row>
                <xdr:rowOff>381000</xdr:rowOff>
              </to>
            </anchor>
          </objectPr>
        </oleObject>
      </mc:Choice>
    </mc:AlternateContent>
    <mc:AlternateContent xmlns:mc="http://schemas.openxmlformats.org/markup-compatibility/2006">
      <mc:Choice Requires="x14">
        <oleObject shapeId="602475">
          <objectPr defaultSize="0" autoFill="0" autoPict="0" dde="1">
            <anchor moveWithCells="1">
              <from>
                <xdr:col>11</xdr:col>
                <xdr:colOff>0</xdr:colOff>
                <xdr:row>222</xdr:row>
                <xdr:rowOff>381000</xdr:rowOff>
              </from>
              <to>
                <xdr:col>16</xdr:col>
                <xdr:colOff>0</xdr:colOff>
                <xdr:row>223</xdr:row>
                <xdr:rowOff>381000</xdr:rowOff>
              </to>
            </anchor>
          </objectPr>
        </oleObject>
      </mc:Choice>
    </mc:AlternateContent>
    <mc:AlternateContent xmlns:mc="http://schemas.openxmlformats.org/markup-compatibility/2006">
      <mc:Choice Requires="x14">
        <oleObject shapeId="602480">
          <objectPr defaultSize="0" autoFill="0" autoPict="0" dde="1">
            <anchor moveWithCells="1">
              <from>
                <xdr:col>11</xdr:col>
                <xdr:colOff>0</xdr:colOff>
                <xdr:row>227</xdr:row>
                <xdr:rowOff>9525</xdr:rowOff>
              </from>
              <to>
                <xdr:col>16</xdr:col>
                <xdr:colOff>0</xdr:colOff>
                <xdr:row>227</xdr:row>
                <xdr:rowOff>381000</xdr:rowOff>
              </to>
            </anchor>
          </objectPr>
        </oleObject>
      </mc:Choice>
    </mc:AlternateContent>
  </oleObjects>
  <mc:AlternateContent xmlns:mc="http://schemas.openxmlformats.org/markup-compatibility/2006">
    <mc:Choice Requires="x14">
      <controls>
        <mc:AlternateContent xmlns:mc="http://schemas.openxmlformats.org/markup-compatibility/2006">
          <mc:Choice Requires="x14">
            <control shapeId="5149" r:id="rId4" name="Group Box 29">
              <controlPr defaultSize="0" autoFill="0" autoPict="0">
                <anchor moveWithCells="1">
                  <from>
                    <xdr:col>19</xdr:col>
                    <xdr:colOff>0</xdr:colOff>
                    <xdr:row>24</xdr:row>
                    <xdr:rowOff>0</xdr:rowOff>
                  </from>
                  <to>
                    <xdr:col>24</xdr:col>
                    <xdr:colOff>9525</xdr:colOff>
                    <xdr:row>25</xdr:row>
                    <xdr:rowOff>9525</xdr:rowOff>
                  </to>
                </anchor>
              </controlPr>
            </control>
          </mc:Choice>
        </mc:AlternateContent>
        <mc:AlternateContent xmlns:mc="http://schemas.openxmlformats.org/markup-compatibility/2006">
          <mc:Choice Requires="x14">
            <control shapeId="5151" r:id="rId5" name="Group Box 31">
              <controlPr defaultSize="0" autoFill="0" autoPict="0">
                <anchor moveWithCells="1">
                  <from>
                    <xdr:col>19</xdr:col>
                    <xdr:colOff>0</xdr:colOff>
                    <xdr:row>26</xdr:row>
                    <xdr:rowOff>0</xdr:rowOff>
                  </from>
                  <to>
                    <xdr:col>24</xdr:col>
                    <xdr:colOff>9525</xdr:colOff>
                    <xdr:row>27</xdr:row>
                    <xdr:rowOff>9525</xdr:rowOff>
                  </to>
                </anchor>
              </controlPr>
            </control>
          </mc:Choice>
        </mc:AlternateContent>
        <mc:AlternateContent xmlns:mc="http://schemas.openxmlformats.org/markup-compatibility/2006">
          <mc:Choice Requires="x14">
            <control shapeId="5152" r:id="rId6" name="Group Box 32">
              <controlPr defaultSize="0" autoFill="0" autoPict="0">
                <anchor moveWithCells="1">
                  <from>
                    <xdr:col>19</xdr:col>
                    <xdr:colOff>0</xdr:colOff>
                    <xdr:row>27</xdr:row>
                    <xdr:rowOff>0</xdr:rowOff>
                  </from>
                  <to>
                    <xdr:col>24</xdr:col>
                    <xdr:colOff>9525</xdr:colOff>
                    <xdr:row>28</xdr:row>
                    <xdr:rowOff>9525</xdr:rowOff>
                  </to>
                </anchor>
              </controlPr>
            </control>
          </mc:Choice>
        </mc:AlternateContent>
        <mc:AlternateContent xmlns:mc="http://schemas.openxmlformats.org/markup-compatibility/2006">
          <mc:Choice Requires="x14">
            <control shapeId="5154" r:id="rId7" name="Group Box 34">
              <controlPr defaultSize="0" autoFill="0" autoPict="0">
                <anchor moveWithCells="1">
                  <from>
                    <xdr:col>19</xdr:col>
                    <xdr:colOff>0</xdr:colOff>
                    <xdr:row>29</xdr:row>
                    <xdr:rowOff>0</xdr:rowOff>
                  </from>
                  <to>
                    <xdr:col>24</xdr:col>
                    <xdr:colOff>9525</xdr:colOff>
                    <xdr:row>30</xdr:row>
                    <xdr:rowOff>9525</xdr:rowOff>
                  </to>
                </anchor>
              </controlPr>
            </control>
          </mc:Choice>
        </mc:AlternateContent>
        <mc:AlternateContent xmlns:mc="http://schemas.openxmlformats.org/markup-compatibility/2006">
          <mc:Choice Requires="x14">
            <control shapeId="5157" r:id="rId8" name="Group Box 37">
              <controlPr defaultSize="0" autoFill="0" autoPict="0">
                <anchor moveWithCells="1">
                  <from>
                    <xdr:col>19</xdr:col>
                    <xdr:colOff>0</xdr:colOff>
                    <xdr:row>32</xdr:row>
                    <xdr:rowOff>0</xdr:rowOff>
                  </from>
                  <to>
                    <xdr:col>24</xdr:col>
                    <xdr:colOff>9525</xdr:colOff>
                    <xdr:row>33</xdr:row>
                    <xdr:rowOff>9525</xdr:rowOff>
                  </to>
                </anchor>
              </controlPr>
            </control>
          </mc:Choice>
        </mc:AlternateContent>
        <mc:AlternateContent xmlns:mc="http://schemas.openxmlformats.org/markup-compatibility/2006">
          <mc:Choice Requires="x14">
            <control shapeId="5159" r:id="rId9" name="Group Box 39">
              <controlPr defaultSize="0" autoFill="0" autoPict="0">
                <anchor moveWithCells="1">
                  <from>
                    <xdr:col>19</xdr:col>
                    <xdr:colOff>0</xdr:colOff>
                    <xdr:row>34</xdr:row>
                    <xdr:rowOff>0</xdr:rowOff>
                  </from>
                  <to>
                    <xdr:col>24</xdr:col>
                    <xdr:colOff>9525</xdr:colOff>
                    <xdr:row>35</xdr:row>
                    <xdr:rowOff>9525</xdr:rowOff>
                  </to>
                </anchor>
              </controlPr>
            </control>
          </mc:Choice>
        </mc:AlternateContent>
        <mc:AlternateContent xmlns:mc="http://schemas.openxmlformats.org/markup-compatibility/2006">
          <mc:Choice Requires="x14">
            <control shapeId="5160" r:id="rId10" name="Group Box 40">
              <controlPr defaultSize="0" autoFill="0" autoPict="0">
                <anchor moveWithCells="1">
                  <from>
                    <xdr:col>19</xdr:col>
                    <xdr:colOff>0</xdr:colOff>
                    <xdr:row>35</xdr:row>
                    <xdr:rowOff>0</xdr:rowOff>
                  </from>
                  <to>
                    <xdr:col>24</xdr:col>
                    <xdr:colOff>9525</xdr:colOff>
                    <xdr:row>36</xdr:row>
                    <xdr:rowOff>9525</xdr:rowOff>
                  </to>
                </anchor>
              </controlPr>
            </control>
          </mc:Choice>
        </mc:AlternateContent>
        <mc:AlternateContent xmlns:mc="http://schemas.openxmlformats.org/markup-compatibility/2006">
          <mc:Choice Requires="x14">
            <control shapeId="5175" r:id="rId11" name="Option Button 55">
              <controlPr defaultSize="0" autoFill="0" autoLine="0" autoPict="0">
                <anchor moveWithCells="1">
                  <from>
                    <xdr:col>19</xdr:col>
                    <xdr:colOff>28575</xdr:colOff>
                    <xdr:row>23</xdr:row>
                    <xdr:rowOff>85725</xdr:rowOff>
                  </from>
                  <to>
                    <xdr:col>19</xdr:col>
                    <xdr:colOff>276225</xdr:colOff>
                    <xdr:row>23</xdr:row>
                    <xdr:rowOff>276225</xdr:rowOff>
                  </to>
                </anchor>
              </controlPr>
            </control>
          </mc:Choice>
        </mc:AlternateContent>
        <mc:AlternateContent xmlns:mc="http://schemas.openxmlformats.org/markup-compatibility/2006">
          <mc:Choice Requires="x14">
            <control shapeId="5176" r:id="rId12" name="Option Button 56">
              <controlPr defaultSize="0" autoFill="0" autoLine="0" autoPict="0">
                <anchor moveWithCells="1">
                  <from>
                    <xdr:col>19</xdr:col>
                    <xdr:colOff>38100</xdr:colOff>
                    <xdr:row>24</xdr:row>
                    <xdr:rowOff>85725</xdr:rowOff>
                  </from>
                  <to>
                    <xdr:col>19</xdr:col>
                    <xdr:colOff>276225</xdr:colOff>
                    <xdr:row>24</xdr:row>
                    <xdr:rowOff>276225</xdr:rowOff>
                  </to>
                </anchor>
              </controlPr>
            </control>
          </mc:Choice>
        </mc:AlternateContent>
        <mc:AlternateContent xmlns:mc="http://schemas.openxmlformats.org/markup-compatibility/2006">
          <mc:Choice Requires="x14">
            <control shapeId="5177" r:id="rId13" name="Option Button 57">
              <controlPr defaultSize="0" autoFill="0" autoLine="0" autoPict="0">
                <anchor moveWithCells="1">
                  <from>
                    <xdr:col>19</xdr:col>
                    <xdr:colOff>38100</xdr:colOff>
                    <xdr:row>25</xdr:row>
                    <xdr:rowOff>85725</xdr:rowOff>
                  </from>
                  <to>
                    <xdr:col>19</xdr:col>
                    <xdr:colOff>276225</xdr:colOff>
                    <xdr:row>25</xdr:row>
                    <xdr:rowOff>276225</xdr:rowOff>
                  </to>
                </anchor>
              </controlPr>
            </control>
          </mc:Choice>
        </mc:AlternateContent>
        <mc:AlternateContent xmlns:mc="http://schemas.openxmlformats.org/markup-compatibility/2006">
          <mc:Choice Requires="x14">
            <control shapeId="5178" r:id="rId14" name="Option Button 58">
              <controlPr defaultSize="0" autoFill="0" autoLine="0" autoPict="0">
                <anchor moveWithCells="1">
                  <from>
                    <xdr:col>19</xdr:col>
                    <xdr:colOff>38100</xdr:colOff>
                    <xdr:row>26</xdr:row>
                    <xdr:rowOff>85725</xdr:rowOff>
                  </from>
                  <to>
                    <xdr:col>19</xdr:col>
                    <xdr:colOff>276225</xdr:colOff>
                    <xdr:row>26</xdr:row>
                    <xdr:rowOff>276225</xdr:rowOff>
                  </to>
                </anchor>
              </controlPr>
            </control>
          </mc:Choice>
        </mc:AlternateContent>
        <mc:AlternateContent xmlns:mc="http://schemas.openxmlformats.org/markup-compatibility/2006">
          <mc:Choice Requires="x14">
            <control shapeId="5179" r:id="rId15" name="Option Button 59">
              <controlPr defaultSize="0" autoFill="0" autoLine="0" autoPict="0">
                <anchor moveWithCells="1">
                  <from>
                    <xdr:col>19</xdr:col>
                    <xdr:colOff>38100</xdr:colOff>
                    <xdr:row>27</xdr:row>
                    <xdr:rowOff>85725</xdr:rowOff>
                  </from>
                  <to>
                    <xdr:col>19</xdr:col>
                    <xdr:colOff>276225</xdr:colOff>
                    <xdr:row>27</xdr:row>
                    <xdr:rowOff>276225</xdr:rowOff>
                  </to>
                </anchor>
              </controlPr>
            </control>
          </mc:Choice>
        </mc:AlternateContent>
        <mc:AlternateContent xmlns:mc="http://schemas.openxmlformats.org/markup-compatibility/2006">
          <mc:Choice Requires="x14">
            <control shapeId="5180" r:id="rId16" name="Option Button 60">
              <controlPr defaultSize="0" autoFill="0" autoLine="0" autoPict="0">
                <anchor moveWithCells="1">
                  <from>
                    <xdr:col>19</xdr:col>
                    <xdr:colOff>38100</xdr:colOff>
                    <xdr:row>28</xdr:row>
                    <xdr:rowOff>85725</xdr:rowOff>
                  </from>
                  <to>
                    <xdr:col>19</xdr:col>
                    <xdr:colOff>276225</xdr:colOff>
                    <xdr:row>28</xdr:row>
                    <xdr:rowOff>276225</xdr:rowOff>
                  </to>
                </anchor>
              </controlPr>
            </control>
          </mc:Choice>
        </mc:AlternateContent>
        <mc:AlternateContent xmlns:mc="http://schemas.openxmlformats.org/markup-compatibility/2006">
          <mc:Choice Requires="x14">
            <control shapeId="5181" r:id="rId17" name="Option Button 61">
              <controlPr defaultSize="0" autoFill="0" autoLine="0" autoPict="0">
                <anchor moveWithCells="1">
                  <from>
                    <xdr:col>19</xdr:col>
                    <xdr:colOff>38100</xdr:colOff>
                    <xdr:row>29</xdr:row>
                    <xdr:rowOff>85725</xdr:rowOff>
                  </from>
                  <to>
                    <xdr:col>19</xdr:col>
                    <xdr:colOff>276225</xdr:colOff>
                    <xdr:row>29</xdr:row>
                    <xdr:rowOff>276225</xdr:rowOff>
                  </to>
                </anchor>
              </controlPr>
            </control>
          </mc:Choice>
        </mc:AlternateContent>
        <mc:AlternateContent xmlns:mc="http://schemas.openxmlformats.org/markup-compatibility/2006">
          <mc:Choice Requires="x14">
            <control shapeId="5182" r:id="rId18" name="Option Button 62">
              <controlPr defaultSize="0" autoFill="0" autoLine="0" autoPict="0">
                <anchor moveWithCells="1">
                  <from>
                    <xdr:col>19</xdr:col>
                    <xdr:colOff>38100</xdr:colOff>
                    <xdr:row>30</xdr:row>
                    <xdr:rowOff>85725</xdr:rowOff>
                  </from>
                  <to>
                    <xdr:col>19</xdr:col>
                    <xdr:colOff>276225</xdr:colOff>
                    <xdr:row>30</xdr:row>
                    <xdr:rowOff>276225</xdr:rowOff>
                  </to>
                </anchor>
              </controlPr>
            </control>
          </mc:Choice>
        </mc:AlternateContent>
        <mc:AlternateContent xmlns:mc="http://schemas.openxmlformats.org/markup-compatibility/2006">
          <mc:Choice Requires="x14">
            <control shapeId="5183" r:id="rId19" name="Option Button 63">
              <controlPr defaultSize="0" autoFill="0" autoLine="0" autoPict="0">
                <anchor moveWithCells="1">
                  <from>
                    <xdr:col>19</xdr:col>
                    <xdr:colOff>38100</xdr:colOff>
                    <xdr:row>31</xdr:row>
                    <xdr:rowOff>85725</xdr:rowOff>
                  </from>
                  <to>
                    <xdr:col>19</xdr:col>
                    <xdr:colOff>276225</xdr:colOff>
                    <xdr:row>31</xdr:row>
                    <xdr:rowOff>276225</xdr:rowOff>
                  </to>
                </anchor>
              </controlPr>
            </control>
          </mc:Choice>
        </mc:AlternateContent>
        <mc:AlternateContent xmlns:mc="http://schemas.openxmlformats.org/markup-compatibility/2006">
          <mc:Choice Requires="x14">
            <control shapeId="5184" r:id="rId20" name="Option Button 64">
              <controlPr defaultSize="0" autoFill="0" autoLine="0" autoPict="0">
                <anchor moveWithCells="1">
                  <from>
                    <xdr:col>19</xdr:col>
                    <xdr:colOff>38100</xdr:colOff>
                    <xdr:row>32</xdr:row>
                    <xdr:rowOff>85725</xdr:rowOff>
                  </from>
                  <to>
                    <xdr:col>19</xdr:col>
                    <xdr:colOff>276225</xdr:colOff>
                    <xdr:row>32</xdr:row>
                    <xdr:rowOff>276225</xdr:rowOff>
                  </to>
                </anchor>
              </controlPr>
            </control>
          </mc:Choice>
        </mc:AlternateContent>
        <mc:AlternateContent xmlns:mc="http://schemas.openxmlformats.org/markup-compatibility/2006">
          <mc:Choice Requires="x14">
            <control shapeId="5185" r:id="rId21" name="Option Button 65">
              <controlPr defaultSize="0" autoFill="0" autoLine="0" autoPict="0">
                <anchor moveWithCells="1">
                  <from>
                    <xdr:col>19</xdr:col>
                    <xdr:colOff>38100</xdr:colOff>
                    <xdr:row>33</xdr:row>
                    <xdr:rowOff>85725</xdr:rowOff>
                  </from>
                  <to>
                    <xdr:col>19</xdr:col>
                    <xdr:colOff>276225</xdr:colOff>
                    <xdr:row>33</xdr:row>
                    <xdr:rowOff>276225</xdr:rowOff>
                  </to>
                </anchor>
              </controlPr>
            </control>
          </mc:Choice>
        </mc:AlternateContent>
        <mc:AlternateContent xmlns:mc="http://schemas.openxmlformats.org/markup-compatibility/2006">
          <mc:Choice Requires="x14">
            <control shapeId="5186" r:id="rId22" name="Option Button 66">
              <controlPr defaultSize="0" autoFill="0" autoLine="0" autoPict="0">
                <anchor moveWithCells="1">
                  <from>
                    <xdr:col>19</xdr:col>
                    <xdr:colOff>38100</xdr:colOff>
                    <xdr:row>34</xdr:row>
                    <xdr:rowOff>85725</xdr:rowOff>
                  </from>
                  <to>
                    <xdr:col>19</xdr:col>
                    <xdr:colOff>276225</xdr:colOff>
                    <xdr:row>34</xdr:row>
                    <xdr:rowOff>276225</xdr:rowOff>
                  </to>
                </anchor>
              </controlPr>
            </control>
          </mc:Choice>
        </mc:AlternateContent>
        <mc:AlternateContent xmlns:mc="http://schemas.openxmlformats.org/markup-compatibility/2006">
          <mc:Choice Requires="x14">
            <control shapeId="5187" r:id="rId23" name="Option Button 67">
              <controlPr defaultSize="0" autoFill="0" autoLine="0" autoPict="0">
                <anchor moveWithCells="1">
                  <from>
                    <xdr:col>19</xdr:col>
                    <xdr:colOff>38100</xdr:colOff>
                    <xdr:row>35</xdr:row>
                    <xdr:rowOff>85725</xdr:rowOff>
                  </from>
                  <to>
                    <xdr:col>19</xdr:col>
                    <xdr:colOff>276225</xdr:colOff>
                    <xdr:row>35</xdr:row>
                    <xdr:rowOff>276225</xdr:rowOff>
                  </to>
                </anchor>
              </controlPr>
            </control>
          </mc:Choice>
        </mc:AlternateContent>
        <mc:AlternateContent xmlns:mc="http://schemas.openxmlformats.org/markup-compatibility/2006">
          <mc:Choice Requires="x14">
            <control shapeId="5188" r:id="rId24" name="Option Button 68">
              <controlPr defaultSize="0" autoFill="0" autoLine="0" autoPict="0">
                <anchor moveWithCells="1">
                  <from>
                    <xdr:col>20</xdr:col>
                    <xdr:colOff>28575</xdr:colOff>
                    <xdr:row>23</xdr:row>
                    <xdr:rowOff>85725</xdr:rowOff>
                  </from>
                  <to>
                    <xdr:col>20</xdr:col>
                    <xdr:colOff>276225</xdr:colOff>
                    <xdr:row>23</xdr:row>
                    <xdr:rowOff>276225</xdr:rowOff>
                  </to>
                </anchor>
              </controlPr>
            </control>
          </mc:Choice>
        </mc:AlternateContent>
        <mc:AlternateContent xmlns:mc="http://schemas.openxmlformats.org/markup-compatibility/2006">
          <mc:Choice Requires="x14">
            <control shapeId="5189" r:id="rId25" name="Option Button 69">
              <controlPr defaultSize="0" autoFill="0" autoLine="0" autoPict="0">
                <anchor moveWithCells="1">
                  <from>
                    <xdr:col>20</xdr:col>
                    <xdr:colOff>38100</xdr:colOff>
                    <xdr:row>24</xdr:row>
                    <xdr:rowOff>85725</xdr:rowOff>
                  </from>
                  <to>
                    <xdr:col>20</xdr:col>
                    <xdr:colOff>276225</xdr:colOff>
                    <xdr:row>24</xdr:row>
                    <xdr:rowOff>276225</xdr:rowOff>
                  </to>
                </anchor>
              </controlPr>
            </control>
          </mc:Choice>
        </mc:AlternateContent>
        <mc:AlternateContent xmlns:mc="http://schemas.openxmlformats.org/markup-compatibility/2006">
          <mc:Choice Requires="x14">
            <control shapeId="5190" r:id="rId26" name="Option Button 70">
              <controlPr defaultSize="0" autoFill="0" autoLine="0" autoPict="0">
                <anchor moveWithCells="1">
                  <from>
                    <xdr:col>20</xdr:col>
                    <xdr:colOff>38100</xdr:colOff>
                    <xdr:row>25</xdr:row>
                    <xdr:rowOff>85725</xdr:rowOff>
                  </from>
                  <to>
                    <xdr:col>20</xdr:col>
                    <xdr:colOff>276225</xdr:colOff>
                    <xdr:row>25</xdr:row>
                    <xdr:rowOff>276225</xdr:rowOff>
                  </to>
                </anchor>
              </controlPr>
            </control>
          </mc:Choice>
        </mc:AlternateContent>
        <mc:AlternateContent xmlns:mc="http://schemas.openxmlformats.org/markup-compatibility/2006">
          <mc:Choice Requires="x14">
            <control shapeId="5191" r:id="rId27" name="Option Button 71">
              <controlPr defaultSize="0" autoFill="0" autoLine="0" autoPict="0">
                <anchor moveWithCells="1">
                  <from>
                    <xdr:col>20</xdr:col>
                    <xdr:colOff>38100</xdr:colOff>
                    <xdr:row>26</xdr:row>
                    <xdr:rowOff>85725</xdr:rowOff>
                  </from>
                  <to>
                    <xdr:col>20</xdr:col>
                    <xdr:colOff>276225</xdr:colOff>
                    <xdr:row>26</xdr:row>
                    <xdr:rowOff>276225</xdr:rowOff>
                  </to>
                </anchor>
              </controlPr>
            </control>
          </mc:Choice>
        </mc:AlternateContent>
        <mc:AlternateContent xmlns:mc="http://schemas.openxmlformats.org/markup-compatibility/2006">
          <mc:Choice Requires="x14">
            <control shapeId="5192" r:id="rId28" name="Option Button 72">
              <controlPr defaultSize="0" autoFill="0" autoLine="0" autoPict="0">
                <anchor moveWithCells="1">
                  <from>
                    <xdr:col>20</xdr:col>
                    <xdr:colOff>38100</xdr:colOff>
                    <xdr:row>27</xdr:row>
                    <xdr:rowOff>85725</xdr:rowOff>
                  </from>
                  <to>
                    <xdr:col>20</xdr:col>
                    <xdr:colOff>276225</xdr:colOff>
                    <xdr:row>27</xdr:row>
                    <xdr:rowOff>276225</xdr:rowOff>
                  </to>
                </anchor>
              </controlPr>
            </control>
          </mc:Choice>
        </mc:AlternateContent>
        <mc:AlternateContent xmlns:mc="http://schemas.openxmlformats.org/markup-compatibility/2006">
          <mc:Choice Requires="x14">
            <control shapeId="5193" r:id="rId29" name="Option Button 73">
              <controlPr defaultSize="0" autoFill="0" autoLine="0" autoPict="0">
                <anchor moveWithCells="1">
                  <from>
                    <xdr:col>20</xdr:col>
                    <xdr:colOff>38100</xdr:colOff>
                    <xdr:row>28</xdr:row>
                    <xdr:rowOff>85725</xdr:rowOff>
                  </from>
                  <to>
                    <xdr:col>20</xdr:col>
                    <xdr:colOff>276225</xdr:colOff>
                    <xdr:row>28</xdr:row>
                    <xdr:rowOff>276225</xdr:rowOff>
                  </to>
                </anchor>
              </controlPr>
            </control>
          </mc:Choice>
        </mc:AlternateContent>
        <mc:AlternateContent xmlns:mc="http://schemas.openxmlformats.org/markup-compatibility/2006">
          <mc:Choice Requires="x14">
            <control shapeId="5194" r:id="rId30" name="Option Button 74">
              <controlPr defaultSize="0" autoFill="0" autoLine="0" autoPict="0">
                <anchor moveWithCells="1">
                  <from>
                    <xdr:col>20</xdr:col>
                    <xdr:colOff>38100</xdr:colOff>
                    <xdr:row>29</xdr:row>
                    <xdr:rowOff>85725</xdr:rowOff>
                  </from>
                  <to>
                    <xdr:col>20</xdr:col>
                    <xdr:colOff>276225</xdr:colOff>
                    <xdr:row>29</xdr:row>
                    <xdr:rowOff>276225</xdr:rowOff>
                  </to>
                </anchor>
              </controlPr>
            </control>
          </mc:Choice>
        </mc:AlternateContent>
        <mc:AlternateContent xmlns:mc="http://schemas.openxmlformats.org/markup-compatibility/2006">
          <mc:Choice Requires="x14">
            <control shapeId="5195" r:id="rId31" name="Option Button 75">
              <controlPr defaultSize="0" autoFill="0" autoLine="0" autoPict="0">
                <anchor moveWithCells="1">
                  <from>
                    <xdr:col>20</xdr:col>
                    <xdr:colOff>38100</xdr:colOff>
                    <xdr:row>30</xdr:row>
                    <xdr:rowOff>85725</xdr:rowOff>
                  </from>
                  <to>
                    <xdr:col>20</xdr:col>
                    <xdr:colOff>276225</xdr:colOff>
                    <xdr:row>30</xdr:row>
                    <xdr:rowOff>276225</xdr:rowOff>
                  </to>
                </anchor>
              </controlPr>
            </control>
          </mc:Choice>
        </mc:AlternateContent>
        <mc:AlternateContent xmlns:mc="http://schemas.openxmlformats.org/markup-compatibility/2006">
          <mc:Choice Requires="x14">
            <control shapeId="5196" r:id="rId32" name="Option Button 76">
              <controlPr defaultSize="0" autoFill="0" autoLine="0" autoPict="0">
                <anchor moveWithCells="1">
                  <from>
                    <xdr:col>20</xdr:col>
                    <xdr:colOff>38100</xdr:colOff>
                    <xdr:row>31</xdr:row>
                    <xdr:rowOff>85725</xdr:rowOff>
                  </from>
                  <to>
                    <xdr:col>20</xdr:col>
                    <xdr:colOff>276225</xdr:colOff>
                    <xdr:row>31</xdr:row>
                    <xdr:rowOff>276225</xdr:rowOff>
                  </to>
                </anchor>
              </controlPr>
            </control>
          </mc:Choice>
        </mc:AlternateContent>
        <mc:AlternateContent xmlns:mc="http://schemas.openxmlformats.org/markup-compatibility/2006">
          <mc:Choice Requires="x14">
            <control shapeId="5197" r:id="rId33" name="Option Button 77">
              <controlPr defaultSize="0" autoFill="0" autoLine="0" autoPict="0">
                <anchor moveWithCells="1">
                  <from>
                    <xdr:col>20</xdr:col>
                    <xdr:colOff>38100</xdr:colOff>
                    <xdr:row>32</xdr:row>
                    <xdr:rowOff>85725</xdr:rowOff>
                  </from>
                  <to>
                    <xdr:col>20</xdr:col>
                    <xdr:colOff>276225</xdr:colOff>
                    <xdr:row>32</xdr:row>
                    <xdr:rowOff>276225</xdr:rowOff>
                  </to>
                </anchor>
              </controlPr>
            </control>
          </mc:Choice>
        </mc:AlternateContent>
        <mc:AlternateContent xmlns:mc="http://schemas.openxmlformats.org/markup-compatibility/2006">
          <mc:Choice Requires="x14">
            <control shapeId="5198" r:id="rId34" name="Option Button 78">
              <controlPr defaultSize="0" autoFill="0" autoLine="0" autoPict="0">
                <anchor moveWithCells="1">
                  <from>
                    <xdr:col>20</xdr:col>
                    <xdr:colOff>38100</xdr:colOff>
                    <xdr:row>33</xdr:row>
                    <xdr:rowOff>85725</xdr:rowOff>
                  </from>
                  <to>
                    <xdr:col>20</xdr:col>
                    <xdr:colOff>276225</xdr:colOff>
                    <xdr:row>33</xdr:row>
                    <xdr:rowOff>276225</xdr:rowOff>
                  </to>
                </anchor>
              </controlPr>
            </control>
          </mc:Choice>
        </mc:AlternateContent>
        <mc:AlternateContent xmlns:mc="http://schemas.openxmlformats.org/markup-compatibility/2006">
          <mc:Choice Requires="x14">
            <control shapeId="5199" r:id="rId35" name="Option Button 79">
              <controlPr defaultSize="0" autoFill="0" autoLine="0" autoPict="0">
                <anchor moveWithCells="1">
                  <from>
                    <xdr:col>20</xdr:col>
                    <xdr:colOff>38100</xdr:colOff>
                    <xdr:row>34</xdr:row>
                    <xdr:rowOff>85725</xdr:rowOff>
                  </from>
                  <to>
                    <xdr:col>20</xdr:col>
                    <xdr:colOff>276225</xdr:colOff>
                    <xdr:row>34</xdr:row>
                    <xdr:rowOff>276225</xdr:rowOff>
                  </to>
                </anchor>
              </controlPr>
            </control>
          </mc:Choice>
        </mc:AlternateContent>
        <mc:AlternateContent xmlns:mc="http://schemas.openxmlformats.org/markup-compatibility/2006">
          <mc:Choice Requires="x14">
            <control shapeId="5200" r:id="rId36" name="Option Button 80">
              <controlPr defaultSize="0" autoFill="0" autoLine="0" autoPict="0">
                <anchor moveWithCells="1">
                  <from>
                    <xdr:col>20</xdr:col>
                    <xdr:colOff>38100</xdr:colOff>
                    <xdr:row>35</xdr:row>
                    <xdr:rowOff>85725</xdr:rowOff>
                  </from>
                  <to>
                    <xdr:col>20</xdr:col>
                    <xdr:colOff>276225</xdr:colOff>
                    <xdr:row>35</xdr:row>
                    <xdr:rowOff>276225</xdr:rowOff>
                  </to>
                </anchor>
              </controlPr>
            </control>
          </mc:Choice>
        </mc:AlternateContent>
        <mc:AlternateContent xmlns:mc="http://schemas.openxmlformats.org/markup-compatibility/2006">
          <mc:Choice Requires="x14">
            <control shapeId="5201" r:id="rId37" name="Option Button 81">
              <controlPr defaultSize="0" autoFill="0" autoLine="0" autoPict="0">
                <anchor moveWithCells="1">
                  <from>
                    <xdr:col>21</xdr:col>
                    <xdr:colOff>28575</xdr:colOff>
                    <xdr:row>23</xdr:row>
                    <xdr:rowOff>85725</xdr:rowOff>
                  </from>
                  <to>
                    <xdr:col>21</xdr:col>
                    <xdr:colOff>276225</xdr:colOff>
                    <xdr:row>23</xdr:row>
                    <xdr:rowOff>276225</xdr:rowOff>
                  </to>
                </anchor>
              </controlPr>
            </control>
          </mc:Choice>
        </mc:AlternateContent>
        <mc:AlternateContent xmlns:mc="http://schemas.openxmlformats.org/markup-compatibility/2006">
          <mc:Choice Requires="x14">
            <control shapeId="5202" r:id="rId38" name="Option Button 82">
              <controlPr defaultSize="0" autoFill="0" autoLine="0" autoPict="0">
                <anchor moveWithCells="1">
                  <from>
                    <xdr:col>21</xdr:col>
                    <xdr:colOff>38100</xdr:colOff>
                    <xdr:row>24</xdr:row>
                    <xdr:rowOff>85725</xdr:rowOff>
                  </from>
                  <to>
                    <xdr:col>21</xdr:col>
                    <xdr:colOff>276225</xdr:colOff>
                    <xdr:row>24</xdr:row>
                    <xdr:rowOff>276225</xdr:rowOff>
                  </to>
                </anchor>
              </controlPr>
            </control>
          </mc:Choice>
        </mc:AlternateContent>
        <mc:AlternateContent xmlns:mc="http://schemas.openxmlformats.org/markup-compatibility/2006">
          <mc:Choice Requires="x14">
            <control shapeId="5203" r:id="rId39" name="Option Button 83">
              <controlPr defaultSize="0" autoFill="0" autoLine="0" autoPict="0">
                <anchor moveWithCells="1">
                  <from>
                    <xdr:col>21</xdr:col>
                    <xdr:colOff>38100</xdr:colOff>
                    <xdr:row>25</xdr:row>
                    <xdr:rowOff>85725</xdr:rowOff>
                  </from>
                  <to>
                    <xdr:col>21</xdr:col>
                    <xdr:colOff>276225</xdr:colOff>
                    <xdr:row>25</xdr:row>
                    <xdr:rowOff>276225</xdr:rowOff>
                  </to>
                </anchor>
              </controlPr>
            </control>
          </mc:Choice>
        </mc:AlternateContent>
        <mc:AlternateContent xmlns:mc="http://schemas.openxmlformats.org/markup-compatibility/2006">
          <mc:Choice Requires="x14">
            <control shapeId="5204" r:id="rId40" name="Option Button 84">
              <controlPr defaultSize="0" autoFill="0" autoLine="0" autoPict="0">
                <anchor moveWithCells="1">
                  <from>
                    <xdr:col>21</xdr:col>
                    <xdr:colOff>38100</xdr:colOff>
                    <xdr:row>26</xdr:row>
                    <xdr:rowOff>85725</xdr:rowOff>
                  </from>
                  <to>
                    <xdr:col>21</xdr:col>
                    <xdr:colOff>276225</xdr:colOff>
                    <xdr:row>26</xdr:row>
                    <xdr:rowOff>276225</xdr:rowOff>
                  </to>
                </anchor>
              </controlPr>
            </control>
          </mc:Choice>
        </mc:AlternateContent>
        <mc:AlternateContent xmlns:mc="http://schemas.openxmlformats.org/markup-compatibility/2006">
          <mc:Choice Requires="x14">
            <control shapeId="5205" r:id="rId41" name="Option Button 85">
              <controlPr defaultSize="0" autoFill="0" autoLine="0" autoPict="0">
                <anchor moveWithCells="1">
                  <from>
                    <xdr:col>21</xdr:col>
                    <xdr:colOff>38100</xdr:colOff>
                    <xdr:row>27</xdr:row>
                    <xdr:rowOff>85725</xdr:rowOff>
                  </from>
                  <to>
                    <xdr:col>21</xdr:col>
                    <xdr:colOff>276225</xdr:colOff>
                    <xdr:row>27</xdr:row>
                    <xdr:rowOff>276225</xdr:rowOff>
                  </to>
                </anchor>
              </controlPr>
            </control>
          </mc:Choice>
        </mc:AlternateContent>
        <mc:AlternateContent xmlns:mc="http://schemas.openxmlformats.org/markup-compatibility/2006">
          <mc:Choice Requires="x14">
            <control shapeId="5206" r:id="rId42" name="Option Button 86">
              <controlPr defaultSize="0" autoFill="0" autoLine="0" autoPict="0">
                <anchor moveWithCells="1">
                  <from>
                    <xdr:col>21</xdr:col>
                    <xdr:colOff>38100</xdr:colOff>
                    <xdr:row>28</xdr:row>
                    <xdr:rowOff>85725</xdr:rowOff>
                  </from>
                  <to>
                    <xdr:col>21</xdr:col>
                    <xdr:colOff>276225</xdr:colOff>
                    <xdr:row>28</xdr:row>
                    <xdr:rowOff>276225</xdr:rowOff>
                  </to>
                </anchor>
              </controlPr>
            </control>
          </mc:Choice>
        </mc:AlternateContent>
        <mc:AlternateContent xmlns:mc="http://schemas.openxmlformats.org/markup-compatibility/2006">
          <mc:Choice Requires="x14">
            <control shapeId="5207" r:id="rId43" name="Option Button 87">
              <controlPr defaultSize="0" autoFill="0" autoLine="0" autoPict="0">
                <anchor moveWithCells="1">
                  <from>
                    <xdr:col>21</xdr:col>
                    <xdr:colOff>38100</xdr:colOff>
                    <xdr:row>29</xdr:row>
                    <xdr:rowOff>85725</xdr:rowOff>
                  </from>
                  <to>
                    <xdr:col>21</xdr:col>
                    <xdr:colOff>276225</xdr:colOff>
                    <xdr:row>29</xdr:row>
                    <xdr:rowOff>276225</xdr:rowOff>
                  </to>
                </anchor>
              </controlPr>
            </control>
          </mc:Choice>
        </mc:AlternateContent>
        <mc:AlternateContent xmlns:mc="http://schemas.openxmlformats.org/markup-compatibility/2006">
          <mc:Choice Requires="x14">
            <control shapeId="5208" r:id="rId44" name="Option Button 88">
              <controlPr defaultSize="0" autoFill="0" autoLine="0" autoPict="0">
                <anchor moveWithCells="1">
                  <from>
                    <xdr:col>21</xdr:col>
                    <xdr:colOff>38100</xdr:colOff>
                    <xdr:row>30</xdr:row>
                    <xdr:rowOff>85725</xdr:rowOff>
                  </from>
                  <to>
                    <xdr:col>21</xdr:col>
                    <xdr:colOff>276225</xdr:colOff>
                    <xdr:row>30</xdr:row>
                    <xdr:rowOff>276225</xdr:rowOff>
                  </to>
                </anchor>
              </controlPr>
            </control>
          </mc:Choice>
        </mc:AlternateContent>
        <mc:AlternateContent xmlns:mc="http://schemas.openxmlformats.org/markup-compatibility/2006">
          <mc:Choice Requires="x14">
            <control shapeId="5209" r:id="rId45" name="Option Button 89">
              <controlPr defaultSize="0" autoFill="0" autoLine="0" autoPict="0">
                <anchor moveWithCells="1">
                  <from>
                    <xdr:col>21</xdr:col>
                    <xdr:colOff>38100</xdr:colOff>
                    <xdr:row>31</xdr:row>
                    <xdr:rowOff>85725</xdr:rowOff>
                  </from>
                  <to>
                    <xdr:col>21</xdr:col>
                    <xdr:colOff>276225</xdr:colOff>
                    <xdr:row>31</xdr:row>
                    <xdr:rowOff>276225</xdr:rowOff>
                  </to>
                </anchor>
              </controlPr>
            </control>
          </mc:Choice>
        </mc:AlternateContent>
        <mc:AlternateContent xmlns:mc="http://schemas.openxmlformats.org/markup-compatibility/2006">
          <mc:Choice Requires="x14">
            <control shapeId="5210" r:id="rId46" name="Option Button 90">
              <controlPr defaultSize="0" autoFill="0" autoLine="0" autoPict="0">
                <anchor moveWithCells="1">
                  <from>
                    <xdr:col>21</xdr:col>
                    <xdr:colOff>38100</xdr:colOff>
                    <xdr:row>32</xdr:row>
                    <xdr:rowOff>85725</xdr:rowOff>
                  </from>
                  <to>
                    <xdr:col>21</xdr:col>
                    <xdr:colOff>276225</xdr:colOff>
                    <xdr:row>32</xdr:row>
                    <xdr:rowOff>276225</xdr:rowOff>
                  </to>
                </anchor>
              </controlPr>
            </control>
          </mc:Choice>
        </mc:AlternateContent>
        <mc:AlternateContent xmlns:mc="http://schemas.openxmlformats.org/markup-compatibility/2006">
          <mc:Choice Requires="x14">
            <control shapeId="5211" r:id="rId47" name="Option Button 91">
              <controlPr defaultSize="0" autoFill="0" autoLine="0" autoPict="0">
                <anchor moveWithCells="1">
                  <from>
                    <xdr:col>21</xdr:col>
                    <xdr:colOff>38100</xdr:colOff>
                    <xdr:row>33</xdr:row>
                    <xdr:rowOff>85725</xdr:rowOff>
                  </from>
                  <to>
                    <xdr:col>21</xdr:col>
                    <xdr:colOff>276225</xdr:colOff>
                    <xdr:row>33</xdr:row>
                    <xdr:rowOff>276225</xdr:rowOff>
                  </to>
                </anchor>
              </controlPr>
            </control>
          </mc:Choice>
        </mc:AlternateContent>
        <mc:AlternateContent xmlns:mc="http://schemas.openxmlformats.org/markup-compatibility/2006">
          <mc:Choice Requires="x14">
            <control shapeId="5212" r:id="rId48" name="Option Button 92">
              <controlPr defaultSize="0" autoFill="0" autoLine="0" autoPict="0">
                <anchor moveWithCells="1">
                  <from>
                    <xdr:col>21</xdr:col>
                    <xdr:colOff>38100</xdr:colOff>
                    <xdr:row>34</xdr:row>
                    <xdr:rowOff>85725</xdr:rowOff>
                  </from>
                  <to>
                    <xdr:col>21</xdr:col>
                    <xdr:colOff>276225</xdr:colOff>
                    <xdr:row>34</xdr:row>
                    <xdr:rowOff>276225</xdr:rowOff>
                  </to>
                </anchor>
              </controlPr>
            </control>
          </mc:Choice>
        </mc:AlternateContent>
        <mc:AlternateContent xmlns:mc="http://schemas.openxmlformats.org/markup-compatibility/2006">
          <mc:Choice Requires="x14">
            <control shapeId="5213" r:id="rId49" name="Option Button 93">
              <controlPr defaultSize="0" autoFill="0" autoLine="0" autoPict="0">
                <anchor moveWithCells="1">
                  <from>
                    <xdr:col>21</xdr:col>
                    <xdr:colOff>38100</xdr:colOff>
                    <xdr:row>35</xdr:row>
                    <xdr:rowOff>85725</xdr:rowOff>
                  </from>
                  <to>
                    <xdr:col>21</xdr:col>
                    <xdr:colOff>276225</xdr:colOff>
                    <xdr:row>35</xdr:row>
                    <xdr:rowOff>276225</xdr:rowOff>
                  </to>
                </anchor>
              </controlPr>
            </control>
          </mc:Choice>
        </mc:AlternateContent>
        <mc:AlternateContent xmlns:mc="http://schemas.openxmlformats.org/markup-compatibility/2006">
          <mc:Choice Requires="x14">
            <control shapeId="5214" r:id="rId50" name="Option Button 94">
              <controlPr defaultSize="0" autoFill="0" autoLine="0" autoPict="0">
                <anchor moveWithCells="1">
                  <from>
                    <xdr:col>22</xdr:col>
                    <xdr:colOff>28575</xdr:colOff>
                    <xdr:row>23</xdr:row>
                    <xdr:rowOff>85725</xdr:rowOff>
                  </from>
                  <to>
                    <xdr:col>22</xdr:col>
                    <xdr:colOff>276225</xdr:colOff>
                    <xdr:row>23</xdr:row>
                    <xdr:rowOff>276225</xdr:rowOff>
                  </to>
                </anchor>
              </controlPr>
            </control>
          </mc:Choice>
        </mc:AlternateContent>
        <mc:AlternateContent xmlns:mc="http://schemas.openxmlformats.org/markup-compatibility/2006">
          <mc:Choice Requires="x14">
            <control shapeId="5215" r:id="rId51" name="Option Button 95">
              <controlPr defaultSize="0" autoFill="0" autoLine="0" autoPict="0">
                <anchor moveWithCells="1">
                  <from>
                    <xdr:col>22</xdr:col>
                    <xdr:colOff>38100</xdr:colOff>
                    <xdr:row>24</xdr:row>
                    <xdr:rowOff>85725</xdr:rowOff>
                  </from>
                  <to>
                    <xdr:col>22</xdr:col>
                    <xdr:colOff>276225</xdr:colOff>
                    <xdr:row>24</xdr:row>
                    <xdr:rowOff>276225</xdr:rowOff>
                  </to>
                </anchor>
              </controlPr>
            </control>
          </mc:Choice>
        </mc:AlternateContent>
        <mc:AlternateContent xmlns:mc="http://schemas.openxmlformats.org/markup-compatibility/2006">
          <mc:Choice Requires="x14">
            <control shapeId="5216" r:id="rId52" name="Option Button 96">
              <controlPr defaultSize="0" autoFill="0" autoLine="0" autoPict="0">
                <anchor moveWithCells="1">
                  <from>
                    <xdr:col>22</xdr:col>
                    <xdr:colOff>38100</xdr:colOff>
                    <xdr:row>25</xdr:row>
                    <xdr:rowOff>85725</xdr:rowOff>
                  </from>
                  <to>
                    <xdr:col>22</xdr:col>
                    <xdr:colOff>276225</xdr:colOff>
                    <xdr:row>25</xdr:row>
                    <xdr:rowOff>276225</xdr:rowOff>
                  </to>
                </anchor>
              </controlPr>
            </control>
          </mc:Choice>
        </mc:AlternateContent>
        <mc:AlternateContent xmlns:mc="http://schemas.openxmlformats.org/markup-compatibility/2006">
          <mc:Choice Requires="x14">
            <control shapeId="5217" r:id="rId53" name="Option Button 97">
              <controlPr defaultSize="0" autoFill="0" autoLine="0" autoPict="0">
                <anchor moveWithCells="1">
                  <from>
                    <xdr:col>22</xdr:col>
                    <xdr:colOff>38100</xdr:colOff>
                    <xdr:row>26</xdr:row>
                    <xdr:rowOff>85725</xdr:rowOff>
                  </from>
                  <to>
                    <xdr:col>22</xdr:col>
                    <xdr:colOff>276225</xdr:colOff>
                    <xdr:row>26</xdr:row>
                    <xdr:rowOff>276225</xdr:rowOff>
                  </to>
                </anchor>
              </controlPr>
            </control>
          </mc:Choice>
        </mc:AlternateContent>
        <mc:AlternateContent xmlns:mc="http://schemas.openxmlformats.org/markup-compatibility/2006">
          <mc:Choice Requires="x14">
            <control shapeId="5218" r:id="rId54" name="Option Button 98">
              <controlPr defaultSize="0" autoFill="0" autoLine="0" autoPict="0">
                <anchor moveWithCells="1">
                  <from>
                    <xdr:col>22</xdr:col>
                    <xdr:colOff>38100</xdr:colOff>
                    <xdr:row>27</xdr:row>
                    <xdr:rowOff>85725</xdr:rowOff>
                  </from>
                  <to>
                    <xdr:col>22</xdr:col>
                    <xdr:colOff>276225</xdr:colOff>
                    <xdr:row>27</xdr:row>
                    <xdr:rowOff>276225</xdr:rowOff>
                  </to>
                </anchor>
              </controlPr>
            </control>
          </mc:Choice>
        </mc:AlternateContent>
        <mc:AlternateContent xmlns:mc="http://schemas.openxmlformats.org/markup-compatibility/2006">
          <mc:Choice Requires="x14">
            <control shapeId="5219" r:id="rId55" name="Option Button 99">
              <controlPr defaultSize="0" autoFill="0" autoLine="0" autoPict="0">
                <anchor moveWithCells="1">
                  <from>
                    <xdr:col>22</xdr:col>
                    <xdr:colOff>38100</xdr:colOff>
                    <xdr:row>28</xdr:row>
                    <xdr:rowOff>85725</xdr:rowOff>
                  </from>
                  <to>
                    <xdr:col>22</xdr:col>
                    <xdr:colOff>276225</xdr:colOff>
                    <xdr:row>28</xdr:row>
                    <xdr:rowOff>276225</xdr:rowOff>
                  </to>
                </anchor>
              </controlPr>
            </control>
          </mc:Choice>
        </mc:AlternateContent>
        <mc:AlternateContent xmlns:mc="http://schemas.openxmlformats.org/markup-compatibility/2006">
          <mc:Choice Requires="x14">
            <control shapeId="5220" r:id="rId56" name="Option Button 100">
              <controlPr defaultSize="0" autoFill="0" autoLine="0" autoPict="0">
                <anchor moveWithCells="1">
                  <from>
                    <xdr:col>22</xdr:col>
                    <xdr:colOff>38100</xdr:colOff>
                    <xdr:row>29</xdr:row>
                    <xdr:rowOff>85725</xdr:rowOff>
                  </from>
                  <to>
                    <xdr:col>22</xdr:col>
                    <xdr:colOff>276225</xdr:colOff>
                    <xdr:row>29</xdr:row>
                    <xdr:rowOff>276225</xdr:rowOff>
                  </to>
                </anchor>
              </controlPr>
            </control>
          </mc:Choice>
        </mc:AlternateContent>
        <mc:AlternateContent xmlns:mc="http://schemas.openxmlformats.org/markup-compatibility/2006">
          <mc:Choice Requires="x14">
            <control shapeId="5221" r:id="rId57" name="Option Button 101">
              <controlPr defaultSize="0" autoFill="0" autoLine="0" autoPict="0">
                <anchor moveWithCells="1">
                  <from>
                    <xdr:col>22</xdr:col>
                    <xdr:colOff>38100</xdr:colOff>
                    <xdr:row>30</xdr:row>
                    <xdr:rowOff>85725</xdr:rowOff>
                  </from>
                  <to>
                    <xdr:col>22</xdr:col>
                    <xdr:colOff>276225</xdr:colOff>
                    <xdr:row>30</xdr:row>
                    <xdr:rowOff>276225</xdr:rowOff>
                  </to>
                </anchor>
              </controlPr>
            </control>
          </mc:Choice>
        </mc:AlternateContent>
        <mc:AlternateContent xmlns:mc="http://schemas.openxmlformats.org/markup-compatibility/2006">
          <mc:Choice Requires="x14">
            <control shapeId="5222" r:id="rId58" name="Option Button 102">
              <controlPr defaultSize="0" autoFill="0" autoLine="0" autoPict="0">
                <anchor moveWithCells="1">
                  <from>
                    <xdr:col>22</xdr:col>
                    <xdr:colOff>38100</xdr:colOff>
                    <xdr:row>31</xdr:row>
                    <xdr:rowOff>85725</xdr:rowOff>
                  </from>
                  <to>
                    <xdr:col>22</xdr:col>
                    <xdr:colOff>276225</xdr:colOff>
                    <xdr:row>31</xdr:row>
                    <xdr:rowOff>276225</xdr:rowOff>
                  </to>
                </anchor>
              </controlPr>
            </control>
          </mc:Choice>
        </mc:AlternateContent>
        <mc:AlternateContent xmlns:mc="http://schemas.openxmlformats.org/markup-compatibility/2006">
          <mc:Choice Requires="x14">
            <control shapeId="5223" r:id="rId59" name="Option Button 103">
              <controlPr defaultSize="0" autoFill="0" autoLine="0" autoPict="0">
                <anchor moveWithCells="1">
                  <from>
                    <xdr:col>22</xdr:col>
                    <xdr:colOff>38100</xdr:colOff>
                    <xdr:row>32</xdr:row>
                    <xdr:rowOff>85725</xdr:rowOff>
                  </from>
                  <to>
                    <xdr:col>22</xdr:col>
                    <xdr:colOff>276225</xdr:colOff>
                    <xdr:row>32</xdr:row>
                    <xdr:rowOff>276225</xdr:rowOff>
                  </to>
                </anchor>
              </controlPr>
            </control>
          </mc:Choice>
        </mc:AlternateContent>
        <mc:AlternateContent xmlns:mc="http://schemas.openxmlformats.org/markup-compatibility/2006">
          <mc:Choice Requires="x14">
            <control shapeId="5224" r:id="rId60" name="Option Button 104">
              <controlPr defaultSize="0" autoFill="0" autoLine="0" autoPict="0">
                <anchor moveWithCells="1">
                  <from>
                    <xdr:col>22</xdr:col>
                    <xdr:colOff>38100</xdr:colOff>
                    <xdr:row>33</xdr:row>
                    <xdr:rowOff>85725</xdr:rowOff>
                  </from>
                  <to>
                    <xdr:col>22</xdr:col>
                    <xdr:colOff>276225</xdr:colOff>
                    <xdr:row>33</xdr:row>
                    <xdr:rowOff>276225</xdr:rowOff>
                  </to>
                </anchor>
              </controlPr>
            </control>
          </mc:Choice>
        </mc:AlternateContent>
        <mc:AlternateContent xmlns:mc="http://schemas.openxmlformats.org/markup-compatibility/2006">
          <mc:Choice Requires="x14">
            <control shapeId="5225" r:id="rId61" name="Option Button 105">
              <controlPr defaultSize="0" autoFill="0" autoLine="0" autoPict="0">
                <anchor moveWithCells="1">
                  <from>
                    <xdr:col>22</xdr:col>
                    <xdr:colOff>38100</xdr:colOff>
                    <xdr:row>34</xdr:row>
                    <xdr:rowOff>85725</xdr:rowOff>
                  </from>
                  <to>
                    <xdr:col>22</xdr:col>
                    <xdr:colOff>276225</xdr:colOff>
                    <xdr:row>34</xdr:row>
                    <xdr:rowOff>276225</xdr:rowOff>
                  </to>
                </anchor>
              </controlPr>
            </control>
          </mc:Choice>
        </mc:AlternateContent>
        <mc:AlternateContent xmlns:mc="http://schemas.openxmlformats.org/markup-compatibility/2006">
          <mc:Choice Requires="x14">
            <control shapeId="5226" r:id="rId62" name="Option Button 106">
              <controlPr defaultSize="0" autoFill="0" autoLine="0" autoPict="0">
                <anchor moveWithCells="1">
                  <from>
                    <xdr:col>22</xdr:col>
                    <xdr:colOff>38100</xdr:colOff>
                    <xdr:row>35</xdr:row>
                    <xdr:rowOff>85725</xdr:rowOff>
                  </from>
                  <to>
                    <xdr:col>22</xdr:col>
                    <xdr:colOff>276225</xdr:colOff>
                    <xdr:row>35</xdr:row>
                    <xdr:rowOff>276225</xdr:rowOff>
                  </to>
                </anchor>
              </controlPr>
            </control>
          </mc:Choice>
        </mc:AlternateContent>
        <mc:AlternateContent xmlns:mc="http://schemas.openxmlformats.org/markup-compatibility/2006">
          <mc:Choice Requires="x14">
            <control shapeId="5242" r:id="rId63" name="Option Button 122">
              <controlPr defaultSize="0" autoFill="0" autoLine="0" autoPict="0">
                <anchor moveWithCells="1">
                  <from>
                    <xdr:col>19</xdr:col>
                    <xdr:colOff>28575</xdr:colOff>
                    <xdr:row>36</xdr:row>
                    <xdr:rowOff>85725</xdr:rowOff>
                  </from>
                  <to>
                    <xdr:col>19</xdr:col>
                    <xdr:colOff>276225</xdr:colOff>
                    <xdr:row>36</xdr:row>
                    <xdr:rowOff>276225</xdr:rowOff>
                  </to>
                </anchor>
              </controlPr>
            </control>
          </mc:Choice>
        </mc:AlternateContent>
        <mc:AlternateContent xmlns:mc="http://schemas.openxmlformats.org/markup-compatibility/2006">
          <mc:Choice Requires="x14">
            <control shapeId="5243" r:id="rId64" name="Option Button 123">
              <controlPr defaultSize="0" autoFill="0" autoLine="0" autoPict="0">
                <anchor moveWithCells="1">
                  <from>
                    <xdr:col>20</xdr:col>
                    <xdr:colOff>28575</xdr:colOff>
                    <xdr:row>36</xdr:row>
                    <xdr:rowOff>85725</xdr:rowOff>
                  </from>
                  <to>
                    <xdr:col>20</xdr:col>
                    <xdr:colOff>276225</xdr:colOff>
                    <xdr:row>36</xdr:row>
                    <xdr:rowOff>276225</xdr:rowOff>
                  </to>
                </anchor>
              </controlPr>
            </control>
          </mc:Choice>
        </mc:AlternateContent>
        <mc:AlternateContent xmlns:mc="http://schemas.openxmlformats.org/markup-compatibility/2006">
          <mc:Choice Requires="x14">
            <control shapeId="5244" r:id="rId65" name="Option Button 124">
              <controlPr defaultSize="0" autoFill="0" autoLine="0" autoPict="0">
                <anchor moveWithCells="1">
                  <from>
                    <xdr:col>21</xdr:col>
                    <xdr:colOff>28575</xdr:colOff>
                    <xdr:row>36</xdr:row>
                    <xdr:rowOff>85725</xdr:rowOff>
                  </from>
                  <to>
                    <xdr:col>21</xdr:col>
                    <xdr:colOff>276225</xdr:colOff>
                    <xdr:row>36</xdr:row>
                    <xdr:rowOff>276225</xdr:rowOff>
                  </to>
                </anchor>
              </controlPr>
            </control>
          </mc:Choice>
        </mc:AlternateContent>
        <mc:AlternateContent xmlns:mc="http://schemas.openxmlformats.org/markup-compatibility/2006">
          <mc:Choice Requires="x14">
            <control shapeId="5245" r:id="rId66" name="Option Button 125">
              <controlPr defaultSize="0" autoFill="0" autoLine="0" autoPict="0">
                <anchor moveWithCells="1">
                  <from>
                    <xdr:col>22</xdr:col>
                    <xdr:colOff>28575</xdr:colOff>
                    <xdr:row>36</xdr:row>
                    <xdr:rowOff>85725</xdr:rowOff>
                  </from>
                  <to>
                    <xdr:col>22</xdr:col>
                    <xdr:colOff>276225</xdr:colOff>
                    <xdr:row>36</xdr:row>
                    <xdr:rowOff>276225</xdr:rowOff>
                  </to>
                </anchor>
              </controlPr>
            </control>
          </mc:Choice>
        </mc:AlternateContent>
        <mc:AlternateContent xmlns:mc="http://schemas.openxmlformats.org/markup-compatibility/2006">
          <mc:Choice Requires="x14">
            <control shapeId="5246" r:id="rId67" name="Option Button 126">
              <controlPr defaultSize="0" autoFill="0" autoLine="0" autoPict="0">
                <anchor moveWithCells="1">
                  <from>
                    <xdr:col>23</xdr:col>
                    <xdr:colOff>28575</xdr:colOff>
                    <xdr:row>36</xdr:row>
                    <xdr:rowOff>85725</xdr:rowOff>
                  </from>
                  <to>
                    <xdr:col>23</xdr:col>
                    <xdr:colOff>276225</xdr:colOff>
                    <xdr:row>36</xdr:row>
                    <xdr:rowOff>276225</xdr:rowOff>
                  </to>
                </anchor>
              </controlPr>
            </control>
          </mc:Choice>
        </mc:AlternateContent>
        <mc:AlternateContent xmlns:mc="http://schemas.openxmlformats.org/markup-compatibility/2006">
          <mc:Choice Requires="x14">
            <control shapeId="5247" r:id="rId68" name="Group Box 127">
              <controlPr defaultSize="0" autoFill="0" autoPict="0">
                <anchor moveWithCells="1">
                  <from>
                    <xdr:col>19</xdr:col>
                    <xdr:colOff>0</xdr:colOff>
                    <xdr:row>47</xdr:row>
                    <xdr:rowOff>0</xdr:rowOff>
                  </from>
                  <to>
                    <xdr:col>24</xdr:col>
                    <xdr:colOff>9525</xdr:colOff>
                    <xdr:row>48</xdr:row>
                    <xdr:rowOff>9525</xdr:rowOff>
                  </to>
                </anchor>
              </controlPr>
            </control>
          </mc:Choice>
        </mc:AlternateContent>
        <mc:AlternateContent xmlns:mc="http://schemas.openxmlformats.org/markup-compatibility/2006">
          <mc:Choice Requires="x14">
            <control shapeId="5250" r:id="rId69" name="Option Button 130">
              <controlPr defaultSize="0" autoFill="0" autoLine="0" autoPict="0">
                <anchor moveWithCells="1">
                  <from>
                    <xdr:col>19</xdr:col>
                    <xdr:colOff>28575</xdr:colOff>
                    <xdr:row>47</xdr:row>
                    <xdr:rowOff>276225</xdr:rowOff>
                  </from>
                  <to>
                    <xdr:col>19</xdr:col>
                    <xdr:colOff>276225</xdr:colOff>
                    <xdr:row>47</xdr:row>
                    <xdr:rowOff>466725</xdr:rowOff>
                  </to>
                </anchor>
              </controlPr>
            </control>
          </mc:Choice>
        </mc:AlternateContent>
        <mc:AlternateContent xmlns:mc="http://schemas.openxmlformats.org/markup-compatibility/2006">
          <mc:Choice Requires="x14">
            <control shapeId="5251" r:id="rId70" name="Option Button 131">
              <controlPr defaultSize="0" autoFill="0" autoLine="0" autoPict="0">
                <anchor moveWithCells="1">
                  <from>
                    <xdr:col>19</xdr:col>
                    <xdr:colOff>28575</xdr:colOff>
                    <xdr:row>48</xdr:row>
                    <xdr:rowOff>276225</xdr:rowOff>
                  </from>
                  <to>
                    <xdr:col>19</xdr:col>
                    <xdr:colOff>276225</xdr:colOff>
                    <xdr:row>48</xdr:row>
                    <xdr:rowOff>466725</xdr:rowOff>
                  </to>
                </anchor>
              </controlPr>
            </control>
          </mc:Choice>
        </mc:AlternateContent>
        <mc:AlternateContent xmlns:mc="http://schemas.openxmlformats.org/markup-compatibility/2006">
          <mc:Choice Requires="x14">
            <control shapeId="5252" r:id="rId71" name="Option Button 132">
              <controlPr defaultSize="0" autoFill="0" autoLine="0" autoPict="0">
                <anchor moveWithCells="1">
                  <from>
                    <xdr:col>19</xdr:col>
                    <xdr:colOff>28575</xdr:colOff>
                    <xdr:row>49</xdr:row>
                    <xdr:rowOff>276225</xdr:rowOff>
                  </from>
                  <to>
                    <xdr:col>19</xdr:col>
                    <xdr:colOff>276225</xdr:colOff>
                    <xdr:row>49</xdr:row>
                    <xdr:rowOff>466725</xdr:rowOff>
                  </to>
                </anchor>
              </controlPr>
            </control>
          </mc:Choice>
        </mc:AlternateContent>
        <mc:AlternateContent xmlns:mc="http://schemas.openxmlformats.org/markup-compatibility/2006">
          <mc:Choice Requires="x14">
            <control shapeId="5253" r:id="rId72" name="Option Button 133">
              <controlPr defaultSize="0" autoFill="0" autoLine="0" autoPict="0">
                <anchor moveWithCells="1">
                  <from>
                    <xdr:col>20</xdr:col>
                    <xdr:colOff>28575</xdr:colOff>
                    <xdr:row>47</xdr:row>
                    <xdr:rowOff>276225</xdr:rowOff>
                  </from>
                  <to>
                    <xdr:col>20</xdr:col>
                    <xdr:colOff>276225</xdr:colOff>
                    <xdr:row>47</xdr:row>
                    <xdr:rowOff>466725</xdr:rowOff>
                  </to>
                </anchor>
              </controlPr>
            </control>
          </mc:Choice>
        </mc:AlternateContent>
        <mc:AlternateContent xmlns:mc="http://schemas.openxmlformats.org/markup-compatibility/2006">
          <mc:Choice Requires="x14">
            <control shapeId="5254" r:id="rId73" name="Option Button 134">
              <controlPr defaultSize="0" autoFill="0" autoLine="0" autoPict="0">
                <anchor moveWithCells="1">
                  <from>
                    <xdr:col>20</xdr:col>
                    <xdr:colOff>28575</xdr:colOff>
                    <xdr:row>48</xdr:row>
                    <xdr:rowOff>276225</xdr:rowOff>
                  </from>
                  <to>
                    <xdr:col>20</xdr:col>
                    <xdr:colOff>276225</xdr:colOff>
                    <xdr:row>48</xdr:row>
                    <xdr:rowOff>466725</xdr:rowOff>
                  </to>
                </anchor>
              </controlPr>
            </control>
          </mc:Choice>
        </mc:AlternateContent>
        <mc:AlternateContent xmlns:mc="http://schemas.openxmlformats.org/markup-compatibility/2006">
          <mc:Choice Requires="x14">
            <control shapeId="5255" r:id="rId74" name="Option Button 135">
              <controlPr defaultSize="0" autoFill="0" autoLine="0" autoPict="0">
                <anchor moveWithCells="1">
                  <from>
                    <xdr:col>20</xdr:col>
                    <xdr:colOff>28575</xdr:colOff>
                    <xdr:row>49</xdr:row>
                    <xdr:rowOff>276225</xdr:rowOff>
                  </from>
                  <to>
                    <xdr:col>20</xdr:col>
                    <xdr:colOff>276225</xdr:colOff>
                    <xdr:row>49</xdr:row>
                    <xdr:rowOff>466725</xdr:rowOff>
                  </to>
                </anchor>
              </controlPr>
            </control>
          </mc:Choice>
        </mc:AlternateContent>
        <mc:AlternateContent xmlns:mc="http://schemas.openxmlformats.org/markup-compatibility/2006">
          <mc:Choice Requires="x14">
            <control shapeId="5256" r:id="rId75" name="Option Button 136">
              <controlPr defaultSize="0" autoFill="0" autoLine="0" autoPict="0">
                <anchor moveWithCells="1">
                  <from>
                    <xdr:col>21</xdr:col>
                    <xdr:colOff>28575</xdr:colOff>
                    <xdr:row>47</xdr:row>
                    <xdr:rowOff>276225</xdr:rowOff>
                  </from>
                  <to>
                    <xdr:col>21</xdr:col>
                    <xdr:colOff>276225</xdr:colOff>
                    <xdr:row>47</xdr:row>
                    <xdr:rowOff>466725</xdr:rowOff>
                  </to>
                </anchor>
              </controlPr>
            </control>
          </mc:Choice>
        </mc:AlternateContent>
        <mc:AlternateContent xmlns:mc="http://schemas.openxmlformats.org/markup-compatibility/2006">
          <mc:Choice Requires="x14">
            <control shapeId="5257" r:id="rId76" name="Option Button 137">
              <controlPr defaultSize="0" autoFill="0" autoLine="0" autoPict="0">
                <anchor moveWithCells="1">
                  <from>
                    <xdr:col>21</xdr:col>
                    <xdr:colOff>28575</xdr:colOff>
                    <xdr:row>48</xdr:row>
                    <xdr:rowOff>276225</xdr:rowOff>
                  </from>
                  <to>
                    <xdr:col>21</xdr:col>
                    <xdr:colOff>276225</xdr:colOff>
                    <xdr:row>48</xdr:row>
                    <xdr:rowOff>466725</xdr:rowOff>
                  </to>
                </anchor>
              </controlPr>
            </control>
          </mc:Choice>
        </mc:AlternateContent>
        <mc:AlternateContent xmlns:mc="http://schemas.openxmlformats.org/markup-compatibility/2006">
          <mc:Choice Requires="x14">
            <control shapeId="5258" r:id="rId77" name="Option Button 138">
              <controlPr defaultSize="0" autoFill="0" autoLine="0" autoPict="0">
                <anchor moveWithCells="1">
                  <from>
                    <xdr:col>21</xdr:col>
                    <xdr:colOff>28575</xdr:colOff>
                    <xdr:row>49</xdr:row>
                    <xdr:rowOff>276225</xdr:rowOff>
                  </from>
                  <to>
                    <xdr:col>21</xdr:col>
                    <xdr:colOff>276225</xdr:colOff>
                    <xdr:row>49</xdr:row>
                    <xdr:rowOff>466725</xdr:rowOff>
                  </to>
                </anchor>
              </controlPr>
            </control>
          </mc:Choice>
        </mc:AlternateContent>
        <mc:AlternateContent xmlns:mc="http://schemas.openxmlformats.org/markup-compatibility/2006">
          <mc:Choice Requires="x14">
            <control shapeId="5259" r:id="rId78" name="Option Button 139">
              <controlPr defaultSize="0" autoFill="0" autoLine="0" autoPict="0">
                <anchor moveWithCells="1">
                  <from>
                    <xdr:col>22</xdr:col>
                    <xdr:colOff>28575</xdr:colOff>
                    <xdr:row>47</xdr:row>
                    <xdr:rowOff>276225</xdr:rowOff>
                  </from>
                  <to>
                    <xdr:col>22</xdr:col>
                    <xdr:colOff>276225</xdr:colOff>
                    <xdr:row>47</xdr:row>
                    <xdr:rowOff>466725</xdr:rowOff>
                  </to>
                </anchor>
              </controlPr>
            </control>
          </mc:Choice>
        </mc:AlternateContent>
        <mc:AlternateContent xmlns:mc="http://schemas.openxmlformats.org/markup-compatibility/2006">
          <mc:Choice Requires="x14">
            <control shapeId="5260" r:id="rId79" name="Option Button 140">
              <controlPr defaultSize="0" autoFill="0" autoLine="0" autoPict="0">
                <anchor moveWithCells="1">
                  <from>
                    <xdr:col>22</xdr:col>
                    <xdr:colOff>28575</xdr:colOff>
                    <xdr:row>48</xdr:row>
                    <xdr:rowOff>276225</xdr:rowOff>
                  </from>
                  <to>
                    <xdr:col>22</xdr:col>
                    <xdr:colOff>276225</xdr:colOff>
                    <xdr:row>48</xdr:row>
                    <xdr:rowOff>466725</xdr:rowOff>
                  </to>
                </anchor>
              </controlPr>
            </control>
          </mc:Choice>
        </mc:AlternateContent>
        <mc:AlternateContent xmlns:mc="http://schemas.openxmlformats.org/markup-compatibility/2006">
          <mc:Choice Requires="x14">
            <control shapeId="5261" r:id="rId80" name="Option Button 141">
              <controlPr defaultSize="0" autoFill="0" autoLine="0" autoPict="0">
                <anchor moveWithCells="1">
                  <from>
                    <xdr:col>22</xdr:col>
                    <xdr:colOff>28575</xdr:colOff>
                    <xdr:row>49</xdr:row>
                    <xdr:rowOff>276225</xdr:rowOff>
                  </from>
                  <to>
                    <xdr:col>22</xdr:col>
                    <xdr:colOff>276225</xdr:colOff>
                    <xdr:row>49</xdr:row>
                    <xdr:rowOff>466725</xdr:rowOff>
                  </to>
                </anchor>
              </controlPr>
            </control>
          </mc:Choice>
        </mc:AlternateContent>
        <mc:AlternateContent xmlns:mc="http://schemas.openxmlformats.org/markup-compatibility/2006">
          <mc:Choice Requires="x14">
            <control shapeId="5262" r:id="rId81" name="Option Button 142">
              <controlPr defaultSize="0" autoFill="0" autoLine="0" autoPict="0">
                <anchor moveWithCells="1">
                  <from>
                    <xdr:col>23</xdr:col>
                    <xdr:colOff>28575</xdr:colOff>
                    <xdr:row>47</xdr:row>
                    <xdr:rowOff>276225</xdr:rowOff>
                  </from>
                  <to>
                    <xdr:col>23</xdr:col>
                    <xdr:colOff>276225</xdr:colOff>
                    <xdr:row>47</xdr:row>
                    <xdr:rowOff>466725</xdr:rowOff>
                  </to>
                </anchor>
              </controlPr>
            </control>
          </mc:Choice>
        </mc:AlternateContent>
        <mc:AlternateContent xmlns:mc="http://schemas.openxmlformats.org/markup-compatibility/2006">
          <mc:Choice Requires="x14">
            <control shapeId="5263" r:id="rId82" name="Option Button 143">
              <controlPr defaultSize="0" autoFill="0" autoLine="0" autoPict="0">
                <anchor moveWithCells="1">
                  <from>
                    <xdr:col>23</xdr:col>
                    <xdr:colOff>28575</xdr:colOff>
                    <xdr:row>48</xdr:row>
                    <xdr:rowOff>276225</xdr:rowOff>
                  </from>
                  <to>
                    <xdr:col>23</xdr:col>
                    <xdr:colOff>276225</xdr:colOff>
                    <xdr:row>48</xdr:row>
                    <xdr:rowOff>466725</xdr:rowOff>
                  </to>
                </anchor>
              </controlPr>
            </control>
          </mc:Choice>
        </mc:AlternateContent>
        <mc:AlternateContent xmlns:mc="http://schemas.openxmlformats.org/markup-compatibility/2006">
          <mc:Choice Requires="x14">
            <control shapeId="5264" r:id="rId83" name="Option Button 144">
              <controlPr defaultSize="0" autoFill="0" autoLine="0" autoPict="0">
                <anchor moveWithCells="1">
                  <from>
                    <xdr:col>23</xdr:col>
                    <xdr:colOff>28575</xdr:colOff>
                    <xdr:row>49</xdr:row>
                    <xdr:rowOff>276225</xdr:rowOff>
                  </from>
                  <to>
                    <xdr:col>23</xdr:col>
                    <xdr:colOff>276225</xdr:colOff>
                    <xdr:row>49</xdr:row>
                    <xdr:rowOff>466725</xdr:rowOff>
                  </to>
                </anchor>
              </controlPr>
            </control>
          </mc:Choice>
        </mc:AlternateContent>
        <mc:AlternateContent xmlns:mc="http://schemas.openxmlformats.org/markup-compatibility/2006">
          <mc:Choice Requires="x14">
            <control shapeId="5265" r:id="rId84" name="Group Box 145">
              <controlPr defaultSize="0" autoFill="0" autoPict="0">
                <anchor moveWithCells="1">
                  <from>
                    <xdr:col>19</xdr:col>
                    <xdr:colOff>0</xdr:colOff>
                    <xdr:row>60</xdr:row>
                    <xdr:rowOff>0</xdr:rowOff>
                  </from>
                  <to>
                    <xdr:col>24</xdr:col>
                    <xdr:colOff>9525</xdr:colOff>
                    <xdr:row>61</xdr:row>
                    <xdr:rowOff>0</xdr:rowOff>
                  </to>
                </anchor>
              </controlPr>
            </control>
          </mc:Choice>
        </mc:AlternateContent>
        <mc:AlternateContent xmlns:mc="http://schemas.openxmlformats.org/markup-compatibility/2006">
          <mc:Choice Requires="x14">
            <control shapeId="5266" r:id="rId85" name="Group Box 146">
              <controlPr defaultSize="0" autoFill="0" autoPict="0">
                <anchor moveWithCells="1">
                  <from>
                    <xdr:col>19</xdr:col>
                    <xdr:colOff>0</xdr:colOff>
                    <xdr:row>61</xdr:row>
                    <xdr:rowOff>0</xdr:rowOff>
                  </from>
                  <to>
                    <xdr:col>24</xdr:col>
                    <xdr:colOff>9525</xdr:colOff>
                    <xdr:row>62</xdr:row>
                    <xdr:rowOff>0</xdr:rowOff>
                  </to>
                </anchor>
              </controlPr>
            </control>
          </mc:Choice>
        </mc:AlternateContent>
        <mc:AlternateContent xmlns:mc="http://schemas.openxmlformats.org/markup-compatibility/2006">
          <mc:Choice Requires="x14">
            <control shapeId="5267" r:id="rId86" name="Group Box 147">
              <controlPr defaultSize="0" autoFill="0" autoPict="0">
                <anchor moveWithCells="1">
                  <from>
                    <xdr:col>19</xdr:col>
                    <xdr:colOff>0</xdr:colOff>
                    <xdr:row>62</xdr:row>
                    <xdr:rowOff>0</xdr:rowOff>
                  </from>
                  <to>
                    <xdr:col>24</xdr:col>
                    <xdr:colOff>9525</xdr:colOff>
                    <xdr:row>63</xdr:row>
                    <xdr:rowOff>0</xdr:rowOff>
                  </to>
                </anchor>
              </controlPr>
            </control>
          </mc:Choice>
        </mc:AlternateContent>
        <mc:AlternateContent xmlns:mc="http://schemas.openxmlformats.org/markup-compatibility/2006">
          <mc:Choice Requires="x14">
            <control shapeId="5269" r:id="rId87" name="Option Button 149">
              <controlPr defaultSize="0" autoFill="0" autoLine="0" autoPict="0">
                <anchor moveWithCells="1">
                  <from>
                    <xdr:col>19</xdr:col>
                    <xdr:colOff>28575</xdr:colOff>
                    <xdr:row>60</xdr:row>
                    <xdr:rowOff>552450</xdr:rowOff>
                  </from>
                  <to>
                    <xdr:col>19</xdr:col>
                    <xdr:colOff>276225</xdr:colOff>
                    <xdr:row>60</xdr:row>
                    <xdr:rowOff>752475</xdr:rowOff>
                  </to>
                </anchor>
              </controlPr>
            </control>
          </mc:Choice>
        </mc:AlternateContent>
        <mc:AlternateContent xmlns:mc="http://schemas.openxmlformats.org/markup-compatibility/2006">
          <mc:Choice Requires="x14">
            <control shapeId="5271" r:id="rId88" name="Option Button 151">
              <controlPr defaultSize="0" autoFill="0" autoLine="0" autoPict="0">
                <anchor moveWithCells="1">
                  <from>
                    <xdr:col>19</xdr:col>
                    <xdr:colOff>28575</xdr:colOff>
                    <xdr:row>61</xdr:row>
                    <xdr:rowOff>552450</xdr:rowOff>
                  </from>
                  <to>
                    <xdr:col>19</xdr:col>
                    <xdr:colOff>276225</xdr:colOff>
                    <xdr:row>61</xdr:row>
                    <xdr:rowOff>752475</xdr:rowOff>
                  </to>
                </anchor>
              </controlPr>
            </control>
          </mc:Choice>
        </mc:AlternateContent>
        <mc:AlternateContent xmlns:mc="http://schemas.openxmlformats.org/markup-compatibility/2006">
          <mc:Choice Requires="x14">
            <control shapeId="5272" r:id="rId89" name="Option Button 152">
              <controlPr defaultSize="0" autoFill="0" autoLine="0" autoPict="0">
                <anchor moveWithCells="1">
                  <from>
                    <xdr:col>19</xdr:col>
                    <xdr:colOff>28575</xdr:colOff>
                    <xdr:row>62</xdr:row>
                    <xdr:rowOff>552450</xdr:rowOff>
                  </from>
                  <to>
                    <xdr:col>19</xdr:col>
                    <xdr:colOff>276225</xdr:colOff>
                    <xdr:row>62</xdr:row>
                    <xdr:rowOff>752475</xdr:rowOff>
                  </to>
                </anchor>
              </controlPr>
            </control>
          </mc:Choice>
        </mc:AlternateContent>
        <mc:AlternateContent xmlns:mc="http://schemas.openxmlformats.org/markup-compatibility/2006">
          <mc:Choice Requires="x14">
            <control shapeId="5273" r:id="rId90" name="Option Button 153">
              <controlPr defaultSize="0" autoFill="0" autoLine="0" autoPict="0">
                <anchor moveWithCells="1">
                  <from>
                    <xdr:col>20</xdr:col>
                    <xdr:colOff>28575</xdr:colOff>
                    <xdr:row>60</xdr:row>
                    <xdr:rowOff>552450</xdr:rowOff>
                  </from>
                  <to>
                    <xdr:col>20</xdr:col>
                    <xdr:colOff>276225</xdr:colOff>
                    <xdr:row>60</xdr:row>
                    <xdr:rowOff>752475</xdr:rowOff>
                  </to>
                </anchor>
              </controlPr>
            </control>
          </mc:Choice>
        </mc:AlternateContent>
        <mc:AlternateContent xmlns:mc="http://schemas.openxmlformats.org/markup-compatibility/2006">
          <mc:Choice Requires="x14">
            <control shapeId="5274" r:id="rId91" name="Option Button 154">
              <controlPr defaultSize="0" autoFill="0" autoLine="0" autoPict="0">
                <anchor moveWithCells="1">
                  <from>
                    <xdr:col>20</xdr:col>
                    <xdr:colOff>28575</xdr:colOff>
                    <xdr:row>61</xdr:row>
                    <xdr:rowOff>552450</xdr:rowOff>
                  </from>
                  <to>
                    <xdr:col>20</xdr:col>
                    <xdr:colOff>276225</xdr:colOff>
                    <xdr:row>61</xdr:row>
                    <xdr:rowOff>752475</xdr:rowOff>
                  </to>
                </anchor>
              </controlPr>
            </control>
          </mc:Choice>
        </mc:AlternateContent>
        <mc:AlternateContent xmlns:mc="http://schemas.openxmlformats.org/markup-compatibility/2006">
          <mc:Choice Requires="x14">
            <control shapeId="5275" r:id="rId92" name="Option Button 155">
              <controlPr defaultSize="0" autoFill="0" autoLine="0" autoPict="0">
                <anchor moveWithCells="1">
                  <from>
                    <xdr:col>20</xdr:col>
                    <xdr:colOff>28575</xdr:colOff>
                    <xdr:row>62</xdr:row>
                    <xdr:rowOff>552450</xdr:rowOff>
                  </from>
                  <to>
                    <xdr:col>20</xdr:col>
                    <xdr:colOff>276225</xdr:colOff>
                    <xdr:row>62</xdr:row>
                    <xdr:rowOff>752475</xdr:rowOff>
                  </to>
                </anchor>
              </controlPr>
            </control>
          </mc:Choice>
        </mc:AlternateContent>
        <mc:AlternateContent xmlns:mc="http://schemas.openxmlformats.org/markup-compatibility/2006">
          <mc:Choice Requires="x14">
            <control shapeId="5276" r:id="rId93" name="Option Button 156">
              <controlPr defaultSize="0" autoFill="0" autoLine="0" autoPict="0">
                <anchor moveWithCells="1">
                  <from>
                    <xdr:col>21</xdr:col>
                    <xdr:colOff>28575</xdr:colOff>
                    <xdr:row>60</xdr:row>
                    <xdr:rowOff>552450</xdr:rowOff>
                  </from>
                  <to>
                    <xdr:col>21</xdr:col>
                    <xdr:colOff>276225</xdr:colOff>
                    <xdr:row>60</xdr:row>
                    <xdr:rowOff>752475</xdr:rowOff>
                  </to>
                </anchor>
              </controlPr>
            </control>
          </mc:Choice>
        </mc:AlternateContent>
        <mc:AlternateContent xmlns:mc="http://schemas.openxmlformats.org/markup-compatibility/2006">
          <mc:Choice Requires="x14">
            <control shapeId="5277" r:id="rId94" name="Option Button 157">
              <controlPr defaultSize="0" autoFill="0" autoLine="0" autoPict="0">
                <anchor moveWithCells="1">
                  <from>
                    <xdr:col>21</xdr:col>
                    <xdr:colOff>28575</xdr:colOff>
                    <xdr:row>61</xdr:row>
                    <xdr:rowOff>552450</xdr:rowOff>
                  </from>
                  <to>
                    <xdr:col>21</xdr:col>
                    <xdr:colOff>276225</xdr:colOff>
                    <xdr:row>61</xdr:row>
                    <xdr:rowOff>752475</xdr:rowOff>
                  </to>
                </anchor>
              </controlPr>
            </control>
          </mc:Choice>
        </mc:AlternateContent>
        <mc:AlternateContent xmlns:mc="http://schemas.openxmlformats.org/markup-compatibility/2006">
          <mc:Choice Requires="x14">
            <control shapeId="5278" r:id="rId95" name="Option Button 158">
              <controlPr defaultSize="0" autoFill="0" autoLine="0" autoPict="0">
                <anchor moveWithCells="1">
                  <from>
                    <xdr:col>21</xdr:col>
                    <xdr:colOff>28575</xdr:colOff>
                    <xdr:row>62</xdr:row>
                    <xdr:rowOff>552450</xdr:rowOff>
                  </from>
                  <to>
                    <xdr:col>21</xdr:col>
                    <xdr:colOff>276225</xdr:colOff>
                    <xdr:row>62</xdr:row>
                    <xdr:rowOff>752475</xdr:rowOff>
                  </to>
                </anchor>
              </controlPr>
            </control>
          </mc:Choice>
        </mc:AlternateContent>
        <mc:AlternateContent xmlns:mc="http://schemas.openxmlformats.org/markup-compatibility/2006">
          <mc:Choice Requires="x14">
            <control shapeId="5279" r:id="rId96" name="Option Button 159">
              <controlPr defaultSize="0" autoFill="0" autoLine="0" autoPict="0">
                <anchor moveWithCells="1">
                  <from>
                    <xdr:col>22</xdr:col>
                    <xdr:colOff>28575</xdr:colOff>
                    <xdr:row>60</xdr:row>
                    <xdr:rowOff>552450</xdr:rowOff>
                  </from>
                  <to>
                    <xdr:col>22</xdr:col>
                    <xdr:colOff>276225</xdr:colOff>
                    <xdr:row>60</xdr:row>
                    <xdr:rowOff>752475</xdr:rowOff>
                  </to>
                </anchor>
              </controlPr>
            </control>
          </mc:Choice>
        </mc:AlternateContent>
        <mc:AlternateContent xmlns:mc="http://schemas.openxmlformats.org/markup-compatibility/2006">
          <mc:Choice Requires="x14">
            <control shapeId="5280" r:id="rId97" name="Option Button 160">
              <controlPr defaultSize="0" autoFill="0" autoLine="0" autoPict="0">
                <anchor moveWithCells="1">
                  <from>
                    <xdr:col>22</xdr:col>
                    <xdr:colOff>28575</xdr:colOff>
                    <xdr:row>61</xdr:row>
                    <xdr:rowOff>552450</xdr:rowOff>
                  </from>
                  <to>
                    <xdr:col>22</xdr:col>
                    <xdr:colOff>276225</xdr:colOff>
                    <xdr:row>61</xdr:row>
                    <xdr:rowOff>752475</xdr:rowOff>
                  </to>
                </anchor>
              </controlPr>
            </control>
          </mc:Choice>
        </mc:AlternateContent>
        <mc:AlternateContent xmlns:mc="http://schemas.openxmlformats.org/markup-compatibility/2006">
          <mc:Choice Requires="x14">
            <control shapeId="5281" r:id="rId98" name="Option Button 161">
              <controlPr defaultSize="0" autoFill="0" autoLine="0" autoPict="0">
                <anchor moveWithCells="1">
                  <from>
                    <xdr:col>22</xdr:col>
                    <xdr:colOff>28575</xdr:colOff>
                    <xdr:row>62</xdr:row>
                    <xdr:rowOff>552450</xdr:rowOff>
                  </from>
                  <to>
                    <xdr:col>22</xdr:col>
                    <xdr:colOff>276225</xdr:colOff>
                    <xdr:row>62</xdr:row>
                    <xdr:rowOff>752475</xdr:rowOff>
                  </to>
                </anchor>
              </controlPr>
            </control>
          </mc:Choice>
        </mc:AlternateContent>
        <mc:AlternateContent xmlns:mc="http://schemas.openxmlformats.org/markup-compatibility/2006">
          <mc:Choice Requires="x14">
            <control shapeId="5282" r:id="rId99" name="Option Button 162">
              <controlPr defaultSize="0" autoFill="0" autoLine="0" autoPict="0">
                <anchor moveWithCells="1">
                  <from>
                    <xdr:col>23</xdr:col>
                    <xdr:colOff>28575</xdr:colOff>
                    <xdr:row>60</xdr:row>
                    <xdr:rowOff>552450</xdr:rowOff>
                  </from>
                  <to>
                    <xdr:col>23</xdr:col>
                    <xdr:colOff>276225</xdr:colOff>
                    <xdr:row>60</xdr:row>
                    <xdr:rowOff>752475</xdr:rowOff>
                  </to>
                </anchor>
              </controlPr>
            </control>
          </mc:Choice>
        </mc:AlternateContent>
        <mc:AlternateContent xmlns:mc="http://schemas.openxmlformats.org/markup-compatibility/2006">
          <mc:Choice Requires="x14">
            <control shapeId="5283" r:id="rId100" name="Option Button 163">
              <controlPr defaultSize="0" autoFill="0" autoLine="0" autoPict="0">
                <anchor moveWithCells="1">
                  <from>
                    <xdr:col>23</xdr:col>
                    <xdr:colOff>28575</xdr:colOff>
                    <xdr:row>61</xdr:row>
                    <xdr:rowOff>552450</xdr:rowOff>
                  </from>
                  <to>
                    <xdr:col>23</xdr:col>
                    <xdr:colOff>276225</xdr:colOff>
                    <xdr:row>61</xdr:row>
                    <xdr:rowOff>752475</xdr:rowOff>
                  </to>
                </anchor>
              </controlPr>
            </control>
          </mc:Choice>
        </mc:AlternateContent>
        <mc:AlternateContent xmlns:mc="http://schemas.openxmlformats.org/markup-compatibility/2006">
          <mc:Choice Requires="x14">
            <control shapeId="5284" r:id="rId101" name="Option Button 164">
              <controlPr defaultSize="0" autoFill="0" autoLine="0" autoPict="0">
                <anchor moveWithCells="1">
                  <from>
                    <xdr:col>23</xdr:col>
                    <xdr:colOff>28575</xdr:colOff>
                    <xdr:row>62</xdr:row>
                    <xdr:rowOff>552450</xdr:rowOff>
                  </from>
                  <to>
                    <xdr:col>23</xdr:col>
                    <xdr:colOff>276225</xdr:colOff>
                    <xdr:row>62</xdr:row>
                    <xdr:rowOff>752475</xdr:rowOff>
                  </to>
                </anchor>
              </controlPr>
            </control>
          </mc:Choice>
        </mc:AlternateContent>
        <mc:AlternateContent xmlns:mc="http://schemas.openxmlformats.org/markup-compatibility/2006">
          <mc:Choice Requires="x14">
            <control shapeId="5420" r:id="rId102" name="Group Box 300">
              <controlPr defaultSize="0" autoFill="0" autoPict="0">
                <anchor moveWithCells="1">
                  <from>
                    <xdr:col>19</xdr:col>
                    <xdr:colOff>0</xdr:colOff>
                    <xdr:row>257</xdr:row>
                    <xdr:rowOff>9525</xdr:rowOff>
                  </from>
                  <to>
                    <xdr:col>24</xdr:col>
                    <xdr:colOff>0</xdr:colOff>
                    <xdr:row>263</xdr:row>
                    <xdr:rowOff>0</xdr:rowOff>
                  </to>
                </anchor>
              </controlPr>
            </control>
          </mc:Choice>
        </mc:AlternateContent>
        <mc:AlternateContent xmlns:mc="http://schemas.openxmlformats.org/markup-compatibility/2006">
          <mc:Choice Requires="x14">
            <control shapeId="5425" r:id="rId103" name="Option Button 305">
              <controlPr defaultSize="0" autoFill="0" autoLine="0" autoPict="0">
                <anchor moveWithCells="1">
                  <from>
                    <xdr:col>19</xdr:col>
                    <xdr:colOff>38100</xdr:colOff>
                    <xdr:row>241</xdr:row>
                    <xdr:rowOff>104775</xdr:rowOff>
                  </from>
                  <to>
                    <xdr:col>19</xdr:col>
                    <xdr:colOff>276225</xdr:colOff>
                    <xdr:row>242</xdr:row>
                    <xdr:rowOff>95250</xdr:rowOff>
                  </to>
                </anchor>
              </controlPr>
            </control>
          </mc:Choice>
        </mc:AlternateContent>
        <mc:AlternateContent xmlns:mc="http://schemas.openxmlformats.org/markup-compatibility/2006">
          <mc:Choice Requires="x14">
            <control shapeId="5426" r:id="rId104" name="Option Button 306">
              <controlPr defaultSize="0" autoFill="0" autoLine="0" autoPict="0">
                <anchor moveWithCells="1">
                  <from>
                    <xdr:col>19</xdr:col>
                    <xdr:colOff>38100</xdr:colOff>
                    <xdr:row>247</xdr:row>
                    <xdr:rowOff>114300</xdr:rowOff>
                  </from>
                  <to>
                    <xdr:col>19</xdr:col>
                    <xdr:colOff>276225</xdr:colOff>
                    <xdr:row>248</xdr:row>
                    <xdr:rowOff>104775</xdr:rowOff>
                  </to>
                </anchor>
              </controlPr>
            </control>
          </mc:Choice>
        </mc:AlternateContent>
        <mc:AlternateContent xmlns:mc="http://schemas.openxmlformats.org/markup-compatibility/2006">
          <mc:Choice Requires="x14">
            <control shapeId="5434" r:id="rId105" name="Option Button 314">
              <controlPr defaultSize="0" autoFill="0" autoLine="0" autoPict="0">
                <anchor moveWithCells="1">
                  <from>
                    <xdr:col>20</xdr:col>
                    <xdr:colOff>38100</xdr:colOff>
                    <xdr:row>241</xdr:row>
                    <xdr:rowOff>114300</xdr:rowOff>
                  </from>
                  <to>
                    <xdr:col>20</xdr:col>
                    <xdr:colOff>276225</xdr:colOff>
                    <xdr:row>242</xdr:row>
                    <xdr:rowOff>104775</xdr:rowOff>
                  </to>
                </anchor>
              </controlPr>
            </control>
          </mc:Choice>
        </mc:AlternateContent>
        <mc:AlternateContent xmlns:mc="http://schemas.openxmlformats.org/markup-compatibility/2006">
          <mc:Choice Requires="x14">
            <control shapeId="5435" r:id="rId106" name="Option Button 315">
              <controlPr defaultSize="0" autoFill="0" autoLine="0" autoPict="0">
                <anchor moveWithCells="1">
                  <from>
                    <xdr:col>20</xdr:col>
                    <xdr:colOff>38100</xdr:colOff>
                    <xdr:row>247</xdr:row>
                    <xdr:rowOff>123825</xdr:rowOff>
                  </from>
                  <to>
                    <xdr:col>20</xdr:col>
                    <xdr:colOff>276225</xdr:colOff>
                    <xdr:row>248</xdr:row>
                    <xdr:rowOff>104775</xdr:rowOff>
                  </to>
                </anchor>
              </controlPr>
            </control>
          </mc:Choice>
        </mc:AlternateContent>
        <mc:AlternateContent xmlns:mc="http://schemas.openxmlformats.org/markup-compatibility/2006">
          <mc:Choice Requires="x14">
            <control shapeId="5436" r:id="rId107" name="Option Button 316">
              <controlPr defaultSize="0" autoFill="0" autoLine="0" autoPict="0">
                <anchor moveWithCells="1">
                  <from>
                    <xdr:col>19</xdr:col>
                    <xdr:colOff>28575</xdr:colOff>
                    <xdr:row>253</xdr:row>
                    <xdr:rowOff>152400</xdr:rowOff>
                  </from>
                  <to>
                    <xdr:col>19</xdr:col>
                    <xdr:colOff>266700</xdr:colOff>
                    <xdr:row>254</xdr:row>
                    <xdr:rowOff>142875</xdr:rowOff>
                  </to>
                </anchor>
              </controlPr>
            </control>
          </mc:Choice>
        </mc:AlternateContent>
        <mc:AlternateContent xmlns:mc="http://schemas.openxmlformats.org/markup-compatibility/2006">
          <mc:Choice Requires="x14">
            <control shapeId="5437" r:id="rId108" name="Option Button 317">
              <controlPr defaultSize="0" autoFill="0" autoLine="0" autoPict="0">
                <anchor moveWithCells="1">
                  <from>
                    <xdr:col>19</xdr:col>
                    <xdr:colOff>38100</xdr:colOff>
                    <xdr:row>259</xdr:row>
                    <xdr:rowOff>152400</xdr:rowOff>
                  </from>
                  <to>
                    <xdr:col>19</xdr:col>
                    <xdr:colOff>276225</xdr:colOff>
                    <xdr:row>260</xdr:row>
                    <xdr:rowOff>142875</xdr:rowOff>
                  </to>
                </anchor>
              </controlPr>
            </control>
          </mc:Choice>
        </mc:AlternateContent>
        <mc:AlternateContent xmlns:mc="http://schemas.openxmlformats.org/markup-compatibility/2006">
          <mc:Choice Requires="x14">
            <control shapeId="5438" r:id="rId109" name="Option Button 318">
              <controlPr defaultSize="0" autoFill="0" autoLine="0" autoPict="0">
                <anchor moveWithCells="1">
                  <from>
                    <xdr:col>19</xdr:col>
                    <xdr:colOff>38100</xdr:colOff>
                    <xdr:row>265</xdr:row>
                    <xdr:rowOff>161925</xdr:rowOff>
                  </from>
                  <to>
                    <xdr:col>19</xdr:col>
                    <xdr:colOff>276225</xdr:colOff>
                    <xdr:row>266</xdr:row>
                    <xdr:rowOff>161925</xdr:rowOff>
                  </to>
                </anchor>
              </controlPr>
            </control>
          </mc:Choice>
        </mc:AlternateContent>
        <mc:AlternateContent xmlns:mc="http://schemas.openxmlformats.org/markup-compatibility/2006">
          <mc:Choice Requires="x14">
            <control shapeId="5439" r:id="rId110" name="Option Button 319">
              <controlPr defaultSize="0" autoFill="0" autoLine="0" autoPict="0">
                <anchor moveWithCells="1">
                  <from>
                    <xdr:col>19</xdr:col>
                    <xdr:colOff>38100</xdr:colOff>
                    <xdr:row>271</xdr:row>
                    <xdr:rowOff>152400</xdr:rowOff>
                  </from>
                  <to>
                    <xdr:col>19</xdr:col>
                    <xdr:colOff>276225</xdr:colOff>
                    <xdr:row>272</xdr:row>
                    <xdr:rowOff>142875</xdr:rowOff>
                  </to>
                </anchor>
              </controlPr>
            </control>
          </mc:Choice>
        </mc:AlternateContent>
        <mc:AlternateContent xmlns:mc="http://schemas.openxmlformats.org/markup-compatibility/2006">
          <mc:Choice Requires="x14">
            <control shapeId="5441" r:id="rId111" name="Option Button 321">
              <controlPr defaultSize="0" autoFill="0" autoLine="0" autoPict="0">
                <anchor moveWithCells="1">
                  <from>
                    <xdr:col>19</xdr:col>
                    <xdr:colOff>38100</xdr:colOff>
                    <xdr:row>277</xdr:row>
                    <xdr:rowOff>114300</xdr:rowOff>
                  </from>
                  <to>
                    <xdr:col>19</xdr:col>
                    <xdr:colOff>276225</xdr:colOff>
                    <xdr:row>278</xdr:row>
                    <xdr:rowOff>104775</xdr:rowOff>
                  </to>
                </anchor>
              </controlPr>
            </control>
          </mc:Choice>
        </mc:AlternateContent>
        <mc:AlternateContent xmlns:mc="http://schemas.openxmlformats.org/markup-compatibility/2006">
          <mc:Choice Requires="x14">
            <control shapeId="5442" r:id="rId112" name="Option Button 322">
              <controlPr defaultSize="0" autoFill="0" autoLine="0" autoPict="0">
                <anchor moveWithCells="1">
                  <from>
                    <xdr:col>21</xdr:col>
                    <xdr:colOff>38100</xdr:colOff>
                    <xdr:row>241</xdr:row>
                    <xdr:rowOff>123825</xdr:rowOff>
                  </from>
                  <to>
                    <xdr:col>21</xdr:col>
                    <xdr:colOff>276225</xdr:colOff>
                    <xdr:row>242</xdr:row>
                    <xdr:rowOff>104775</xdr:rowOff>
                  </to>
                </anchor>
              </controlPr>
            </control>
          </mc:Choice>
        </mc:AlternateContent>
        <mc:AlternateContent xmlns:mc="http://schemas.openxmlformats.org/markup-compatibility/2006">
          <mc:Choice Requires="x14">
            <control shapeId="5443" r:id="rId113" name="Option Button 323">
              <controlPr defaultSize="0" autoFill="0" autoLine="0" autoPict="0">
                <anchor moveWithCells="1">
                  <from>
                    <xdr:col>21</xdr:col>
                    <xdr:colOff>38100</xdr:colOff>
                    <xdr:row>247</xdr:row>
                    <xdr:rowOff>133350</xdr:rowOff>
                  </from>
                  <to>
                    <xdr:col>21</xdr:col>
                    <xdr:colOff>276225</xdr:colOff>
                    <xdr:row>248</xdr:row>
                    <xdr:rowOff>123825</xdr:rowOff>
                  </to>
                </anchor>
              </controlPr>
            </control>
          </mc:Choice>
        </mc:AlternateContent>
        <mc:AlternateContent xmlns:mc="http://schemas.openxmlformats.org/markup-compatibility/2006">
          <mc:Choice Requires="x14">
            <control shapeId="5444" r:id="rId114" name="Option Button 324">
              <controlPr defaultSize="0" autoFill="0" autoLine="0" autoPict="0">
                <anchor moveWithCells="1">
                  <from>
                    <xdr:col>20</xdr:col>
                    <xdr:colOff>28575</xdr:colOff>
                    <xdr:row>253</xdr:row>
                    <xdr:rowOff>161925</xdr:rowOff>
                  </from>
                  <to>
                    <xdr:col>20</xdr:col>
                    <xdr:colOff>266700</xdr:colOff>
                    <xdr:row>254</xdr:row>
                    <xdr:rowOff>142875</xdr:rowOff>
                  </to>
                </anchor>
              </controlPr>
            </control>
          </mc:Choice>
        </mc:AlternateContent>
        <mc:AlternateContent xmlns:mc="http://schemas.openxmlformats.org/markup-compatibility/2006">
          <mc:Choice Requires="x14">
            <control shapeId="5445" r:id="rId115" name="Option Button 325">
              <controlPr defaultSize="0" autoFill="0" autoLine="0" autoPict="0">
                <anchor moveWithCells="1">
                  <from>
                    <xdr:col>20</xdr:col>
                    <xdr:colOff>38100</xdr:colOff>
                    <xdr:row>259</xdr:row>
                    <xdr:rowOff>161925</xdr:rowOff>
                  </from>
                  <to>
                    <xdr:col>20</xdr:col>
                    <xdr:colOff>276225</xdr:colOff>
                    <xdr:row>260</xdr:row>
                    <xdr:rowOff>161925</xdr:rowOff>
                  </to>
                </anchor>
              </controlPr>
            </control>
          </mc:Choice>
        </mc:AlternateContent>
        <mc:AlternateContent xmlns:mc="http://schemas.openxmlformats.org/markup-compatibility/2006">
          <mc:Choice Requires="x14">
            <control shapeId="5446" r:id="rId116" name="Option Button 326">
              <controlPr defaultSize="0" autoFill="0" autoLine="0" autoPict="0">
                <anchor moveWithCells="1">
                  <from>
                    <xdr:col>20</xdr:col>
                    <xdr:colOff>38100</xdr:colOff>
                    <xdr:row>265</xdr:row>
                    <xdr:rowOff>171450</xdr:rowOff>
                  </from>
                  <to>
                    <xdr:col>20</xdr:col>
                    <xdr:colOff>276225</xdr:colOff>
                    <xdr:row>266</xdr:row>
                    <xdr:rowOff>161925</xdr:rowOff>
                  </to>
                </anchor>
              </controlPr>
            </control>
          </mc:Choice>
        </mc:AlternateContent>
        <mc:AlternateContent xmlns:mc="http://schemas.openxmlformats.org/markup-compatibility/2006">
          <mc:Choice Requires="x14">
            <control shapeId="5447" r:id="rId117" name="Option Button 327">
              <controlPr defaultSize="0" autoFill="0" autoLine="0" autoPict="0">
                <anchor moveWithCells="1">
                  <from>
                    <xdr:col>20</xdr:col>
                    <xdr:colOff>38100</xdr:colOff>
                    <xdr:row>271</xdr:row>
                    <xdr:rowOff>161925</xdr:rowOff>
                  </from>
                  <to>
                    <xdr:col>20</xdr:col>
                    <xdr:colOff>276225</xdr:colOff>
                    <xdr:row>272</xdr:row>
                    <xdr:rowOff>161925</xdr:rowOff>
                  </to>
                </anchor>
              </controlPr>
            </control>
          </mc:Choice>
        </mc:AlternateContent>
        <mc:AlternateContent xmlns:mc="http://schemas.openxmlformats.org/markup-compatibility/2006">
          <mc:Choice Requires="x14">
            <control shapeId="5449" r:id="rId118" name="Option Button 329">
              <controlPr defaultSize="0" autoFill="0" autoLine="0" autoPict="0">
                <anchor moveWithCells="1">
                  <from>
                    <xdr:col>20</xdr:col>
                    <xdr:colOff>38100</xdr:colOff>
                    <xdr:row>277</xdr:row>
                    <xdr:rowOff>123825</xdr:rowOff>
                  </from>
                  <to>
                    <xdr:col>20</xdr:col>
                    <xdr:colOff>276225</xdr:colOff>
                    <xdr:row>278</xdr:row>
                    <xdr:rowOff>114300</xdr:rowOff>
                  </to>
                </anchor>
              </controlPr>
            </control>
          </mc:Choice>
        </mc:AlternateContent>
        <mc:AlternateContent xmlns:mc="http://schemas.openxmlformats.org/markup-compatibility/2006">
          <mc:Choice Requires="x14">
            <control shapeId="5450" r:id="rId119" name="Option Button 330">
              <controlPr defaultSize="0" autoFill="0" autoLine="0" autoPict="0">
                <anchor moveWithCells="1">
                  <from>
                    <xdr:col>22</xdr:col>
                    <xdr:colOff>38100</xdr:colOff>
                    <xdr:row>241</xdr:row>
                    <xdr:rowOff>123825</xdr:rowOff>
                  </from>
                  <to>
                    <xdr:col>22</xdr:col>
                    <xdr:colOff>276225</xdr:colOff>
                    <xdr:row>242</xdr:row>
                    <xdr:rowOff>104775</xdr:rowOff>
                  </to>
                </anchor>
              </controlPr>
            </control>
          </mc:Choice>
        </mc:AlternateContent>
        <mc:AlternateContent xmlns:mc="http://schemas.openxmlformats.org/markup-compatibility/2006">
          <mc:Choice Requires="x14">
            <control shapeId="5451" r:id="rId120" name="Option Button 331">
              <controlPr defaultSize="0" autoFill="0" autoLine="0" autoPict="0">
                <anchor moveWithCells="1">
                  <from>
                    <xdr:col>22</xdr:col>
                    <xdr:colOff>38100</xdr:colOff>
                    <xdr:row>247</xdr:row>
                    <xdr:rowOff>133350</xdr:rowOff>
                  </from>
                  <to>
                    <xdr:col>22</xdr:col>
                    <xdr:colOff>276225</xdr:colOff>
                    <xdr:row>248</xdr:row>
                    <xdr:rowOff>123825</xdr:rowOff>
                  </to>
                </anchor>
              </controlPr>
            </control>
          </mc:Choice>
        </mc:AlternateContent>
        <mc:AlternateContent xmlns:mc="http://schemas.openxmlformats.org/markup-compatibility/2006">
          <mc:Choice Requires="x14">
            <control shapeId="5452" r:id="rId121" name="Option Button 332">
              <controlPr defaultSize="0" autoFill="0" autoLine="0" autoPict="0">
                <anchor moveWithCells="1">
                  <from>
                    <xdr:col>21</xdr:col>
                    <xdr:colOff>28575</xdr:colOff>
                    <xdr:row>253</xdr:row>
                    <xdr:rowOff>161925</xdr:rowOff>
                  </from>
                  <to>
                    <xdr:col>21</xdr:col>
                    <xdr:colOff>266700</xdr:colOff>
                    <xdr:row>254</xdr:row>
                    <xdr:rowOff>142875</xdr:rowOff>
                  </to>
                </anchor>
              </controlPr>
            </control>
          </mc:Choice>
        </mc:AlternateContent>
        <mc:AlternateContent xmlns:mc="http://schemas.openxmlformats.org/markup-compatibility/2006">
          <mc:Choice Requires="x14">
            <control shapeId="5453" r:id="rId122" name="Option Button 333">
              <controlPr defaultSize="0" autoFill="0" autoLine="0" autoPict="0">
                <anchor moveWithCells="1">
                  <from>
                    <xdr:col>21</xdr:col>
                    <xdr:colOff>38100</xdr:colOff>
                    <xdr:row>259</xdr:row>
                    <xdr:rowOff>161925</xdr:rowOff>
                  </from>
                  <to>
                    <xdr:col>21</xdr:col>
                    <xdr:colOff>276225</xdr:colOff>
                    <xdr:row>260</xdr:row>
                    <xdr:rowOff>161925</xdr:rowOff>
                  </to>
                </anchor>
              </controlPr>
            </control>
          </mc:Choice>
        </mc:AlternateContent>
        <mc:AlternateContent xmlns:mc="http://schemas.openxmlformats.org/markup-compatibility/2006">
          <mc:Choice Requires="x14">
            <control shapeId="5454" r:id="rId123" name="Option Button 334">
              <controlPr defaultSize="0" autoFill="0" autoLine="0" autoPict="0">
                <anchor moveWithCells="1">
                  <from>
                    <xdr:col>21</xdr:col>
                    <xdr:colOff>38100</xdr:colOff>
                    <xdr:row>265</xdr:row>
                    <xdr:rowOff>171450</xdr:rowOff>
                  </from>
                  <to>
                    <xdr:col>21</xdr:col>
                    <xdr:colOff>276225</xdr:colOff>
                    <xdr:row>266</xdr:row>
                    <xdr:rowOff>161925</xdr:rowOff>
                  </to>
                </anchor>
              </controlPr>
            </control>
          </mc:Choice>
        </mc:AlternateContent>
        <mc:AlternateContent xmlns:mc="http://schemas.openxmlformats.org/markup-compatibility/2006">
          <mc:Choice Requires="x14">
            <control shapeId="5455" r:id="rId124" name="Option Button 335">
              <controlPr defaultSize="0" autoFill="0" autoLine="0" autoPict="0">
                <anchor moveWithCells="1">
                  <from>
                    <xdr:col>21</xdr:col>
                    <xdr:colOff>38100</xdr:colOff>
                    <xdr:row>271</xdr:row>
                    <xdr:rowOff>161925</xdr:rowOff>
                  </from>
                  <to>
                    <xdr:col>21</xdr:col>
                    <xdr:colOff>276225</xdr:colOff>
                    <xdr:row>272</xdr:row>
                    <xdr:rowOff>161925</xdr:rowOff>
                  </to>
                </anchor>
              </controlPr>
            </control>
          </mc:Choice>
        </mc:AlternateContent>
        <mc:AlternateContent xmlns:mc="http://schemas.openxmlformats.org/markup-compatibility/2006">
          <mc:Choice Requires="x14">
            <control shapeId="5457" r:id="rId125" name="Option Button 337">
              <controlPr defaultSize="0" autoFill="0" autoLine="0" autoPict="0">
                <anchor moveWithCells="1">
                  <from>
                    <xdr:col>21</xdr:col>
                    <xdr:colOff>38100</xdr:colOff>
                    <xdr:row>277</xdr:row>
                    <xdr:rowOff>123825</xdr:rowOff>
                  </from>
                  <to>
                    <xdr:col>21</xdr:col>
                    <xdr:colOff>276225</xdr:colOff>
                    <xdr:row>278</xdr:row>
                    <xdr:rowOff>114300</xdr:rowOff>
                  </to>
                </anchor>
              </controlPr>
            </control>
          </mc:Choice>
        </mc:AlternateContent>
        <mc:AlternateContent xmlns:mc="http://schemas.openxmlformats.org/markup-compatibility/2006">
          <mc:Choice Requires="x14">
            <control shapeId="5458" r:id="rId126" name="Option Button 338">
              <controlPr defaultSize="0" autoFill="0" autoLine="0" autoPict="0">
                <anchor moveWithCells="1">
                  <from>
                    <xdr:col>23</xdr:col>
                    <xdr:colOff>38100</xdr:colOff>
                    <xdr:row>241</xdr:row>
                    <xdr:rowOff>123825</xdr:rowOff>
                  </from>
                  <to>
                    <xdr:col>23</xdr:col>
                    <xdr:colOff>276225</xdr:colOff>
                    <xdr:row>242</xdr:row>
                    <xdr:rowOff>104775</xdr:rowOff>
                  </to>
                </anchor>
              </controlPr>
            </control>
          </mc:Choice>
        </mc:AlternateContent>
        <mc:AlternateContent xmlns:mc="http://schemas.openxmlformats.org/markup-compatibility/2006">
          <mc:Choice Requires="x14">
            <control shapeId="5459" r:id="rId127" name="Option Button 339">
              <controlPr defaultSize="0" autoFill="0" autoLine="0" autoPict="0">
                <anchor moveWithCells="1">
                  <from>
                    <xdr:col>23</xdr:col>
                    <xdr:colOff>38100</xdr:colOff>
                    <xdr:row>247</xdr:row>
                    <xdr:rowOff>133350</xdr:rowOff>
                  </from>
                  <to>
                    <xdr:col>23</xdr:col>
                    <xdr:colOff>276225</xdr:colOff>
                    <xdr:row>248</xdr:row>
                    <xdr:rowOff>123825</xdr:rowOff>
                  </to>
                </anchor>
              </controlPr>
            </control>
          </mc:Choice>
        </mc:AlternateContent>
        <mc:AlternateContent xmlns:mc="http://schemas.openxmlformats.org/markup-compatibility/2006">
          <mc:Choice Requires="x14">
            <control shapeId="5460" r:id="rId128" name="Option Button 340">
              <controlPr defaultSize="0" autoFill="0" autoLine="0" autoPict="0">
                <anchor moveWithCells="1">
                  <from>
                    <xdr:col>22</xdr:col>
                    <xdr:colOff>38100</xdr:colOff>
                    <xdr:row>253</xdr:row>
                    <xdr:rowOff>161925</xdr:rowOff>
                  </from>
                  <to>
                    <xdr:col>22</xdr:col>
                    <xdr:colOff>276225</xdr:colOff>
                    <xdr:row>254</xdr:row>
                    <xdr:rowOff>142875</xdr:rowOff>
                  </to>
                </anchor>
              </controlPr>
            </control>
          </mc:Choice>
        </mc:AlternateContent>
        <mc:AlternateContent xmlns:mc="http://schemas.openxmlformats.org/markup-compatibility/2006">
          <mc:Choice Requires="x14">
            <control shapeId="5461" r:id="rId129" name="Option Button 341">
              <controlPr defaultSize="0" autoFill="0" autoLine="0" autoPict="0">
                <anchor moveWithCells="1">
                  <from>
                    <xdr:col>22</xdr:col>
                    <xdr:colOff>38100</xdr:colOff>
                    <xdr:row>259</xdr:row>
                    <xdr:rowOff>161925</xdr:rowOff>
                  </from>
                  <to>
                    <xdr:col>22</xdr:col>
                    <xdr:colOff>276225</xdr:colOff>
                    <xdr:row>260</xdr:row>
                    <xdr:rowOff>161925</xdr:rowOff>
                  </to>
                </anchor>
              </controlPr>
            </control>
          </mc:Choice>
        </mc:AlternateContent>
        <mc:AlternateContent xmlns:mc="http://schemas.openxmlformats.org/markup-compatibility/2006">
          <mc:Choice Requires="x14">
            <control shapeId="5462" r:id="rId130" name="Option Button 342">
              <controlPr defaultSize="0" autoFill="0" autoLine="0" autoPict="0">
                <anchor moveWithCells="1">
                  <from>
                    <xdr:col>22</xdr:col>
                    <xdr:colOff>38100</xdr:colOff>
                    <xdr:row>265</xdr:row>
                    <xdr:rowOff>171450</xdr:rowOff>
                  </from>
                  <to>
                    <xdr:col>22</xdr:col>
                    <xdr:colOff>276225</xdr:colOff>
                    <xdr:row>266</xdr:row>
                    <xdr:rowOff>161925</xdr:rowOff>
                  </to>
                </anchor>
              </controlPr>
            </control>
          </mc:Choice>
        </mc:AlternateContent>
        <mc:AlternateContent xmlns:mc="http://schemas.openxmlformats.org/markup-compatibility/2006">
          <mc:Choice Requires="x14">
            <control shapeId="5463" r:id="rId131" name="Option Button 343">
              <controlPr defaultSize="0" autoFill="0" autoLine="0" autoPict="0">
                <anchor moveWithCells="1">
                  <from>
                    <xdr:col>22</xdr:col>
                    <xdr:colOff>38100</xdr:colOff>
                    <xdr:row>271</xdr:row>
                    <xdr:rowOff>161925</xdr:rowOff>
                  </from>
                  <to>
                    <xdr:col>22</xdr:col>
                    <xdr:colOff>276225</xdr:colOff>
                    <xdr:row>272</xdr:row>
                    <xdr:rowOff>161925</xdr:rowOff>
                  </to>
                </anchor>
              </controlPr>
            </control>
          </mc:Choice>
        </mc:AlternateContent>
        <mc:AlternateContent xmlns:mc="http://schemas.openxmlformats.org/markup-compatibility/2006">
          <mc:Choice Requires="x14">
            <control shapeId="5465" r:id="rId132" name="Option Button 345">
              <controlPr defaultSize="0" autoFill="0" autoLine="0" autoPict="0">
                <anchor moveWithCells="1">
                  <from>
                    <xdr:col>22</xdr:col>
                    <xdr:colOff>38100</xdr:colOff>
                    <xdr:row>277</xdr:row>
                    <xdr:rowOff>123825</xdr:rowOff>
                  </from>
                  <to>
                    <xdr:col>22</xdr:col>
                    <xdr:colOff>276225</xdr:colOff>
                    <xdr:row>278</xdr:row>
                    <xdr:rowOff>114300</xdr:rowOff>
                  </to>
                </anchor>
              </controlPr>
            </control>
          </mc:Choice>
        </mc:AlternateContent>
        <mc:AlternateContent xmlns:mc="http://schemas.openxmlformats.org/markup-compatibility/2006">
          <mc:Choice Requires="x14">
            <control shapeId="5466" r:id="rId133" name="Group Box 346">
              <controlPr defaultSize="0" autoFill="0" autoPict="0">
                <anchor moveWithCells="1">
                  <from>
                    <xdr:col>19</xdr:col>
                    <xdr:colOff>0</xdr:colOff>
                    <xdr:row>287</xdr:row>
                    <xdr:rowOff>9525</xdr:rowOff>
                  </from>
                  <to>
                    <xdr:col>24</xdr:col>
                    <xdr:colOff>0</xdr:colOff>
                    <xdr:row>292</xdr:row>
                    <xdr:rowOff>180975</xdr:rowOff>
                  </to>
                </anchor>
              </controlPr>
            </control>
          </mc:Choice>
        </mc:AlternateContent>
        <mc:AlternateContent xmlns:mc="http://schemas.openxmlformats.org/markup-compatibility/2006">
          <mc:Choice Requires="x14">
            <control shapeId="5467" r:id="rId134" name="Group Box 347">
              <controlPr defaultSize="0" autoFill="0" autoPict="0">
                <anchor moveWithCells="1">
                  <from>
                    <xdr:col>19</xdr:col>
                    <xdr:colOff>0</xdr:colOff>
                    <xdr:row>293</xdr:row>
                    <xdr:rowOff>9525</xdr:rowOff>
                  </from>
                  <to>
                    <xdr:col>24</xdr:col>
                    <xdr:colOff>0</xdr:colOff>
                    <xdr:row>299</xdr:row>
                    <xdr:rowOff>0</xdr:rowOff>
                  </to>
                </anchor>
              </controlPr>
            </control>
          </mc:Choice>
        </mc:AlternateContent>
        <mc:AlternateContent xmlns:mc="http://schemas.openxmlformats.org/markup-compatibility/2006">
          <mc:Choice Requires="x14">
            <control shapeId="5469" r:id="rId135" name="Group Box 349">
              <controlPr defaultSize="0" autoFill="0" autoPict="0">
                <anchor moveWithCells="1">
                  <from>
                    <xdr:col>19</xdr:col>
                    <xdr:colOff>0</xdr:colOff>
                    <xdr:row>305</xdr:row>
                    <xdr:rowOff>9525</xdr:rowOff>
                  </from>
                  <to>
                    <xdr:col>24</xdr:col>
                    <xdr:colOff>0</xdr:colOff>
                    <xdr:row>305</xdr:row>
                    <xdr:rowOff>1085850</xdr:rowOff>
                  </to>
                </anchor>
              </controlPr>
            </control>
          </mc:Choice>
        </mc:AlternateContent>
        <mc:AlternateContent xmlns:mc="http://schemas.openxmlformats.org/markup-compatibility/2006">
          <mc:Choice Requires="x14">
            <control shapeId="5471" r:id="rId136" name="Group Box 351">
              <controlPr defaultSize="0" autoFill="0" autoPict="0">
                <anchor moveWithCells="1">
                  <from>
                    <xdr:col>19</xdr:col>
                    <xdr:colOff>0</xdr:colOff>
                    <xdr:row>309</xdr:row>
                    <xdr:rowOff>9525</xdr:rowOff>
                  </from>
                  <to>
                    <xdr:col>24</xdr:col>
                    <xdr:colOff>0</xdr:colOff>
                    <xdr:row>315</xdr:row>
                    <xdr:rowOff>0</xdr:rowOff>
                  </to>
                </anchor>
              </controlPr>
            </control>
          </mc:Choice>
        </mc:AlternateContent>
        <mc:AlternateContent xmlns:mc="http://schemas.openxmlformats.org/markup-compatibility/2006">
          <mc:Choice Requires="x14">
            <control shapeId="5475" r:id="rId137" name="Option Button 355">
              <controlPr defaultSize="0" autoFill="0" autoLine="0" autoPict="0">
                <anchor moveWithCells="1">
                  <from>
                    <xdr:col>19</xdr:col>
                    <xdr:colOff>38100</xdr:colOff>
                    <xdr:row>301</xdr:row>
                    <xdr:rowOff>133350</xdr:rowOff>
                  </from>
                  <to>
                    <xdr:col>19</xdr:col>
                    <xdr:colOff>276225</xdr:colOff>
                    <xdr:row>302</xdr:row>
                    <xdr:rowOff>152400</xdr:rowOff>
                  </to>
                </anchor>
              </controlPr>
            </control>
          </mc:Choice>
        </mc:AlternateContent>
        <mc:AlternateContent xmlns:mc="http://schemas.openxmlformats.org/markup-compatibility/2006">
          <mc:Choice Requires="x14">
            <control shapeId="5476" r:id="rId138" name="Option Button 356">
              <controlPr defaultSize="0" autoFill="0" autoLine="0" autoPict="0">
                <anchor moveWithCells="1">
                  <from>
                    <xdr:col>19</xdr:col>
                    <xdr:colOff>38100</xdr:colOff>
                    <xdr:row>305</xdr:row>
                    <xdr:rowOff>514350</xdr:rowOff>
                  </from>
                  <to>
                    <xdr:col>19</xdr:col>
                    <xdr:colOff>276225</xdr:colOff>
                    <xdr:row>305</xdr:row>
                    <xdr:rowOff>704850</xdr:rowOff>
                  </to>
                </anchor>
              </controlPr>
            </control>
          </mc:Choice>
        </mc:AlternateContent>
        <mc:AlternateContent xmlns:mc="http://schemas.openxmlformats.org/markup-compatibility/2006">
          <mc:Choice Requires="x14">
            <control shapeId="5477" r:id="rId139" name="Option Button 357">
              <controlPr defaultSize="0" autoFill="0" autoLine="0" autoPict="0">
                <anchor moveWithCells="1">
                  <from>
                    <xdr:col>19</xdr:col>
                    <xdr:colOff>38100</xdr:colOff>
                    <xdr:row>307</xdr:row>
                    <xdr:rowOff>257175</xdr:rowOff>
                  </from>
                  <to>
                    <xdr:col>19</xdr:col>
                    <xdr:colOff>276225</xdr:colOff>
                    <xdr:row>307</xdr:row>
                    <xdr:rowOff>447675</xdr:rowOff>
                  </to>
                </anchor>
              </controlPr>
            </control>
          </mc:Choice>
        </mc:AlternateContent>
        <mc:AlternateContent xmlns:mc="http://schemas.openxmlformats.org/markup-compatibility/2006">
          <mc:Choice Requires="x14">
            <control shapeId="5480" r:id="rId140" name="Option Button 360">
              <controlPr defaultSize="0" autoFill="0" autoLine="0" autoPict="0">
                <anchor moveWithCells="1">
                  <from>
                    <xdr:col>19</xdr:col>
                    <xdr:colOff>66675</xdr:colOff>
                    <xdr:row>289</xdr:row>
                    <xdr:rowOff>114300</xdr:rowOff>
                  </from>
                  <to>
                    <xdr:col>20</xdr:col>
                    <xdr:colOff>0</xdr:colOff>
                    <xdr:row>290</xdr:row>
                    <xdr:rowOff>133350</xdr:rowOff>
                  </to>
                </anchor>
              </controlPr>
            </control>
          </mc:Choice>
        </mc:AlternateContent>
        <mc:AlternateContent xmlns:mc="http://schemas.openxmlformats.org/markup-compatibility/2006">
          <mc:Choice Requires="x14">
            <control shapeId="5481" r:id="rId141" name="Option Button 361">
              <controlPr defaultSize="0" autoFill="0" autoLine="0" autoPict="0">
                <anchor moveWithCells="1">
                  <from>
                    <xdr:col>19</xdr:col>
                    <xdr:colOff>66675</xdr:colOff>
                    <xdr:row>295</xdr:row>
                    <xdr:rowOff>133350</xdr:rowOff>
                  </from>
                  <to>
                    <xdr:col>20</xdr:col>
                    <xdr:colOff>0</xdr:colOff>
                    <xdr:row>296</xdr:row>
                    <xdr:rowOff>142875</xdr:rowOff>
                  </to>
                </anchor>
              </controlPr>
            </control>
          </mc:Choice>
        </mc:AlternateContent>
        <mc:AlternateContent xmlns:mc="http://schemas.openxmlformats.org/markup-compatibility/2006">
          <mc:Choice Requires="x14">
            <control shapeId="5482" r:id="rId142" name="Option Button 362">
              <controlPr defaultSize="0" autoFill="0" autoLine="0" autoPict="0">
                <anchor moveWithCells="1">
                  <from>
                    <xdr:col>20</xdr:col>
                    <xdr:colOff>38100</xdr:colOff>
                    <xdr:row>301</xdr:row>
                    <xdr:rowOff>123825</xdr:rowOff>
                  </from>
                  <to>
                    <xdr:col>20</xdr:col>
                    <xdr:colOff>276225</xdr:colOff>
                    <xdr:row>302</xdr:row>
                    <xdr:rowOff>133350</xdr:rowOff>
                  </to>
                </anchor>
              </controlPr>
            </control>
          </mc:Choice>
        </mc:AlternateContent>
        <mc:AlternateContent xmlns:mc="http://schemas.openxmlformats.org/markup-compatibility/2006">
          <mc:Choice Requires="x14">
            <control shapeId="5483" r:id="rId143" name="Option Button 363">
              <controlPr defaultSize="0" autoFill="0" autoLine="0" autoPict="0">
                <anchor moveWithCells="1">
                  <from>
                    <xdr:col>20</xdr:col>
                    <xdr:colOff>38100</xdr:colOff>
                    <xdr:row>305</xdr:row>
                    <xdr:rowOff>504825</xdr:rowOff>
                  </from>
                  <to>
                    <xdr:col>20</xdr:col>
                    <xdr:colOff>276225</xdr:colOff>
                    <xdr:row>305</xdr:row>
                    <xdr:rowOff>695325</xdr:rowOff>
                  </to>
                </anchor>
              </controlPr>
            </control>
          </mc:Choice>
        </mc:AlternateContent>
        <mc:AlternateContent xmlns:mc="http://schemas.openxmlformats.org/markup-compatibility/2006">
          <mc:Choice Requires="x14">
            <control shapeId="5484" r:id="rId144" name="Option Button 364">
              <controlPr defaultSize="0" autoFill="0" autoLine="0" autoPict="0">
                <anchor moveWithCells="1">
                  <from>
                    <xdr:col>20</xdr:col>
                    <xdr:colOff>38100</xdr:colOff>
                    <xdr:row>307</xdr:row>
                    <xdr:rowOff>247650</xdr:rowOff>
                  </from>
                  <to>
                    <xdr:col>20</xdr:col>
                    <xdr:colOff>276225</xdr:colOff>
                    <xdr:row>307</xdr:row>
                    <xdr:rowOff>438150</xdr:rowOff>
                  </to>
                </anchor>
              </controlPr>
            </control>
          </mc:Choice>
        </mc:AlternateContent>
        <mc:AlternateContent xmlns:mc="http://schemas.openxmlformats.org/markup-compatibility/2006">
          <mc:Choice Requires="x14">
            <control shapeId="5485" r:id="rId145" name="Option Button 365">
              <controlPr defaultSize="0" autoFill="0" autoLine="0" autoPict="0">
                <anchor moveWithCells="1">
                  <from>
                    <xdr:col>19</xdr:col>
                    <xdr:colOff>47625</xdr:colOff>
                    <xdr:row>311</xdr:row>
                    <xdr:rowOff>123825</xdr:rowOff>
                  </from>
                  <to>
                    <xdr:col>19</xdr:col>
                    <xdr:colOff>285750</xdr:colOff>
                    <xdr:row>312</xdr:row>
                    <xdr:rowOff>142875</xdr:rowOff>
                  </to>
                </anchor>
              </controlPr>
            </control>
          </mc:Choice>
        </mc:AlternateContent>
        <mc:AlternateContent xmlns:mc="http://schemas.openxmlformats.org/markup-compatibility/2006">
          <mc:Choice Requires="x14">
            <control shapeId="5487" r:id="rId146" name="Option Button 367">
              <controlPr defaultSize="0" autoFill="0" autoLine="0" autoPict="0">
                <anchor moveWithCells="1">
                  <from>
                    <xdr:col>20</xdr:col>
                    <xdr:colOff>57150</xdr:colOff>
                    <xdr:row>289</xdr:row>
                    <xdr:rowOff>123825</xdr:rowOff>
                  </from>
                  <to>
                    <xdr:col>21</xdr:col>
                    <xdr:colOff>0</xdr:colOff>
                    <xdr:row>290</xdr:row>
                    <xdr:rowOff>133350</xdr:rowOff>
                  </to>
                </anchor>
              </controlPr>
            </control>
          </mc:Choice>
        </mc:AlternateContent>
        <mc:AlternateContent xmlns:mc="http://schemas.openxmlformats.org/markup-compatibility/2006">
          <mc:Choice Requires="x14">
            <control shapeId="5488" r:id="rId147" name="Option Button 368">
              <controlPr defaultSize="0" autoFill="0" autoLine="0" autoPict="0">
                <anchor moveWithCells="1">
                  <from>
                    <xdr:col>20</xdr:col>
                    <xdr:colOff>57150</xdr:colOff>
                    <xdr:row>295</xdr:row>
                    <xdr:rowOff>142875</xdr:rowOff>
                  </from>
                  <to>
                    <xdr:col>21</xdr:col>
                    <xdr:colOff>0</xdr:colOff>
                    <xdr:row>296</xdr:row>
                    <xdr:rowOff>152400</xdr:rowOff>
                  </to>
                </anchor>
              </controlPr>
            </control>
          </mc:Choice>
        </mc:AlternateContent>
        <mc:AlternateContent xmlns:mc="http://schemas.openxmlformats.org/markup-compatibility/2006">
          <mc:Choice Requires="x14">
            <control shapeId="5489" r:id="rId148" name="Option Button 369">
              <controlPr defaultSize="0" autoFill="0" autoLine="0" autoPict="0">
                <anchor moveWithCells="1">
                  <from>
                    <xdr:col>21</xdr:col>
                    <xdr:colOff>38100</xdr:colOff>
                    <xdr:row>301</xdr:row>
                    <xdr:rowOff>133350</xdr:rowOff>
                  </from>
                  <to>
                    <xdr:col>21</xdr:col>
                    <xdr:colOff>276225</xdr:colOff>
                    <xdr:row>302</xdr:row>
                    <xdr:rowOff>152400</xdr:rowOff>
                  </to>
                </anchor>
              </controlPr>
            </control>
          </mc:Choice>
        </mc:AlternateContent>
        <mc:AlternateContent xmlns:mc="http://schemas.openxmlformats.org/markup-compatibility/2006">
          <mc:Choice Requires="x14">
            <control shapeId="5490" r:id="rId149" name="Option Button 370">
              <controlPr defaultSize="0" autoFill="0" autoLine="0" autoPict="0">
                <anchor moveWithCells="1">
                  <from>
                    <xdr:col>21</xdr:col>
                    <xdr:colOff>38100</xdr:colOff>
                    <xdr:row>305</xdr:row>
                    <xdr:rowOff>514350</xdr:rowOff>
                  </from>
                  <to>
                    <xdr:col>21</xdr:col>
                    <xdr:colOff>276225</xdr:colOff>
                    <xdr:row>305</xdr:row>
                    <xdr:rowOff>704850</xdr:rowOff>
                  </to>
                </anchor>
              </controlPr>
            </control>
          </mc:Choice>
        </mc:AlternateContent>
        <mc:AlternateContent xmlns:mc="http://schemas.openxmlformats.org/markup-compatibility/2006">
          <mc:Choice Requires="x14">
            <control shapeId="5491" r:id="rId150" name="Option Button 371">
              <controlPr defaultSize="0" autoFill="0" autoLine="0" autoPict="0">
                <anchor moveWithCells="1">
                  <from>
                    <xdr:col>21</xdr:col>
                    <xdr:colOff>38100</xdr:colOff>
                    <xdr:row>307</xdr:row>
                    <xdr:rowOff>257175</xdr:rowOff>
                  </from>
                  <to>
                    <xdr:col>21</xdr:col>
                    <xdr:colOff>276225</xdr:colOff>
                    <xdr:row>307</xdr:row>
                    <xdr:rowOff>447675</xdr:rowOff>
                  </to>
                </anchor>
              </controlPr>
            </control>
          </mc:Choice>
        </mc:AlternateContent>
        <mc:AlternateContent xmlns:mc="http://schemas.openxmlformats.org/markup-compatibility/2006">
          <mc:Choice Requires="x14">
            <control shapeId="5492" r:id="rId151" name="Option Button 372">
              <controlPr defaultSize="0" autoFill="0" autoLine="0" autoPict="0">
                <anchor moveWithCells="1">
                  <from>
                    <xdr:col>20</xdr:col>
                    <xdr:colOff>47625</xdr:colOff>
                    <xdr:row>311</xdr:row>
                    <xdr:rowOff>133350</xdr:rowOff>
                  </from>
                  <to>
                    <xdr:col>20</xdr:col>
                    <xdr:colOff>285750</xdr:colOff>
                    <xdr:row>312</xdr:row>
                    <xdr:rowOff>142875</xdr:rowOff>
                  </to>
                </anchor>
              </controlPr>
            </control>
          </mc:Choice>
        </mc:AlternateContent>
        <mc:AlternateContent xmlns:mc="http://schemas.openxmlformats.org/markup-compatibility/2006">
          <mc:Choice Requires="x14">
            <control shapeId="5494" r:id="rId152" name="Option Button 374">
              <controlPr defaultSize="0" autoFill="0" autoLine="0" autoPict="0">
                <anchor moveWithCells="1">
                  <from>
                    <xdr:col>21</xdr:col>
                    <xdr:colOff>57150</xdr:colOff>
                    <xdr:row>289</xdr:row>
                    <xdr:rowOff>123825</xdr:rowOff>
                  </from>
                  <to>
                    <xdr:col>22</xdr:col>
                    <xdr:colOff>0</xdr:colOff>
                    <xdr:row>290</xdr:row>
                    <xdr:rowOff>133350</xdr:rowOff>
                  </to>
                </anchor>
              </controlPr>
            </control>
          </mc:Choice>
        </mc:AlternateContent>
        <mc:AlternateContent xmlns:mc="http://schemas.openxmlformats.org/markup-compatibility/2006">
          <mc:Choice Requires="x14">
            <control shapeId="5495" r:id="rId153" name="Option Button 375">
              <controlPr defaultSize="0" autoFill="0" autoLine="0" autoPict="0">
                <anchor moveWithCells="1">
                  <from>
                    <xdr:col>21</xdr:col>
                    <xdr:colOff>57150</xdr:colOff>
                    <xdr:row>295</xdr:row>
                    <xdr:rowOff>142875</xdr:rowOff>
                  </from>
                  <to>
                    <xdr:col>22</xdr:col>
                    <xdr:colOff>0</xdr:colOff>
                    <xdr:row>296</xdr:row>
                    <xdr:rowOff>152400</xdr:rowOff>
                  </to>
                </anchor>
              </controlPr>
            </control>
          </mc:Choice>
        </mc:AlternateContent>
        <mc:AlternateContent xmlns:mc="http://schemas.openxmlformats.org/markup-compatibility/2006">
          <mc:Choice Requires="x14">
            <control shapeId="5496" r:id="rId154" name="Option Button 376">
              <controlPr defaultSize="0" autoFill="0" autoLine="0" autoPict="0">
                <anchor moveWithCells="1">
                  <from>
                    <xdr:col>22</xdr:col>
                    <xdr:colOff>38100</xdr:colOff>
                    <xdr:row>301</xdr:row>
                    <xdr:rowOff>133350</xdr:rowOff>
                  </from>
                  <to>
                    <xdr:col>22</xdr:col>
                    <xdr:colOff>276225</xdr:colOff>
                    <xdr:row>302</xdr:row>
                    <xdr:rowOff>152400</xdr:rowOff>
                  </to>
                </anchor>
              </controlPr>
            </control>
          </mc:Choice>
        </mc:AlternateContent>
        <mc:AlternateContent xmlns:mc="http://schemas.openxmlformats.org/markup-compatibility/2006">
          <mc:Choice Requires="x14">
            <control shapeId="5497" r:id="rId155" name="Option Button 377">
              <controlPr defaultSize="0" autoFill="0" autoLine="0" autoPict="0">
                <anchor moveWithCells="1">
                  <from>
                    <xdr:col>22</xdr:col>
                    <xdr:colOff>38100</xdr:colOff>
                    <xdr:row>305</xdr:row>
                    <xdr:rowOff>514350</xdr:rowOff>
                  </from>
                  <to>
                    <xdr:col>22</xdr:col>
                    <xdr:colOff>276225</xdr:colOff>
                    <xdr:row>305</xdr:row>
                    <xdr:rowOff>704850</xdr:rowOff>
                  </to>
                </anchor>
              </controlPr>
            </control>
          </mc:Choice>
        </mc:AlternateContent>
        <mc:AlternateContent xmlns:mc="http://schemas.openxmlformats.org/markup-compatibility/2006">
          <mc:Choice Requires="x14">
            <control shapeId="5498" r:id="rId156" name="Option Button 378">
              <controlPr defaultSize="0" autoFill="0" autoLine="0" autoPict="0">
                <anchor moveWithCells="1">
                  <from>
                    <xdr:col>22</xdr:col>
                    <xdr:colOff>38100</xdr:colOff>
                    <xdr:row>307</xdr:row>
                    <xdr:rowOff>257175</xdr:rowOff>
                  </from>
                  <to>
                    <xdr:col>22</xdr:col>
                    <xdr:colOff>276225</xdr:colOff>
                    <xdr:row>307</xdr:row>
                    <xdr:rowOff>447675</xdr:rowOff>
                  </to>
                </anchor>
              </controlPr>
            </control>
          </mc:Choice>
        </mc:AlternateContent>
        <mc:AlternateContent xmlns:mc="http://schemas.openxmlformats.org/markup-compatibility/2006">
          <mc:Choice Requires="x14">
            <control shapeId="5499" r:id="rId157" name="Option Button 379">
              <controlPr defaultSize="0" autoFill="0" autoLine="0" autoPict="0">
                <anchor moveWithCells="1">
                  <from>
                    <xdr:col>21</xdr:col>
                    <xdr:colOff>47625</xdr:colOff>
                    <xdr:row>311</xdr:row>
                    <xdr:rowOff>133350</xdr:rowOff>
                  </from>
                  <to>
                    <xdr:col>21</xdr:col>
                    <xdr:colOff>285750</xdr:colOff>
                    <xdr:row>312</xdr:row>
                    <xdr:rowOff>142875</xdr:rowOff>
                  </to>
                </anchor>
              </controlPr>
            </control>
          </mc:Choice>
        </mc:AlternateContent>
        <mc:AlternateContent xmlns:mc="http://schemas.openxmlformats.org/markup-compatibility/2006">
          <mc:Choice Requires="x14">
            <control shapeId="5501" r:id="rId158" name="Option Button 381">
              <controlPr defaultSize="0" autoFill="0" autoLine="0" autoPict="0">
                <anchor moveWithCells="1">
                  <from>
                    <xdr:col>22</xdr:col>
                    <xdr:colOff>57150</xdr:colOff>
                    <xdr:row>289</xdr:row>
                    <xdr:rowOff>104775</xdr:rowOff>
                  </from>
                  <to>
                    <xdr:col>23</xdr:col>
                    <xdr:colOff>0</xdr:colOff>
                    <xdr:row>290</xdr:row>
                    <xdr:rowOff>114300</xdr:rowOff>
                  </to>
                </anchor>
              </controlPr>
            </control>
          </mc:Choice>
        </mc:AlternateContent>
        <mc:AlternateContent xmlns:mc="http://schemas.openxmlformats.org/markup-compatibility/2006">
          <mc:Choice Requires="x14">
            <control shapeId="5502" r:id="rId159" name="Option Button 382">
              <controlPr defaultSize="0" autoFill="0" autoLine="0" autoPict="0">
                <anchor moveWithCells="1">
                  <from>
                    <xdr:col>22</xdr:col>
                    <xdr:colOff>57150</xdr:colOff>
                    <xdr:row>295</xdr:row>
                    <xdr:rowOff>123825</xdr:rowOff>
                  </from>
                  <to>
                    <xdr:col>23</xdr:col>
                    <xdr:colOff>0</xdr:colOff>
                    <xdr:row>296</xdr:row>
                    <xdr:rowOff>133350</xdr:rowOff>
                  </to>
                </anchor>
              </controlPr>
            </control>
          </mc:Choice>
        </mc:AlternateContent>
        <mc:AlternateContent xmlns:mc="http://schemas.openxmlformats.org/markup-compatibility/2006">
          <mc:Choice Requires="x14">
            <control shapeId="5503" r:id="rId160" name="Option Button 383">
              <controlPr defaultSize="0" autoFill="0" autoLine="0" autoPict="0">
                <anchor moveWithCells="1">
                  <from>
                    <xdr:col>23</xdr:col>
                    <xdr:colOff>38100</xdr:colOff>
                    <xdr:row>301</xdr:row>
                    <xdr:rowOff>114300</xdr:rowOff>
                  </from>
                  <to>
                    <xdr:col>23</xdr:col>
                    <xdr:colOff>276225</xdr:colOff>
                    <xdr:row>302</xdr:row>
                    <xdr:rowOff>123825</xdr:rowOff>
                  </to>
                </anchor>
              </controlPr>
            </control>
          </mc:Choice>
        </mc:AlternateContent>
        <mc:AlternateContent xmlns:mc="http://schemas.openxmlformats.org/markup-compatibility/2006">
          <mc:Choice Requires="x14">
            <control shapeId="5504" r:id="rId161" name="Option Button 384">
              <controlPr defaultSize="0" autoFill="0" autoLine="0" autoPict="0">
                <anchor moveWithCells="1">
                  <from>
                    <xdr:col>23</xdr:col>
                    <xdr:colOff>38100</xdr:colOff>
                    <xdr:row>305</xdr:row>
                    <xdr:rowOff>495300</xdr:rowOff>
                  </from>
                  <to>
                    <xdr:col>23</xdr:col>
                    <xdr:colOff>276225</xdr:colOff>
                    <xdr:row>305</xdr:row>
                    <xdr:rowOff>676275</xdr:rowOff>
                  </to>
                </anchor>
              </controlPr>
            </control>
          </mc:Choice>
        </mc:AlternateContent>
        <mc:AlternateContent xmlns:mc="http://schemas.openxmlformats.org/markup-compatibility/2006">
          <mc:Choice Requires="x14">
            <control shapeId="5505" r:id="rId162" name="Option Button 385">
              <controlPr defaultSize="0" autoFill="0" autoLine="0" autoPict="0">
                <anchor moveWithCells="1">
                  <from>
                    <xdr:col>23</xdr:col>
                    <xdr:colOff>38100</xdr:colOff>
                    <xdr:row>307</xdr:row>
                    <xdr:rowOff>238125</xdr:rowOff>
                  </from>
                  <to>
                    <xdr:col>23</xdr:col>
                    <xdr:colOff>276225</xdr:colOff>
                    <xdr:row>307</xdr:row>
                    <xdr:rowOff>438150</xdr:rowOff>
                  </to>
                </anchor>
              </controlPr>
            </control>
          </mc:Choice>
        </mc:AlternateContent>
        <mc:AlternateContent xmlns:mc="http://schemas.openxmlformats.org/markup-compatibility/2006">
          <mc:Choice Requires="x14">
            <control shapeId="5506" r:id="rId163" name="Option Button 386">
              <controlPr defaultSize="0" autoFill="0" autoLine="0" autoPict="0">
                <anchor moveWithCells="1">
                  <from>
                    <xdr:col>22</xdr:col>
                    <xdr:colOff>47625</xdr:colOff>
                    <xdr:row>311</xdr:row>
                    <xdr:rowOff>114300</xdr:rowOff>
                  </from>
                  <to>
                    <xdr:col>22</xdr:col>
                    <xdr:colOff>285750</xdr:colOff>
                    <xdr:row>312</xdr:row>
                    <xdr:rowOff>123825</xdr:rowOff>
                  </to>
                </anchor>
              </controlPr>
            </control>
          </mc:Choice>
        </mc:AlternateContent>
        <mc:AlternateContent xmlns:mc="http://schemas.openxmlformats.org/markup-compatibility/2006">
          <mc:Choice Requires="x14">
            <control shapeId="5511" r:id="rId164" name="Group Box 391">
              <controlPr defaultSize="0" autoFill="0" autoPict="0">
                <anchor moveWithCells="1">
                  <from>
                    <xdr:col>19</xdr:col>
                    <xdr:colOff>0</xdr:colOff>
                    <xdr:row>339</xdr:row>
                    <xdr:rowOff>9525</xdr:rowOff>
                  </from>
                  <to>
                    <xdr:col>24</xdr:col>
                    <xdr:colOff>0</xdr:colOff>
                    <xdr:row>345</xdr:row>
                    <xdr:rowOff>0</xdr:rowOff>
                  </to>
                </anchor>
              </controlPr>
            </control>
          </mc:Choice>
        </mc:AlternateContent>
        <mc:AlternateContent xmlns:mc="http://schemas.openxmlformats.org/markup-compatibility/2006">
          <mc:Choice Requires="x14">
            <control shapeId="5515" r:id="rId165" name="Group Box 395">
              <controlPr defaultSize="0" autoFill="0" autoPict="0">
                <anchor moveWithCells="1">
                  <from>
                    <xdr:col>19</xdr:col>
                    <xdr:colOff>0</xdr:colOff>
                    <xdr:row>351</xdr:row>
                    <xdr:rowOff>9525</xdr:rowOff>
                  </from>
                  <to>
                    <xdr:col>24</xdr:col>
                    <xdr:colOff>0</xdr:colOff>
                    <xdr:row>357</xdr:row>
                    <xdr:rowOff>0</xdr:rowOff>
                  </to>
                </anchor>
              </controlPr>
            </control>
          </mc:Choice>
        </mc:AlternateContent>
        <mc:AlternateContent xmlns:mc="http://schemas.openxmlformats.org/markup-compatibility/2006">
          <mc:Choice Requires="x14">
            <control shapeId="5516" r:id="rId166" name="Group Box 396">
              <controlPr defaultSize="0" autoFill="0" autoPict="0">
                <anchor moveWithCells="1">
                  <from>
                    <xdr:col>19</xdr:col>
                    <xdr:colOff>0</xdr:colOff>
                    <xdr:row>357</xdr:row>
                    <xdr:rowOff>9525</xdr:rowOff>
                  </from>
                  <to>
                    <xdr:col>24</xdr:col>
                    <xdr:colOff>0</xdr:colOff>
                    <xdr:row>363</xdr:row>
                    <xdr:rowOff>0</xdr:rowOff>
                  </to>
                </anchor>
              </controlPr>
            </control>
          </mc:Choice>
        </mc:AlternateContent>
        <mc:AlternateContent xmlns:mc="http://schemas.openxmlformats.org/markup-compatibility/2006">
          <mc:Choice Requires="x14">
            <control shapeId="5518" r:id="rId167" name="Option Button 398">
              <controlPr defaultSize="0" autoFill="0" autoLine="0" autoPict="0">
                <anchor moveWithCells="1">
                  <from>
                    <xdr:col>19</xdr:col>
                    <xdr:colOff>38100</xdr:colOff>
                    <xdr:row>329</xdr:row>
                    <xdr:rowOff>76200</xdr:rowOff>
                  </from>
                  <to>
                    <xdr:col>19</xdr:col>
                    <xdr:colOff>276225</xdr:colOff>
                    <xdr:row>330</xdr:row>
                    <xdr:rowOff>85725</xdr:rowOff>
                  </to>
                </anchor>
              </controlPr>
            </control>
          </mc:Choice>
        </mc:AlternateContent>
        <mc:AlternateContent xmlns:mc="http://schemas.openxmlformats.org/markup-compatibility/2006">
          <mc:Choice Requires="x14">
            <control shapeId="5521" r:id="rId168" name="Group Box 401">
              <controlPr defaultSize="0" autoFill="0" autoPict="0">
                <anchor moveWithCells="1">
                  <from>
                    <xdr:col>19</xdr:col>
                    <xdr:colOff>0</xdr:colOff>
                    <xdr:row>371</xdr:row>
                    <xdr:rowOff>9525</xdr:rowOff>
                  </from>
                  <to>
                    <xdr:col>23</xdr:col>
                    <xdr:colOff>276225</xdr:colOff>
                    <xdr:row>374</xdr:row>
                    <xdr:rowOff>9525</xdr:rowOff>
                  </to>
                </anchor>
              </controlPr>
            </control>
          </mc:Choice>
        </mc:AlternateContent>
        <mc:AlternateContent xmlns:mc="http://schemas.openxmlformats.org/markup-compatibility/2006">
          <mc:Choice Requires="x14">
            <control shapeId="5536" r:id="rId169" name="Option Button 416">
              <controlPr defaultSize="0" autoFill="0" autoLine="0" autoPict="0">
                <anchor moveWithCells="1">
                  <from>
                    <xdr:col>19</xdr:col>
                    <xdr:colOff>38100</xdr:colOff>
                    <xdr:row>341</xdr:row>
                    <xdr:rowOff>152400</xdr:rowOff>
                  </from>
                  <to>
                    <xdr:col>19</xdr:col>
                    <xdr:colOff>276225</xdr:colOff>
                    <xdr:row>342</xdr:row>
                    <xdr:rowOff>161925</xdr:rowOff>
                  </to>
                </anchor>
              </controlPr>
            </control>
          </mc:Choice>
        </mc:AlternateContent>
        <mc:AlternateContent xmlns:mc="http://schemas.openxmlformats.org/markup-compatibility/2006">
          <mc:Choice Requires="x14">
            <control shapeId="5540" r:id="rId170" name="Option Button 420">
              <controlPr defaultSize="0" autoFill="0" autoLine="0" autoPict="0">
                <anchor moveWithCells="1">
                  <from>
                    <xdr:col>19</xdr:col>
                    <xdr:colOff>38100</xdr:colOff>
                    <xdr:row>347</xdr:row>
                    <xdr:rowOff>142875</xdr:rowOff>
                  </from>
                  <to>
                    <xdr:col>19</xdr:col>
                    <xdr:colOff>276225</xdr:colOff>
                    <xdr:row>348</xdr:row>
                    <xdr:rowOff>152400</xdr:rowOff>
                  </to>
                </anchor>
              </controlPr>
            </control>
          </mc:Choice>
        </mc:AlternateContent>
        <mc:AlternateContent xmlns:mc="http://schemas.openxmlformats.org/markup-compatibility/2006">
          <mc:Choice Requires="x14">
            <control shapeId="5541" r:id="rId171" name="Option Button 421">
              <controlPr defaultSize="0" autoFill="0" autoLine="0" autoPict="0">
                <anchor moveWithCells="1">
                  <from>
                    <xdr:col>19</xdr:col>
                    <xdr:colOff>38100</xdr:colOff>
                    <xdr:row>353</xdr:row>
                    <xdr:rowOff>133350</xdr:rowOff>
                  </from>
                  <to>
                    <xdr:col>19</xdr:col>
                    <xdr:colOff>276225</xdr:colOff>
                    <xdr:row>354</xdr:row>
                    <xdr:rowOff>152400</xdr:rowOff>
                  </to>
                </anchor>
              </controlPr>
            </control>
          </mc:Choice>
        </mc:AlternateContent>
        <mc:AlternateContent xmlns:mc="http://schemas.openxmlformats.org/markup-compatibility/2006">
          <mc:Choice Requires="x14">
            <control shapeId="5542" r:id="rId172" name="Option Button 422">
              <controlPr defaultSize="0" autoFill="0" autoLine="0" autoPict="0">
                <anchor moveWithCells="1">
                  <from>
                    <xdr:col>19</xdr:col>
                    <xdr:colOff>38100</xdr:colOff>
                    <xdr:row>360</xdr:row>
                    <xdr:rowOff>0</xdr:rowOff>
                  </from>
                  <to>
                    <xdr:col>19</xdr:col>
                    <xdr:colOff>276225</xdr:colOff>
                    <xdr:row>361</xdr:row>
                    <xdr:rowOff>9525</xdr:rowOff>
                  </to>
                </anchor>
              </controlPr>
            </control>
          </mc:Choice>
        </mc:AlternateContent>
        <mc:AlternateContent xmlns:mc="http://schemas.openxmlformats.org/markup-compatibility/2006">
          <mc:Choice Requires="x14">
            <control shapeId="5543" r:id="rId173" name="Option Button 423">
              <controlPr defaultSize="0" autoFill="0" autoLine="0" autoPict="0">
                <anchor moveWithCells="1">
                  <from>
                    <xdr:col>19</xdr:col>
                    <xdr:colOff>38100</xdr:colOff>
                    <xdr:row>372</xdr:row>
                    <xdr:rowOff>200025</xdr:rowOff>
                  </from>
                  <to>
                    <xdr:col>19</xdr:col>
                    <xdr:colOff>276225</xdr:colOff>
                    <xdr:row>372</xdr:row>
                    <xdr:rowOff>390525</xdr:rowOff>
                  </to>
                </anchor>
              </controlPr>
            </control>
          </mc:Choice>
        </mc:AlternateContent>
        <mc:AlternateContent xmlns:mc="http://schemas.openxmlformats.org/markup-compatibility/2006">
          <mc:Choice Requires="x14">
            <control shapeId="5544" r:id="rId174" name="Option Button 424">
              <controlPr defaultSize="0" autoFill="0" autoLine="0" autoPict="0">
                <anchor moveWithCells="1">
                  <from>
                    <xdr:col>19</xdr:col>
                    <xdr:colOff>38100</xdr:colOff>
                    <xdr:row>375</xdr:row>
                    <xdr:rowOff>190500</xdr:rowOff>
                  </from>
                  <to>
                    <xdr:col>19</xdr:col>
                    <xdr:colOff>276225</xdr:colOff>
                    <xdr:row>375</xdr:row>
                    <xdr:rowOff>381000</xdr:rowOff>
                  </to>
                </anchor>
              </controlPr>
            </control>
          </mc:Choice>
        </mc:AlternateContent>
        <mc:AlternateContent xmlns:mc="http://schemas.openxmlformats.org/markup-compatibility/2006">
          <mc:Choice Requires="x14">
            <control shapeId="5545" r:id="rId175" name="Option Button 425">
              <controlPr defaultSize="0" autoFill="0" autoLine="0" autoPict="0">
                <anchor moveWithCells="1">
                  <from>
                    <xdr:col>19</xdr:col>
                    <xdr:colOff>38100</xdr:colOff>
                    <xdr:row>377</xdr:row>
                    <xdr:rowOff>409575</xdr:rowOff>
                  </from>
                  <to>
                    <xdr:col>19</xdr:col>
                    <xdr:colOff>276225</xdr:colOff>
                    <xdr:row>377</xdr:row>
                    <xdr:rowOff>600075</xdr:rowOff>
                  </to>
                </anchor>
              </controlPr>
            </control>
          </mc:Choice>
        </mc:AlternateContent>
        <mc:AlternateContent xmlns:mc="http://schemas.openxmlformats.org/markup-compatibility/2006">
          <mc:Choice Requires="x14">
            <control shapeId="5546" r:id="rId176" name="Option Button 426">
              <controlPr defaultSize="0" autoFill="0" autoLine="0" autoPict="0">
                <anchor moveWithCells="1">
                  <from>
                    <xdr:col>19</xdr:col>
                    <xdr:colOff>38100</xdr:colOff>
                    <xdr:row>378</xdr:row>
                    <xdr:rowOff>409575</xdr:rowOff>
                  </from>
                  <to>
                    <xdr:col>19</xdr:col>
                    <xdr:colOff>276225</xdr:colOff>
                    <xdr:row>378</xdr:row>
                    <xdr:rowOff>600075</xdr:rowOff>
                  </to>
                </anchor>
              </controlPr>
            </control>
          </mc:Choice>
        </mc:AlternateContent>
        <mc:AlternateContent xmlns:mc="http://schemas.openxmlformats.org/markup-compatibility/2006">
          <mc:Choice Requires="x14">
            <control shapeId="5550" r:id="rId177" name="Group Box 430">
              <controlPr defaultSize="0" autoFill="0" autoPict="0">
                <anchor moveWithCells="1">
                  <from>
                    <xdr:col>19</xdr:col>
                    <xdr:colOff>0</xdr:colOff>
                    <xdr:row>399</xdr:row>
                    <xdr:rowOff>9525</xdr:rowOff>
                  </from>
                  <to>
                    <xdr:col>23</xdr:col>
                    <xdr:colOff>276225</xdr:colOff>
                    <xdr:row>406</xdr:row>
                    <xdr:rowOff>0</xdr:rowOff>
                  </to>
                </anchor>
              </controlPr>
            </control>
          </mc:Choice>
        </mc:AlternateContent>
        <mc:AlternateContent xmlns:mc="http://schemas.openxmlformats.org/markup-compatibility/2006">
          <mc:Choice Requires="x14">
            <control shapeId="5564" r:id="rId178" name="Option Button 444">
              <controlPr defaultSize="0" autoFill="0" autoLine="0" autoPict="0">
                <anchor moveWithCells="1">
                  <from>
                    <xdr:col>19</xdr:col>
                    <xdr:colOff>38100</xdr:colOff>
                    <xdr:row>387</xdr:row>
                    <xdr:rowOff>171450</xdr:rowOff>
                  </from>
                  <to>
                    <xdr:col>19</xdr:col>
                    <xdr:colOff>276225</xdr:colOff>
                    <xdr:row>388</xdr:row>
                    <xdr:rowOff>180975</xdr:rowOff>
                  </to>
                </anchor>
              </controlPr>
            </control>
          </mc:Choice>
        </mc:AlternateContent>
        <mc:AlternateContent xmlns:mc="http://schemas.openxmlformats.org/markup-compatibility/2006">
          <mc:Choice Requires="x14">
            <control shapeId="5566" r:id="rId179" name="Option Button 446">
              <controlPr defaultSize="0" autoFill="0" autoLine="0" autoPict="0">
                <anchor moveWithCells="1">
                  <from>
                    <xdr:col>19</xdr:col>
                    <xdr:colOff>38100</xdr:colOff>
                    <xdr:row>394</xdr:row>
                    <xdr:rowOff>133350</xdr:rowOff>
                  </from>
                  <to>
                    <xdr:col>19</xdr:col>
                    <xdr:colOff>276225</xdr:colOff>
                    <xdr:row>395</xdr:row>
                    <xdr:rowOff>133350</xdr:rowOff>
                  </to>
                </anchor>
              </controlPr>
            </control>
          </mc:Choice>
        </mc:AlternateContent>
        <mc:AlternateContent xmlns:mc="http://schemas.openxmlformats.org/markup-compatibility/2006">
          <mc:Choice Requires="x14">
            <control shapeId="5567" r:id="rId180" name="Option Button 447">
              <controlPr defaultSize="0" autoFill="0" autoLine="0" autoPict="0">
                <anchor moveWithCells="1">
                  <from>
                    <xdr:col>19</xdr:col>
                    <xdr:colOff>38100</xdr:colOff>
                    <xdr:row>402</xdr:row>
                    <xdr:rowOff>28575</xdr:rowOff>
                  </from>
                  <to>
                    <xdr:col>19</xdr:col>
                    <xdr:colOff>276225</xdr:colOff>
                    <xdr:row>403</xdr:row>
                    <xdr:rowOff>28575</xdr:rowOff>
                  </to>
                </anchor>
              </controlPr>
            </control>
          </mc:Choice>
        </mc:AlternateContent>
        <mc:AlternateContent xmlns:mc="http://schemas.openxmlformats.org/markup-compatibility/2006">
          <mc:Choice Requires="x14">
            <control shapeId="5568" r:id="rId181" name="Option Button 448">
              <controlPr defaultSize="0" autoFill="0" autoLine="0" autoPict="0">
                <anchor moveWithCells="1">
                  <from>
                    <xdr:col>19</xdr:col>
                    <xdr:colOff>38100</xdr:colOff>
                    <xdr:row>408</xdr:row>
                    <xdr:rowOff>171450</xdr:rowOff>
                  </from>
                  <to>
                    <xdr:col>19</xdr:col>
                    <xdr:colOff>276225</xdr:colOff>
                    <xdr:row>409</xdr:row>
                    <xdr:rowOff>180975</xdr:rowOff>
                  </to>
                </anchor>
              </controlPr>
            </control>
          </mc:Choice>
        </mc:AlternateContent>
        <mc:AlternateContent xmlns:mc="http://schemas.openxmlformats.org/markup-compatibility/2006">
          <mc:Choice Requires="x14">
            <control shapeId="5569" r:id="rId182" name="Option Button 449">
              <controlPr defaultSize="0" autoFill="0" autoLine="0" autoPict="0">
                <anchor moveWithCells="1">
                  <from>
                    <xdr:col>19</xdr:col>
                    <xdr:colOff>38100</xdr:colOff>
                    <xdr:row>415</xdr:row>
                    <xdr:rowOff>161925</xdr:rowOff>
                  </from>
                  <to>
                    <xdr:col>19</xdr:col>
                    <xdr:colOff>276225</xdr:colOff>
                    <xdr:row>416</xdr:row>
                    <xdr:rowOff>161925</xdr:rowOff>
                  </to>
                </anchor>
              </controlPr>
            </control>
          </mc:Choice>
        </mc:AlternateContent>
        <mc:AlternateContent xmlns:mc="http://schemas.openxmlformats.org/markup-compatibility/2006">
          <mc:Choice Requires="x14">
            <control shapeId="5570" r:id="rId183" name="Option Button 450">
              <controlPr defaultSize="0" autoFill="0" autoLine="0" autoPict="0">
                <anchor moveWithCells="1">
                  <from>
                    <xdr:col>19</xdr:col>
                    <xdr:colOff>38100</xdr:colOff>
                    <xdr:row>423</xdr:row>
                    <xdr:rowOff>28575</xdr:rowOff>
                  </from>
                  <to>
                    <xdr:col>19</xdr:col>
                    <xdr:colOff>276225</xdr:colOff>
                    <xdr:row>424</xdr:row>
                    <xdr:rowOff>28575</xdr:rowOff>
                  </to>
                </anchor>
              </controlPr>
            </control>
          </mc:Choice>
        </mc:AlternateContent>
        <mc:AlternateContent xmlns:mc="http://schemas.openxmlformats.org/markup-compatibility/2006">
          <mc:Choice Requires="x14">
            <control shapeId="5571" r:id="rId184" name="Option Button 451">
              <controlPr defaultSize="0" autoFill="0" autoLine="0" autoPict="0">
                <anchor moveWithCells="1">
                  <from>
                    <xdr:col>19</xdr:col>
                    <xdr:colOff>38100</xdr:colOff>
                    <xdr:row>323</xdr:row>
                    <xdr:rowOff>85725</xdr:rowOff>
                  </from>
                  <to>
                    <xdr:col>19</xdr:col>
                    <xdr:colOff>276225</xdr:colOff>
                    <xdr:row>324</xdr:row>
                    <xdr:rowOff>95250</xdr:rowOff>
                  </to>
                </anchor>
              </controlPr>
            </control>
          </mc:Choice>
        </mc:AlternateContent>
        <mc:AlternateContent xmlns:mc="http://schemas.openxmlformats.org/markup-compatibility/2006">
          <mc:Choice Requires="x14">
            <control shapeId="5572" r:id="rId185" name="Option Button 452">
              <controlPr defaultSize="0" autoFill="0" autoLine="0" autoPict="0">
                <anchor moveWithCells="1">
                  <from>
                    <xdr:col>20</xdr:col>
                    <xdr:colOff>38100</xdr:colOff>
                    <xdr:row>329</xdr:row>
                    <xdr:rowOff>85725</xdr:rowOff>
                  </from>
                  <to>
                    <xdr:col>20</xdr:col>
                    <xdr:colOff>276225</xdr:colOff>
                    <xdr:row>330</xdr:row>
                    <xdr:rowOff>95250</xdr:rowOff>
                  </to>
                </anchor>
              </controlPr>
            </control>
          </mc:Choice>
        </mc:AlternateContent>
        <mc:AlternateContent xmlns:mc="http://schemas.openxmlformats.org/markup-compatibility/2006">
          <mc:Choice Requires="x14">
            <control shapeId="5574" r:id="rId186" name="Option Button 454">
              <controlPr defaultSize="0" autoFill="0" autoLine="0" autoPict="0">
                <anchor moveWithCells="1">
                  <from>
                    <xdr:col>20</xdr:col>
                    <xdr:colOff>38100</xdr:colOff>
                    <xdr:row>323</xdr:row>
                    <xdr:rowOff>95250</xdr:rowOff>
                  </from>
                  <to>
                    <xdr:col>20</xdr:col>
                    <xdr:colOff>276225</xdr:colOff>
                    <xdr:row>324</xdr:row>
                    <xdr:rowOff>104775</xdr:rowOff>
                  </to>
                </anchor>
              </controlPr>
            </control>
          </mc:Choice>
        </mc:AlternateContent>
        <mc:AlternateContent xmlns:mc="http://schemas.openxmlformats.org/markup-compatibility/2006">
          <mc:Choice Requires="x14">
            <control shapeId="5575" r:id="rId187" name="Option Button 455">
              <controlPr defaultSize="0" autoFill="0" autoLine="0" autoPict="0">
                <anchor moveWithCells="1">
                  <from>
                    <xdr:col>21</xdr:col>
                    <xdr:colOff>38100</xdr:colOff>
                    <xdr:row>329</xdr:row>
                    <xdr:rowOff>95250</xdr:rowOff>
                  </from>
                  <to>
                    <xdr:col>21</xdr:col>
                    <xdr:colOff>276225</xdr:colOff>
                    <xdr:row>330</xdr:row>
                    <xdr:rowOff>104775</xdr:rowOff>
                  </to>
                </anchor>
              </controlPr>
            </control>
          </mc:Choice>
        </mc:AlternateContent>
        <mc:AlternateContent xmlns:mc="http://schemas.openxmlformats.org/markup-compatibility/2006">
          <mc:Choice Requires="x14">
            <control shapeId="5577" r:id="rId188" name="Option Button 457">
              <controlPr defaultSize="0" autoFill="0" autoLine="0" autoPict="0">
                <anchor moveWithCells="1">
                  <from>
                    <xdr:col>21</xdr:col>
                    <xdr:colOff>38100</xdr:colOff>
                    <xdr:row>323</xdr:row>
                    <xdr:rowOff>85725</xdr:rowOff>
                  </from>
                  <to>
                    <xdr:col>21</xdr:col>
                    <xdr:colOff>276225</xdr:colOff>
                    <xdr:row>324</xdr:row>
                    <xdr:rowOff>95250</xdr:rowOff>
                  </to>
                </anchor>
              </controlPr>
            </control>
          </mc:Choice>
        </mc:AlternateContent>
        <mc:AlternateContent xmlns:mc="http://schemas.openxmlformats.org/markup-compatibility/2006">
          <mc:Choice Requires="x14">
            <control shapeId="5578" r:id="rId189" name="Option Button 458">
              <controlPr defaultSize="0" autoFill="0" autoLine="0" autoPict="0">
                <anchor moveWithCells="1">
                  <from>
                    <xdr:col>22</xdr:col>
                    <xdr:colOff>38100</xdr:colOff>
                    <xdr:row>329</xdr:row>
                    <xdr:rowOff>85725</xdr:rowOff>
                  </from>
                  <to>
                    <xdr:col>22</xdr:col>
                    <xdr:colOff>276225</xdr:colOff>
                    <xdr:row>330</xdr:row>
                    <xdr:rowOff>95250</xdr:rowOff>
                  </to>
                </anchor>
              </controlPr>
            </control>
          </mc:Choice>
        </mc:AlternateContent>
        <mc:AlternateContent xmlns:mc="http://schemas.openxmlformats.org/markup-compatibility/2006">
          <mc:Choice Requires="x14">
            <control shapeId="5580" r:id="rId190" name="Option Button 460">
              <controlPr defaultSize="0" autoFill="0" autoLine="0" autoPict="0">
                <anchor moveWithCells="1">
                  <from>
                    <xdr:col>22</xdr:col>
                    <xdr:colOff>38100</xdr:colOff>
                    <xdr:row>323</xdr:row>
                    <xdr:rowOff>85725</xdr:rowOff>
                  </from>
                  <to>
                    <xdr:col>22</xdr:col>
                    <xdr:colOff>276225</xdr:colOff>
                    <xdr:row>324</xdr:row>
                    <xdr:rowOff>95250</xdr:rowOff>
                  </to>
                </anchor>
              </controlPr>
            </control>
          </mc:Choice>
        </mc:AlternateContent>
        <mc:AlternateContent xmlns:mc="http://schemas.openxmlformats.org/markup-compatibility/2006">
          <mc:Choice Requires="x14">
            <control shapeId="5581" r:id="rId191" name="Option Button 461">
              <controlPr defaultSize="0" autoFill="0" autoLine="0" autoPict="0">
                <anchor moveWithCells="1">
                  <from>
                    <xdr:col>23</xdr:col>
                    <xdr:colOff>38100</xdr:colOff>
                    <xdr:row>329</xdr:row>
                    <xdr:rowOff>85725</xdr:rowOff>
                  </from>
                  <to>
                    <xdr:col>23</xdr:col>
                    <xdr:colOff>276225</xdr:colOff>
                    <xdr:row>330</xdr:row>
                    <xdr:rowOff>95250</xdr:rowOff>
                  </to>
                </anchor>
              </controlPr>
            </control>
          </mc:Choice>
        </mc:AlternateContent>
        <mc:AlternateContent xmlns:mc="http://schemas.openxmlformats.org/markup-compatibility/2006">
          <mc:Choice Requires="x14">
            <control shapeId="5583" r:id="rId192" name="Option Button 463">
              <controlPr defaultSize="0" autoFill="0" autoLine="0" autoPict="0">
                <anchor moveWithCells="1">
                  <from>
                    <xdr:col>20</xdr:col>
                    <xdr:colOff>38100</xdr:colOff>
                    <xdr:row>341</xdr:row>
                    <xdr:rowOff>142875</xdr:rowOff>
                  </from>
                  <to>
                    <xdr:col>20</xdr:col>
                    <xdr:colOff>276225</xdr:colOff>
                    <xdr:row>342</xdr:row>
                    <xdr:rowOff>152400</xdr:rowOff>
                  </to>
                </anchor>
              </controlPr>
            </control>
          </mc:Choice>
        </mc:AlternateContent>
        <mc:AlternateContent xmlns:mc="http://schemas.openxmlformats.org/markup-compatibility/2006">
          <mc:Choice Requires="x14">
            <control shapeId="5586" r:id="rId193" name="Option Button 466">
              <controlPr defaultSize="0" autoFill="0" autoLine="0" autoPict="0">
                <anchor moveWithCells="1">
                  <from>
                    <xdr:col>20</xdr:col>
                    <xdr:colOff>38100</xdr:colOff>
                    <xdr:row>347</xdr:row>
                    <xdr:rowOff>133350</xdr:rowOff>
                  </from>
                  <to>
                    <xdr:col>20</xdr:col>
                    <xdr:colOff>276225</xdr:colOff>
                    <xdr:row>348</xdr:row>
                    <xdr:rowOff>152400</xdr:rowOff>
                  </to>
                </anchor>
              </controlPr>
            </control>
          </mc:Choice>
        </mc:AlternateContent>
        <mc:AlternateContent xmlns:mc="http://schemas.openxmlformats.org/markup-compatibility/2006">
          <mc:Choice Requires="x14">
            <control shapeId="5587" r:id="rId194" name="Option Button 467">
              <controlPr defaultSize="0" autoFill="0" autoLine="0" autoPict="0">
                <anchor moveWithCells="1">
                  <from>
                    <xdr:col>20</xdr:col>
                    <xdr:colOff>38100</xdr:colOff>
                    <xdr:row>353</xdr:row>
                    <xdr:rowOff>114300</xdr:rowOff>
                  </from>
                  <to>
                    <xdr:col>20</xdr:col>
                    <xdr:colOff>276225</xdr:colOff>
                    <xdr:row>354</xdr:row>
                    <xdr:rowOff>123825</xdr:rowOff>
                  </to>
                </anchor>
              </controlPr>
            </control>
          </mc:Choice>
        </mc:AlternateContent>
        <mc:AlternateContent xmlns:mc="http://schemas.openxmlformats.org/markup-compatibility/2006">
          <mc:Choice Requires="x14">
            <control shapeId="5588" r:id="rId195" name="Option Button 468">
              <controlPr defaultSize="0" autoFill="0" autoLine="0" autoPict="0">
                <anchor moveWithCells="1">
                  <from>
                    <xdr:col>20</xdr:col>
                    <xdr:colOff>38100</xdr:colOff>
                    <xdr:row>359</xdr:row>
                    <xdr:rowOff>161925</xdr:rowOff>
                  </from>
                  <to>
                    <xdr:col>20</xdr:col>
                    <xdr:colOff>276225</xdr:colOff>
                    <xdr:row>361</xdr:row>
                    <xdr:rowOff>0</xdr:rowOff>
                  </to>
                </anchor>
              </controlPr>
            </control>
          </mc:Choice>
        </mc:AlternateContent>
        <mc:AlternateContent xmlns:mc="http://schemas.openxmlformats.org/markup-compatibility/2006">
          <mc:Choice Requires="x14">
            <control shapeId="5595" r:id="rId196" name="Option Button 475">
              <controlPr defaultSize="0" autoFill="0" autoLine="0" autoPict="0">
                <anchor moveWithCells="1">
                  <from>
                    <xdr:col>21</xdr:col>
                    <xdr:colOff>38100</xdr:colOff>
                    <xdr:row>341</xdr:row>
                    <xdr:rowOff>152400</xdr:rowOff>
                  </from>
                  <to>
                    <xdr:col>21</xdr:col>
                    <xdr:colOff>276225</xdr:colOff>
                    <xdr:row>342</xdr:row>
                    <xdr:rowOff>161925</xdr:rowOff>
                  </to>
                </anchor>
              </controlPr>
            </control>
          </mc:Choice>
        </mc:AlternateContent>
        <mc:AlternateContent xmlns:mc="http://schemas.openxmlformats.org/markup-compatibility/2006">
          <mc:Choice Requires="x14">
            <control shapeId="5598" r:id="rId197" name="Option Button 478">
              <controlPr defaultSize="0" autoFill="0" autoLine="0" autoPict="0">
                <anchor moveWithCells="1">
                  <from>
                    <xdr:col>21</xdr:col>
                    <xdr:colOff>38100</xdr:colOff>
                    <xdr:row>347</xdr:row>
                    <xdr:rowOff>142875</xdr:rowOff>
                  </from>
                  <to>
                    <xdr:col>21</xdr:col>
                    <xdr:colOff>276225</xdr:colOff>
                    <xdr:row>348</xdr:row>
                    <xdr:rowOff>152400</xdr:rowOff>
                  </to>
                </anchor>
              </controlPr>
            </control>
          </mc:Choice>
        </mc:AlternateContent>
        <mc:AlternateContent xmlns:mc="http://schemas.openxmlformats.org/markup-compatibility/2006">
          <mc:Choice Requires="x14">
            <control shapeId="5599" r:id="rId198" name="Option Button 479">
              <controlPr defaultSize="0" autoFill="0" autoLine="0" autoPict="0">
                <anchor moveWithCells="1">
                  <from>
                    <xdr:col>21</xdr:col>
                    <xdr:colOff>38100</xdr:colOff>
                    <xdr:row>353</xdr:row>
                    <xdr:rowOff>123825</xdr:rowOff>
                  </from>
                  <to>
                    <xdr:col>21</xdr:col>
                    <xdr:colOff>276225</xdr:colOff>
                    <xdr:row>354</xdr:row>
                    <xdr:rowOff>133350</xdr:rowOff>
                  </to>
                </anchor>
              </controlPr>
            </control>
          </mc:Choice>
        </mc:AlternateContent>
        <mc:AlternateContent xmlns:mc="http://schemas.openxmlformats.org/markup-compatibility/2006">
          <mc:Choice Requires="x14">
            <control shapeId="5600" r:id="rId199" name="Option Button 480">
              <controlPr defaultSize="0" autoFill="0" autoLine="0" autoPict="0">
                <anchor moveWithCells="1">
                  <from>
                    <xdr:col>21</xdr:col>
                    <xdr:colOff>38100</xdr:colOff>
                    <xdr:row>359</xdr:row>
                    <xdr:rowOff>171450</xdr:rowOff>
                  </from>
                  <to>
                    <xdr:col>21</xdr:col>
                    <xdr:colOff>276225</xdr:colOff>
                    <xdr:row>361</xdr:row>
                    <xdr:rowOff>0</xdr:rowOff>
                  </to>
                </anchor>
              </controlPr>
            </control>
          </mc:Choice>
        </mc:AlternateContent>
        <mc:AlternateContent xmlns:mc="http://schemas.openxmlformats.org/markup-compatibility/2006">
          <mc:Choice Requires="x14">
            <control shapeId="5601" r:id="rId200" name="Option Button 481">
              <controlPr defaultSize="0" autoFill="0" autoLine="0" autoPict="0">
                <anchor moveWithCells="1">
                  <from>
                    <xdr:col>22</xdr:col>
                    <xdr:colOff>38100</xdr:colOff>
                    <xdr:row>341</xdr:row>
                    <xdr:rowOff>161925</xdr:rowOff>
                  </from>
                  <to>
                    <xdr:col>22</xdr:col>
                    <xdr:colOff>276225</xdr:colOff>
                    <xdr:row>343</xdr:row>
                    <xdr:rowOff>0</xdr:rowOff>
                  </to>
                </anchor>
              </controlPr>
            </control>
          </mc:Choice>
        </mc:AlternateContent>
        <mc:AlternateContent xmlns:mc="http://schemas.openxmlformats.org/markup-compatibility/2006">
          <mc:Choice Requires="x14">
            <control shapeId="5604" r:id="rId201" name="Option Button 484">
              <controlPr defaultSize="0" autoFill="0" autoLine="0" autoPict="0">
                <anchor moveWithCells="1">
                  <from>
                    <xdr:col>22</xdr:col>
                    <xdr:colOff>38100</xdr:colOff>
                    <xdr:row>347</xdr:row>
                    <xdr:rowOff>152400</xdr:rowOff>
                  </from>
                  <to>
                    <xdr:col>22</xdr:col>
                    <xdr:colOff>276225</xdr:colOff>
                    <xdr:row>348</xdr:row>
                    <xdr:rowOff>161925</xdr:rowOff>
                  </to>
                </anchor>
              </controlPr>
            </control>
          </mc:Choice>
        </mc:AlternateContent>
        <mc:AlternateContent xmlns:mc="http://schemas.openxmlformats.org/markup-compatibility/2006">
          <mc:Choice Requires="x14">
            <control shapeId="5605" r:id="rId202" name="Option Button 485">
              <controlPr defaultSize="0" autoFill="0" autoLine="0" autoPict="0">
                <anchor moveWithCells="1">
                  <from>
                    <xdr:col>22</xdr:col>
                    <xdr:colOff>38100</xdr:colOff>
                    <xdr:row>353</xdr:row>
                    <xdr:rowOff>133350</xdr:rowOff>
                  </from>
                  <to>
                    <xdr:col>22</xdr:col>
                    <xdr:colOff>276225</xdr:colOff>
                    <xdr:row>354</xdr:row>
                    <xdr:rowOff>152400</xdr:rowOff>
                  </to>
                </anchor>
              </controlPr>
            </control>
          </mc:Choice>
        </mc:AlternateContent>
        <mc:AlternateContent xmlns:mc="http://schemas.openxmlformats.org/markup-compatibility/2006">
          <mc:Choice Requires="x14">
            <control shapeId="5606" r:id="rId203" name="Option Button 486">
              <controlPr defaultSize="0" autoFill="0" autoLine="0" autoPict="0">
                <anchor moveWithCells="1">
                  <from>
                    <xdr:col>22</xdr:col>
                    <xdr:colOff>38100</xdr:colOff>
                    <xdr:row>360</xdr:row>
                    <xdr:rowOff>0</xdr:rowOff>
                  </from>
                  <to>
                    <xdr:col>22</xdr:col>
                    <xdr:colOff>276225</xdr:colOff>
                    <xdr:row>361</xdr:row>
                    <xdr:rowOff>9525</xdr:rowOff>
                  </to>
                </anchor>
              </controlPr>
            </control>
          </mc:Choice>
        </mc:AlternateContent>
        <mc:AlternateContent xmlns:mc="http://schemas.openxmlformats.org/markup-compatibility/2006">
          <mc:Choice Requires="x14">
            <control shapeId="5613" r:id="rId204" name="Option Button 493">
              <controlPr defaultSize="0" autoFill="0" autoLine="0" autoPict="0">
                <anchor moveWithCells="1">
                  <from>
                    <xdr:col>23</xdr:col>
                    <xdr:colOff>38100</xdr:colOff>
                    <xdr:row>341</xdr:row>
                    <xdr:rowOff>161925</xdr:rowOff>
                  </from>
                  <to>
                    <xdr:col>23</xdr:col>
                    <xdr:colOff>276225</xdr:colOff>
                    <xdr:row>343</xdr:row>
                    <xdr:rowOff>0</xdr:rowOff>
                  </to>
                </anchor>
              </controlPr>
            </control>
          </mc:Choice>
        </mc:AlternateContent>
        <mc:AlternateContent xmlns:mc="http://schemas.openxmlformats.org/markup-compatibility/2006">
          <mc:Choice Requires="x14">
            <control shapeId="5616" r:id="rId205" name="Option Button 496">
              <controlPr defaultSize="0" autoFill="0" autoLine="0" autoPict="0">
                <anchor moveWithCells="1">
                  <from>
                    <xdr:col>23</xdr:col>
                    <xdr:colOff>38100</xdr:colOff>
                    <xdr:row>347</xdr:row>
                    <xdr:rowOff>152400</xdr:rowOff>
                  </from>
                  <to>
                    <xdr:col>23</xdr:col>
                    <xdr:colOff>276225</xdr:colOff>
                    <xdr:row>348</xdr:row>
                    <xdr:rowOff>161925</xdr:rowOff>
                  </to>
                </anchor>
              </controlPr>
            </control>
          </mc:Choice>
        </mc:AlternateContent>
        <mc:AlternateContent xmlns:mc="http://schemas.openxmlformats.org/markup-compatibility/2006">
          <mc:Choice Requires="x14">
            <control shapeId="5617" r:id="rId206" name="Option Button 497">
              <controlPr defaultSize="0" autoFill="0" autoLine="0" autoPict="0">
                <anchor moveWithCells="1">
                  <from>
                    <xdr:col>23</xdr:col>
                    <xdr:colOff>38100</xdr:colOff>
                    <xdr:row>353</xdr:row>
                    <xdr:rowOff>133350</xdr:rowOff>
                  </from>
                  <to>
                    <xdr:col>23</xdr:col>
                    <xdr:colOff>276225</xdr:colOff>
                    <xdr:row>354</xdr:row>
                    <xdr:rowOff>152400</xdr:rowOff>
                  </to>
                </anchor>
              </controlPr>
            </control>
          </mc:Choice>
        </mc:AlternateContent>
        <mc:AlternateContent xmlns:mc="http://schemas.openxmlformats.org/markup-compatibility/2006">
          <mc:Choice Requires="x14">
            <control shapeId="5618" r:id="rId207" name="Option Button 498">
              <controlPr defaultSize="0" autoFill="0" autoLine="0" autoPict="0">
                <anchor moveWithCells="1">
                  <from>
                    <xdr:col>23</xdr:col>
                    <xdr:colOff>38100</xdr:colOff>
                    <xdr:row>360</xdr:row>
                    <xdr:rowOff>0</xdr:rowOff>
                  </from>
                  <to>
                    <xdr:col>23</xdr:col>
                    <xdr:colOff>276225</xdr:colOff>
                    <xdr:row>361</xdr:row>
                    <xdr:rowOff>9525</xdr:rowOff>
                  </to>
                </anchor>
              </controlPr>
            </control>
          </mc:Choice>
        </mc:AlternateContent>
        <mc:AlternateContent xmlns:mc="http://schemas.openxmlformats.org/markup-compatibility/2006">
          <mc:Choice Requires="x14">
            <control shapeId="5619" r:id="rId208" name="Option Button 499">
              <controlPr defaultSize="0" autoFill="0" autoLine="0" autoPict="0">
                <anchor moveWithCells="1">
                  <from>
                    <xdr:col>20</xdr:col>
                    <xdr:colOff>38100</xdr:colOff>
                    <xdr:row>372</xdr:row>
                    <xdr:rowOff>209550</xdr:rowOff>
                  </from>
                  <to>
                    <xdr:col>20</xdr:col>
                    <xdr:colOff>276225</xdr:colOff>
                    <xdr:row>372</xdr:row>
                    <xdr:rowOff>390525</xdr:rowOff>
                  </to>
                </anchor>
              </controlPr>
            </control>
          </mc:Choice>
        </mc:AlternateContent>
        <mc:AlternateContent xmlns:mc="http://schemas.openxmlformats.org/markup-compatibility/2006">
          <mc:Choice Requires="x14">
            <control shapeId="5620" r:id="rId209" name="Option Button 500">
              <controlPr defaultSize="0" autoFill="0" autoLine="0" autoPict="0">
                <anchor moveWithCells="1">
                  <from>
                    <xdr:col>20</xdr:col>
                    <xdr:colOff>38100</xdr:colOff>
                    <xdr:row>375</xdr:row>
                    <xdr:rowOff>200025</xdr:rowOff>
                  </from>
                  <to>
                    <xdr:col>20</xdr:col>
                    <xdr:colOff>276225</xdr:colOff>
                    <xdr:row>375</xdr:row>
                    <xdr:rowOff>390525</xdr:rowOff>
                  </to>
                </anchor>
              </controlPr>
            </control>
          </mc:Choice>
        </mc:AlternateContent>
        <mc:AlternateContent xmlns:mc="http://schemas.openxmlformats.org/markup-compatibility/2006">
          <mc:Choice Requires="x14">
            <control shapeId="5621" r:id="rId210" name="Option Button 501">
              <controlPr defaultSize="0" autoFill="0" autoLine="0" autoPict="0">
                <anchor moveWithCells="1">
                  <from>
                    <xdr:col>20</xdr:col>
                    <xdr:colOff>38100</xdr:colOff>
                    <xdr:row>377</xdr:row>
                    <xdr:rowOff>419100</xdr:rowOff>
                  </from>
                  <to>
                    <xdr:col>20</xdr:col>
                    <xdr:colOff>276225</xdr:colOff>
                    <xdr:row>377</xdr:row>
                    <xdr:rowOff>628650</xdr:rowOff>
                  </to>
                </anchor>
              </controlPr>
            </control>
          </mc:Choice>
        </mc:AlternateContent>
        <mc:AlternateContent xmlns:mc="http://schemas.openxmlformats.org/markup-compatibility/2006">
          <mc:Choice Requires="x14">
            <control shapeId="5622" r:id="rId211" name="Option Button 502">
              <controlPr defaultSize="0" autoFill="0" autoLine="0" autoPict="0">
                <anchor moveWithCells="1">
                  <from>
                    <xdr:col>20</xdr:col>
                    <xdr:colOff>38100</xdr:colOff>
                    <xdr:row>378</xdr:row>
                    <xdr:rowOff>419100</xdr:rowOff>
                  </from>
                  <to>
                    <xdr:col>20</xdr:col>
                    <xdr:colOff>276225</xdr:colOff>
                    <xdr:row>378</xdr:row>
                    <xdr:rowOff>628650</xdr:rowOff>
                  </to>
                </anchor>
              </controlPr>
            </control>
          </mc:Choice>
        </mc:AlternateContent>
        <mc:AlternateContent xmlns:mc="http://schemas.openxmlformats.org/markup-compatibility/2006">
          <mc:Choice Requires="x14">
            <control shapeId="5623" r:id="rId212" name="Option Button 503">
              <controlPr defaultSize="0" autoFill="0" autoLine="0" autoPict="0">
                <anchor moveWithCells="1">
                  <from>
                    <xdr:col>20</xdr:col>
                    <xdr:colOff>38100</xdr:colOff>
                    <xdr:row>387</xdr:row>
                    <xdr:rowOff>180975</xdr:rowOff>
                  </from>
                  <to>
                    <xdr:col>20</xdr:col>
                    <xdr:colOff>276225</xdr:colOff>
                    <xdr:row>389</xdr:row>
                    <xdr:rowOff>0</xdr:rowOff>
                  </to>
                </anchor>
              </controlPr>
            </control>
          </mc:Choice>
        </mc:AlternateContent>
        <mc:AlternateContent xmlns:mc="http://schemas.openxmlformats.org/markup-compatibility/2006">
          <mc:Choice Requires="x14">
            <control shapeId="5624" r:id="rId213" name="Option Button 504">
              <controlPr defaultSize="0" autoFill="0" autoLine="0" autoPict="0">
                <anchor moveWithCells="1">
                  <from>
                    <xdr:col>20</xdr:col>
                    <xdr:colOff>38100</xdr:colOff>
                    <xdr:row>394</xdr:row>
                    <xdr:rowOff>152400</xdr:rowOff>
                  </from>
                  <to>
                    <xdr:col>20</xdr:col>
                    <xdr:colOff>276225</xdr:colOff>
                    <xdr:row>395</xdr:row>
                    <xdr:rowOff>152400</xdr:rowOff>
                  </to>
                </anchor>
              </controlPr>
            </control>
          </mc:Choice>
        </mc:AlternateContent>
        <mc:AlternateContent xmlns:mc="http://schemas.openxmlformats.org/markup-compatibility/2006">
          <mc:Choice Requires="x14">
            <control shapeId="5625" r:id="rId214" name="Option Button 505">
              <controlPr defaultSize="0" autoFill="0" autoLine="0" autoPict="0">
                <anchor moveWithCells="1">
                  <from>
                    <xdr:col>20</xdr:col>
                    <xdr:colOff>38100</xdr:colOff>
                    <xdr:row>402</xdr:row>
                    <xdr:rowOff>47625</xdr:rowOff>
                  </from>
                  <to>
                    <xdr:col>20</xdr:col>
                    <xdr:colOff>276225</xdr:colOff>
                    <xdr:row>403</xdr:row>
                    <xdr:rowOff>57150</xdr:rowOff>
                  </to>
                </anchor>
              </controlPr>
            </control>
          </mc:Choice>
        </mc:AlternateContent>
        <mc:AlternateContent xmlns:mc="http://schemas.openxmlformats.org/markup-compatibility/2006">
          <mc:Choice Requires="x14">
            <control shapeId="5626" r:id="rId215" name="Option Button 506">
              <controlPr defaultSize="0" autoFill="0" autoLine="0" autoPict="0">
                <anchor moveWithCells="1">
                  <from>
                    <xdr:col>20</xdr:col>
                    <xdr:colOff>38100</xdr:colOff>
                    <xdr:row>409</xdr:row>
                    <xdr:rowOff>0</xdr:rowOff>
                  </from>
                  <to>
                    <xdr:col>20</xdr:col>
                    <xdr:colOff>276225</xdr:colOff>
                    <xdr:row>410</xdr:row>
                    <xdr:rowOff>0</xdr:rowOff>
                  </to>
                </anchor>
              </controlPr>
            </control>
          </mc:Choice>
        </mc:AlternateContent>
        <mc:AlternateContent xmlns:mc="http://schemas.openxmlformats.org/markup-compatibility/2006">
          <mc:Choice Requires="x14">
            <control shapeId="5627" r:id="rId216" name="Option Button 507">
              <controlPr defaultSize="0" autoFill="0" autoLine="0" autoPict="0">
                <anchor moveWithCells="1">
                  <from>
                    <xdr:col>20</xdr:col>
                    <xdr:colOff>38100</xdr:colOff>
                    <xdr:row>415</xdr:row>
                    <xdr:rowOff>180975</xdr:rowOff>
                  </from>
                  <to>
                    <xdr:col>20</xdr:col>
                    <xdr:colOff>276225</xdr:colOff>
                    <xdr:row>416</xdr:row>
                    <xdr:rowOff>180975</xdr:rowOff>
                  </to>
                </anchor>
              </controlPr>
            </control>
          </mc:Choice>
        </mc:AlternateContent>
        <mc:AlternateContent xmlns:mc="http://schemas.openxmlformats.org/markup-compatibility/2006">
          <mc:Choice Requires="x14">
            <control shapeId="5628" r:id="rId217" name="Option Button 508">
              <controlPr defaultSize="0" autoFill="0" autoLine="0" autoPict="0">
                <anchor moveWithCells="1">
                  <from>
                    <xdr:col>20</xdr:col>
                    <xdr:colOff>38100</xdr:colOff>
                    <xdr:row>423</xdr:row>
                    <xdr:rowOff>47625</xdr:rowOff>
                  </from>
                  <to>
                    <xdr:col>20</xdr:col>
                    <xdr:colOff>276225</xdr:colOff>
                    <xdr:row>424</xdr:row>
                    <xdr:rowOff>57150</xdr:rowOff>
                  </to>
                </anchor>
              </controlPr>
            </control>
          </mc:Choice>
        </mc:AlternateContent>
        <mc:AlternateContent xmlns:mc="http://schemas.openxmlformats.org/markup-compatibility/2006">
          <mc:Choice Requires="x14">
            <control shapeId="5629" r:id="rId218" name="Option Button 509">
              <controlPr defaultSize="0" autoFill="0" autoLine="0" autoPict="0">
                <anchor moveWithCells="1">
                  <from>
                    <xdr:col>21</xdr:col>
                    <xdr:colOff>38100</xdr:colOff>
                    <xdr:row>372</xdr:row>
                    <xdr:rowOff>200025</xdr:rowOff>
                  </from>
                  <to>
                    <xdr:col>21</xdr:col>
                    <xdr:colOff>276225</xdr:colOff>
                    <xdr:row>372</xdr:row>
                    <xdr:rowOff>390525</xdr:rowOff>
                  </to>
                </anchor>
              </controlPr>
            </control>
          </mc:Choice>
        </mc:AlternateContent>
        <mc:AlternateContent xmlns:mc="http://schemas.openxmlformats.org/markup-compatibility/2006">
          <mc:Choice Requires="x14">
            <control shapeId="5630" r:id="rId219" name="Option Button 510">
              <controlPr defaultSize="0" autoFill="0" autoLine="0" autoPict="0">
                <anchor moveWithCells="1">
                  <from>
                    <xdr:col>21</xdr:col>
                    <xdr:colOff>38100</xdr:colOff>
                    <xdr:row>375</xdr:row>
                    <xdr:rowOff>190500</xdr:rowOff>
                  </from>
                  <to>
                    <xdr:col>21</xdr:col>
                    <xdr:colOff>276225</xdr:colOff>
                    <xdr:row>375</xdr:row>
                    <xdr:rowOff>381000</xdr:rowOff>
                  </to>
                </anchor>
              </controlPr>
            </control>
          </mc:Choice>
        </mc:AlternateContent>
        <mc:AlternateContent xmlns:mc="http://schemas.openxmlformats.org/markup-compatibility/2006">
          <mc:Choice Requires="x14">
            <control shapeId="5631" r:id="rId220" name="Option Button 511">
              <controlPr defaultSize="0" autoFill="0" autoLine="0" autoPict="0">
                <anchor moveWithCells="1">
                  <from>
                    <xdr:col>21</xdr:col>
                    <xdr:colOff>38100</xdr:colOff>
                    <xdr:row>377</xdr:row>
                    <xdr:rowOff>409575</xdr:rowOff>
                  </from>
                  <to>
                    <xdr:col>21</xdr:col>
                    <xdr:colOff>276225</xdr:colOff>
                    <xdr:row>377</xdr:row>
                    <xdr:rowOff>609600</xdr:rowOff>
                  </to>
                </anchor>
              </controlPr>
            </control>
          </mc:Choice>
        </mc:AlternateContent>
        <mc:AlternateContent xmlns:mc="http://schemas.openxmlformats.org/markup-compatibility/2006">
          <mc:Choice Requires="x14">
            <control shapeId="5632" r:id="rId221" name="Option Button 512">
              <controlPr defaultSize="0" autoFill="0" autoLine="0" autoPict="0">
                <anchor moveWithCells="1">
                  <from>
                    <xdr:col>21</xdr:col>
                    <xdr:colOff>38100</xdr:colOff>
                    <xdr:row>378</xdr:row>
                    <xdr:rowOff>409575</xdr:rowOff>
                  </from>
                  <to>
                    <xdr:col>21</xdr:col>
                    <xdr:colOff>276225</xdr:colOff>
                    <xdr:row>378</xdr:row>
                    <xdr:rowOff>609600</xdr:rowOff>
                  </to>
                </anchor>
              </controlPr>
            </control>
          </mc:Choice>
        </mc:AlternateContent>
        <mc:AlternateContent xmlns:mc="http://schemas.openxmlformats.org/markup-compatibility/2006">
          <mc:Choice Requires="x14">
            <control shapeId="5633" r:id="rId222" name="Option Button 513">
              <controlPr defaultSize="0" autoFill="0" autoLine="0" autoPict="0">
                <anchor moveWithCells="1">
                  <from>
                    <xdr:col>21</xdr:col>
                    <xdr:colOff>38100</xdr:colOff>
                    <xdr:row>387</xdr:row>
                    <xdr:rowOff>171450</xdr:rowOff>
                  </from>
                  <to>
                    <xdr:col>21</xdr:col>
                    <xdr:colOff>276225</xdr:colOff>
                    <xdr:row>388</xdr:row>
                    <xdr:rowOff>180975</xdr:rowOff>
                  </to>
                </anchor>
              </controlPr>
            </control>
          </mc:Choice>
        </mc:AlternateContent>
        <mc:AlternateContent xmlns:mc="http://schemas.openxmlformats.org/markup-compatibility/2006">
          <mc:Choice Requires="x14">
            <control shapeId="5634" r:id="rId223" name="Option Button 514">
              <controlPr defaultSize="0" autoFill="0" autoLine="0" autoPict="0">
                <anchor moveWithCells="1">
                  <from>
                    <xdr:col>21</xdr:col>
                    <xdr:colOff>38100</xdr:colOff>
                    <xdr:row>394</xdr:row>
                    <xdr:rowOff>142875</xdr:rowOff>
                  </from>
                  <to>
                    <xdr:col>21</xdr:col>
                    <xdr:colOff>276225</xdr:colOff>
                    <xdr:row>395</xdr:row>
                    <xdr:rowOff>152400</xdr:rowOff>
                  </to>
                </anchor>
              </controlPr>
            </control>
          </mc:Choice>
        </mc:AlternateContent>
        <mc:AlternateContent xmlns:mc="http://schemas.openxmlformats.org/markup-compatibility/2006">
          <mc:Choice Requires="x14">
            <control shapeId="5635" r:id="rId224" name="Option Button 515">
              <controlPr defaultSize="0" autoFill="0" autoLine="0" autoPict="0">
                <anchor moveWithCells="1">
                  <from>
                    <xdr:col>21</xdr:col>
                    <xdr:colOff>38100</xdr:colOff>
                    <xdr:row>402</xdr:row>
                    <xdr:rowOff>38100</xdr:rowOff>
                  </from>
                  <to>
                    <xdr:col>21</xdr:col>
                    <xdr:colOff>276225</xdr:colOff>
                    <xdr:row>403</xdr:row>
                    <xdr:rowOff>38100</xdr:rowOff>
                  </to>
                </anchor>
              </controlPr>
            </control>
          </mc:Choice>
        </mc:AlternateContent>
        <mc:AlternateContent xmlns:mc="http://schemas.openxmlformats.org/markup-compatibility/2006">
          <mc:Choice Requires="x14">
            <control shapeId="5636" r:id="rId225" name="Option Button 516">
              <controlPr defaultSize="0" autoFill="0" autoLine="0" autoPict="0">
                <anchor moveWithCells="1">
                  <from>
                    <xdr:col>21</xdr:col>
                    <xdr:colOff>38100</xdr:colOff>
                    <xdr:row>408</xdr:row>
                    <xdr:rowOff>180975</xdr:rowOff>
                  </from>
                  <to>
                    <xdr:col>21</xdr:col>
                    <xdr:colOff>276225</xdr:colOff>
                    <xdr:row>409</xdr:row>
                    <xdr:rowOff>180975</xdr:rowOff>
                  </to>
                </anchor>
              </controlPr>
            </control>
          </mc:Choice>
        </mc:AlternateContent>
        <mc:AlternateContent xmlns:mc="http://schemas.openxmlformats.org/markup-compatibility/2006">
          <mc:Choice Requires="x14">
            <control shapeId="5637" r:id="rId226" name="Option Button 517">
              <controlPr defaultSize="0" autoFill="0" autoLine="0" autoPict="0">
                <anchor moveWithCells="1">
                  <from>
                    <xdr:col>21</xdr:col>
                    <xdr:colOff>38100</xdr:colOff>
                    <xdr:row>415</xdr:row>
                    <xdr:rowOff>171450</xdr:rowOff>
                  </from>
                  <to>
                    <xdr:col>21</xdr:col>
                    <xdr:colOff>276225</xdr:colOff>
                    <xdr:row>416</xdr:row>
                    <xdr:rowOff>180975</xdr:rowOff>
                  </to>
                </anchor>
              </controlPr>
            </control>
          </mc:Choice>
        </mc:AlternateContent>
        <mc:AlternateContent xmlns:mc="http://schemas.openxmlformats.org/markup-compatibility/2006">
          <mc:Choice Requires="x14">
            <control shapeId="5638" r:id="rId227" name="Option Button 518">
              <controlPr defaultSize="0" autoFill="0" autoLine="0" autoPict="0">
                <anchor moveWithCells="1">
                  <from>
                    <xdr:col>21</xdr:col>
                    <xdr:colOff>38100</xdr:colOff>
                    <xdr:row>423</xdr:row>
                    <xdr:rowOff>38100</xdr:rowOff>
                  </from>
                  <to>
                    <xdr:col>21</xdr:col>
                    <xdr:colOff>276225</xdr:colOff>
                    <xdr:row>424</xdr:row>
                    <xdr:rowOff>38100</xdr:rowOff>
                  </to>
                </anchor>
              </controlPr>
            </control>
          </mc:Choice>
        </mc:AlternateContent>
        <mc:AlternateContent xmlns:mc="http://schemas.openxmlformats.org/markup-compatibility/2006">
          <mc:Choice Requires="x14">
            <control shapeId="5639" r:id="rId228" name="Option Button 519">
              <controlPr defaultSize="0" autoFill="0" autoLine="0" autoPict="0">
                <anchor moveWithCells="1">
                  <from>
                    <xdr:col>22</xdr:col>
                    <xdr:colOff>38100</xdr:colOff>
                    <xdr:row>372</xdr:row>
                    <xdr:rowOff>200025</xdr:rowOff>
                  </from>
                  <to>
                    <xdr:col>22</xdr:col>
                    <xdr:colOff>276225</xdr:colOff>
                    <xdr:row>372</xdr:row>
                    <xdr:rowOff>390525</xdr:rowOff>
                  </to>
                </anchor>
              </controlPr>
            </control>
          </mc:Choice>
        </mc:AlternateContent>
        <mc:AlternateContent xmlns:mc="http://schemas.openxmlformats.org/markup-compatibility/2006">
          <mc:Choice Requires="x14">
            <control shapeId="5640" r:id="rId229" name="Option Button 520">
              <controlPr defaultSize="0" autoFill="0" autoLine="0" autoPict="0">
                <anchor moveWithCells="1">
                  <from>
                    <xdr:col>22</xdr:col>
                    <xdr:colOff>38100</xdr:colOff>
                    <xdr:row>375</xdr:row>
                    <xdr:rowOff>190500</xdr:rowOff>
                  </from>
                  <to>
                    <xdr:col>22</xdr:col>
                    <xdr:colOff>276225</xdr:colOff>
                    <xdr:row>375</xdr:row>
                    <xdr:rowOff>381000</xdr:rowOff>
                  </to>
                </anchor>
              </controlPr>
            </control>
          </mc:Choice>
        </mc:AlternateContent>
        <mc:AlternateContent xmlns:mc="http://schemas.openxmlformats.org/markup-compatibility/2006">
          <mc:Choice Requires="x14">
            <control shapeId="5641" r:id="rId230" name="Option Button 521">
              <controlPr defaultSize="0" autoFill="0" autoLine="0" autoPict="0">
                <anchor moveWithCells="1">
                  <from>
                    <xdr:col>22</xdr:col>
                    <xdr:colOff>38100</xdr:colOff>
                    <xdr:row>377</xdr:row>
                    <xdr:rowOff>409575</xdr:rowOff>
                  </from>
                  <to>
                    <xdr:col>22</xdr:col>
                    <xdr:colOff>276225</xdr:colOff>
                    <xdr:row>377</xdr:row>
                    <xdr:rowOff>609600</xdr:rowOff>
                  </to>
                </anchor>
              </controlPr>
            </control>
          </mc:Choice>
        </mc:AlternateContent>
        <mc:AlternateContent xmlns:mc="http://schemas.openxmlformats.org/markup-compatibility/2006">
          <mc:Choice Requires="x14">
            <control shapeId="5642" r:id="rId231" name="Option Button 522">
              <controlPr defaultSize="0" autoFill="0" autoLine="0" autoPict="0">
                <anchor moveWithCells="1">
                  <from>
                    <xdr:col>22</xdr:col>
                    <xdr:colOff>38100</xdr:colOff>
                    <xdr:row>378</xdr:row>
                    <xdr:rowOff>409575</xdr:rowOff>
                  </from>
                  <to>
                    <xdr:col>22</xdr:col>
                    <xdr:colOff>276225</xdr:colOff>
                    <xdr:row>378</xdr:row>
                    <xdr:rowOff>609600</xdr:rowOff>
                  </to>
                </anchor>
              </controlPr>
            </control>
          </mc:Choice>
        </mc:AlternateContent>
        <mc:AlternateContent xmlns:mc="http://schemas.openxmlformats.org/markup-compatibility/2006">
          <mc:Choice Requires="x14">
            <control shapeId="5643" r:id="rId232" name="Option Button 523">
              <controlPr defaultSize="0" autoFill="0" autoLine="0" autoPict="0">
                <anchor moveWithCells="1">
                  <from>
                    <xdr:col>22</xdr:col>
                    <xdr:colOff>38100</xdr:colOff>
                    <xdr:row>387</xdr:row>
                    <xdr:rowOff>171450</xdr:rowOff>
                  </from>
                  <to>
                    <xdr:col>22</xdr:col>
                    <xdr:colOff>276225</xdr:colOff>
                    <xdr:row>388</xdr:row>
                    <xdr:rowOff>180975</xdr:rowOff>
                  </to>
                </anchor>
              </controlPr>
            </control>
          </mc:Choice>
        </mc:AlternateContent>
        <mc:AlternateContent xmlns:mc="http://schemas.openxmlformats.org/markup-compatibility/2006">
          <mc:Choice Requires="x14">
            <control shapeId="5644" r:id="rId233" name="Option Button 524">
              <controlPr defaultSize="0" autoFill="0" autoLine="0" autoPict="0">
                <anchor moveWithCells="1">
                  <from>
                    <xdr:col>22</xdr:col>
                    <xdr:colOff>38100</xdr:colOff>
                    <xdr:row>394</xdr:row>
                    <xdr:rowOff>142875</xdr:rowOff>
                  </from>
                  <to>
                    <xdr:col>22</xdr:col>
                    <xdr:colOff>276225</xdr:colOff>
                    <xdr:row>395</xdr:row>
                    <xdr:rowOff>152400</xdr:rowOff>
                  </to>
                </anchor>
              </controlPr>
            </control>
          </mc:Choice>
        </mc:AlternateContent>
        <mc:AlternateContent xmlns:mc="http://schemas.openxmlformats.org/markup-compatibility/2006">
          <mc:Choice Requires="x14">
            <control shapeId="5645" r:id="rId234" name="Option Button 525">
              <controlPr defaultSize="0" autoFill="0" autoLine="0" autoPict="0">
                <anchor moveWithCells="1">
                  <from>
                    <xdr:col>22</xdr:col>
                    <xdr:colOff>38100</xdr:colOff>
                    <xdr:row>402</xdr:row>
                    <xdr:rowOff>38100</xdr:rowOff>
                  </from>
                  <to>
                    <xdr:col>22</xdr:col>
                    <xdr:colOff>276225</xdr:colOff>
                    <xdr:row>403</xdr:row>
                    <xdr:rowOff>38100</xdr:rowOff>
                  </to>
                </anchor>
              </controlPr>
            </control>
          </mc:Choice>
        </mc:AlternateContent>
        <mc:AlternateContent xmlns:mc="http://schemas.openxmlformats.org/markup-compatibility/2006">
          <mc:Choice Requires="x14">
            <control shapeId="5646" r:id="rId235" name="Option Button 526">
              <controlPr defaultSize="0" autoFill="0" autoLine="0" autoPict="0">
                <anchor moveWithCells="1">
                  <from>
                    <xdr:col>22</xdr:col>
                    <xdr:colOff>38100</xdr:colOff>
                    <xdr:row>408</xdr:row>
                    <xdr:rowOff>180975</xdr:rowOff>
                  </from>
                  <to>
                    <xdr:col>22</xdr:col>
                    <xdr:colOff>276225</xdr:colOff>
                    <xdr:row>409</xdr:row>
                    <xdr:rowOff>180975</xdr:rowOff>
                  </to>
                </anchor>
              </controlPr>
            </control>
          </mc:Choice>
        </mc:AlternateContent>
        <mc:AlternateContent xmlns:mc="http://schemas.openxmlformats.org/markup-compatibility/2006">
          <mc:Choice Requires="x14">
            <control shapeId="5647" r:id="rId236" name="Option Button 527">
              <controlPr defaultSize="0" autoFill="0" autoLine="0" autoPict="0">
                <anchor moveWithCells="1">
                  <from>
                    <xdr:col>22</xdr:col>
                    <xdr:colOff>38100</xdr:colOff>
                    <xdr:row>415</xdr:row>
                    <xdr:rowOff>171450</xdr:rowOff>
                  </from>
                  <to>
                    <xdr:col>22</xdr:col>
                    <xdr:colOff>276225</xdr:colOff>
                    <xdr:row>416</xdr:row>
                    <xdr:rowOff>180975</xdr:rowOff>
                  </to>
                </anchor>
              </controlPr>
            </control>
          </mc:Choice>
        </mc:AlternateContent>
        <mc:AlternateContent xmlns:mc="http://schemas.openxmlformats.org/markup-compatibility/2006">
          <mc:Choice Requires="x14">
            <control shapeId="5648" r:id="rId237" name="Option Button 528">
              <controlPr defaultSize="0" autoFill="0" autoLine="0" autoPict="0">
                <anchor moveWithCells="1">
                  <from>
                    <xdr:col>22</xdr:col>
                    <xdr:colOff>38100</xdr:colOff>
                    <xdr:row>423</xdr:row>
                    <xdr:rowOff>38100</xdr:rowOff>
                  </from>
                  <to>
                    <xdr:col>22</xdr:col>
                    <xdr:colOff>276225</xdr:colOff>
                    <xdr:row>424</xdr:row>
                    <xdr:rowOff>38100</xdr:rowOff>
                  </to>
                </anchor>
              </controlPr>
            </control>
          </mc:Choice>
        </mc:AlternateContent>
        <mc:AlternateContent xmlns:mc="http://schemas.openxmlformats.org/markup-compatibility/2006">
          <mc:Choice Requires="x14">
            <control shapeId="5649" r:id="rId238" name="Option Button 529">
              <controlPr defaultSize="0" autoFill="0" autoLine="0" autoPict="0">
                <anchor moveWithCells="1">
                  <from>
                    <xdr:col>23</xdr:col>
                    <xdr:colOff>38100</xdr:colOff>
                    <xdr:row>372</xdr:row>
                    <xdr:rowOff>200025</xdr:rowOff>
                  </from>
                  <to>
                    <xdr:col>23</xdr:col>
                    <xdr:colOff>276225</xdr:colOff>
                    <xdr:row>372</xdr:row>
                    <xdr:rowOff>390525</xdr:rowOff>
                  </to>
                </anchor>
              </controlPr>
            </control>
          </mc:Choice>
        </mc:AlternateContent>
        <mc:AlternateContent xmlns:mc="http://schemas.openxmlformats.org/markup-compatibility/2006">
          <mc:Choice Requires="x14">
            <control shapeId="5650" r:id="rId239" name="Option Button 530">
              <controlPr defaultSize="0" autoFill="0" autoLine="0" autoPict="0">
                <anchor moveWithCells="1">
                  <from>
                    <xdr:col>23</xdr:col>
                    <xdr:colOff>38100</xdr:colOff>
                    <xdr:row>375</xdr:row>
                    <xdr:rowOff>190500</xdr:rowOff>
                  </from>
                  <to>
                    <xdr:col>23</xdr:col>
                    <xdr:colOff>276225</xdr:colOff>
                    <xdr:row>375</xdr:row>
                    <xdr:rowOff>381000</xdr:rowOff>
                  </to>
                </anchor>
              </controlPr>
            </control>
          </mc:Choice>
        </mc:AlternateContent>
        <mc:AlternateContent xmlns:mc="http://schemas.openxmlformats.org/markup-compatibility/2006">
          <mc:Choice Requires="x14">
            <control shapeId="5652" r:id="rId240" name="Option Button 532">
              <controlPr defaultSize="0" autoFill="0" autoLine="0" autoPict="0">
                <anchor moveWithCells="1">
                  <from>
                    <xdr:col>23</xdr:col>
                    <xdr:colOff>38100</xdr:colOff>
                    <xdr:row>378</xdr:row>
                    <xdr:rowOff>409575</xdr:rowOff>
                  </from>
                  <to>
                    <xdr:col>23</xdr:col>
                    <xdr:colOff>276225</xdr:colOff>
                    <xdr:row>378</xdr:row>
                    <xdr:rowOff>609600</xdr:rowOff>
                  </to>
                </anchor>
              </controlPr>
            </control>
          </mc:Choice>
        </mc:AlternateContent>
        <mc:AlternateContent xmlns:mc="http://schemas.openxmlformats.org/markup-compatibility/2006">
          <mc:Choice Requires="x14">
            <control shapeId="5653" r:id="rId241" name="Option Button 533">
              <controlPr defaultSize="0" autoFill="0" autoLine="0" autoPict="0">
                <anchor moveWithCells="1">
                  <from>
                    <xdr:col>23</xdr:col>
                    <xdr:colOff>38100</xdr:colOff>
                    <xdr:row>387</xdr:row>
                    <xdr:rowOff>171450</xdr:rowOff>
                  </from>
                  <to>
                    <xdr:col>23</xdr:col>
                    <xdr:colOff>276225</xdr:colOff>
                    <xdr:row>388</xdr:row>
                    <xdr:rowOff>180975</xdr:rowOff>
                  </to>
                </anchor>
              </controlPr>
            </control>
          </mc:Choice>
        </mc:AlternateContent>
        <mc:AlternateContent xmlns:mc="http://schemas.openxmlformats.org/markup-compatibility/2006">
          <mc:Choice Requires="x14">
            <control shapeId="5654" r:id="rId242" name="Option Button 534">
              <controlPr defaultSize="0" autoFill="0" autoLine="0" autoPict="0">
                <anchor moveWithCells="1">
                  <from>
                    <xdr:col>23</xdr:col>
                    <xdr:colOff>38100</xdr:colOff>
                    <xdr:row>394</xdr:row>
                    <xdr:rowOff>142875</xdr:rowOff>
                  </from>
                  <to>
                    <xdr:col>23</xdr:col>
                    <xdr:colOff>276225</xdr:colOff>
                    <xdr:row>395</xdr:row>
                    <xdr:rowOff>152400</xdr:rowOff>
                  </to>
                </anchor>
              </controlPr>
            </control>
          </mc:Choice>
        </mc:AlternateContent>
        <mc:AlternateContent xmlns:mc="http://schemas.openxmlformats.org/markup-compatibility/2006">
          <mc:Choice Requires="x14">
            <control shapeId="5655" r:id="rId243" name="Option Button 535">
              <controlPr defaultSize="0" autoFill="0" autoLine="0" autoPict="0">
                <anchor moveWithCells="1">
                  <from>
                    <xdr:col>23</xdr:col>
                    <xdr:colOff>38100</xdr:colOff>
                    <xdr:row>402</xdr:row>
                    <xdr:rowOff>38100</xdr:rowOff>
                  </from>
                  <to>
                    <xdr:col>23</xdr:col>
                    <xdr:colOff>276225</xdr:colOff>
                    <xdr:row>403</xdr:row>
                    <xdr:rowOff>38100</xdr:rowOff>
                  </to>
                </anchor>
              </controlPr>
            </control>
          </mc:Choice>
        </mc:AlternateContent>
        <mc:AlternateContent xmlns:mc="http://schemas.openxmlformats.org/markup-compatibility/2006">
          <mc:Choice Requires="x14">
            <control shapeId="5656" r:id="rId244" name="Option Button 536">
              <controlPr defaultSize="0" autoFill="0" autoLine="0" autoPict="0">
                <anchor moveWithCells="1">
                  <from>
                    <xdr:col>23</xdr:col>
                    <xdr:colOff>38100</xdr:colOff>
                    <xdr:row>408</xdr:row>
                    <xdr:rowOff>180975</xdr:rowOff>
                  </from>
                  <to>
                    <xdr:col>23</xdr:col>
                    <xdr:colOff>276225</xdr:colOff>
                    <xdr:row>409</xdr:row>
                    <xdr:rowOff>180975</xdr:rowOff>
                  </to>
                </anchor>
              </controlPr>
            </control>
          </mc:Choice>
        </mc:AlternateContent>
        <mc:AlternateContent xmlns:mc="http://schemas.openxmlformats.org/markup-compatibility/2006">
          <mc:Choice Requires="x14">
            <control shapeId="5657" r:id="rId245" name="Option Button 537">
              <controlPr defaultSize="0" autoFill="0" autoLine="0" autoPict="0">
                <anchor moveWithCells="1">
                  <from>
                    <xdr:col>23</xdr:col>
                    <xdr:colOff>38100</xdr:colOff>
                    <xdr:row>415</xdr:row>
                    <xdr:rowOff>171450</xdr:rowOff>
                  </from>
                  <to>
                    <xdr:col>23</xdr:col>
                    <xdr:colOff>276225</xdr:colOff>
                    <xdr:row>416</xdr:row>
                    <xdr:rowOff>180975</xdr:rowOff>
                  </to>
                </anchor>
              </controlPr>
            </control>
          </mc:Choice>
        </mc:AlternateContent>
        <mc:AlternateContent xmlns:mc="http://schemas.openxmlformats.org/markup-compatibility/2006">
          <mc:Choice Requires="x14">
            <control shapeId="5658" r:id="rId246" name="Option Button 538">
              <controlPr defaultSize="0" autoFill="0" autoLine="0" autoPict="0">
                <anchor moveWithCells="1">
                  <from>
                    <xdr:col>23</xdr:col>
                    <xdr:colOff>38100</xdr:colOff>
                    <xdr:row>423</xdr:row>
                    <xdr:rowOff>38100</xdr:rowOff>
                  </from>
                  <to>
                    <xdr:col>23</xdr:col>
                    <xdr:colOff>276225</xdr:colOff>
                    <xdr:row>424</xdr:row>
                    <xdr:rowOff>38100</xdr:rowOff>
                  </to>
                </anchor>
              </controlPr>
            </control>
          </mc:Choice>
        </mc:AlternateContent>
        <mc:AlternateContent xmlns:mc="http://schemas.openxmlformats.org/markup-compatibility/2006">
          <mc:Choice Requires="x14">
            <control shapeId="5659" r:id="rId247" name="Option Button 539">
              <controlPr defaultSize="0" autoFill="0" autoLine="0" autoPict="0">
                <anchor moveWithCells="1">
                  <from>
                    <xdr:col>23</xdr:col>
                    <xdr:colOff>38100</xdr:colOff>
                    <xdr:row>377</xdr:row>
                    <xdr:rowOff>409575</xdr:rowOff>
                  </from>
                  <to>
                    <xdr:col>23</xdr:col>
                    <xdr:colOff>276225</xdr:colOff>
                    <xdr:row>377</xdr:row>
                    <xdr:rowOff>609600</xdr:rowOff>
                  </to>
                </anchor>
              </controlPr>
            </control>
          </mc:Choice>
        </mc:AlternateContent>
        <mc:AlternateContent xmlns:mc="http://schemas.openxmlformats.org/markup-compatibility/2006">
          <mc:Choice Requires="x14">
            <control shapeId="5662" r:id="rId248" name="Group Box 542">
              <controlPr defaultSize="0" autoFill="0" autoPict="0">
                <anchor moveWithCells="1">
                  <from>
                    <xdr:col>19</xdr:col>
                    <xdr:colOff>0</xdr:colOff>
                    <xdr:row>436</xdr:row>
                    <xdr:rowOff>0</xdr:rowOff>
                  </from>
                  <to>
                    <xdr:col>23</xdr:col>
                    <xdr:colOff>276225</xdr:colOff>
                    <xdr:row>443</xdr:row>
                    <xdr:rowOff>0</xdr:rowOff>
                  </to>
                </anchor>
              </controlPr>
            </control>
          </mc:Choice>
        </mc:AlternateContent>
        <mc:AlternateContent xmlns:mc="http://schemas.openxmlformats.org/markup-compatibility/2006">
          <mc:Choice Requires="x14">
            <control shapeId="5669" r:id="rId249" name="Group Box 549">
              <controlPr defaultSize="0" autoFill="0" autoPict="0">
                <anchor moveWithCells="1">
                  <from>
                    <xdr:col>19</xdr:col>
                    <xdr:colOff>0</xdr:colOff>
                    <xdr:row>443</xdr:row>
                    <xdr:rowOff>0</xdr:rowOff>
                  </from>
                  <to>
                    <xdr:col>23</xdr:col>
                    <xdr:colOff>276225</xdr:colOff>
                    <xdr:row>449</xdr:row>
                    <xdr:rowOff>200025</xdr:rowOff>
                  </to>
                </anchor>
              </controlPr>
            </control>
          </mc:Choice>
        </mc:AlternateContent>
        <mc:AlternateContent xmlns:mc="http://schemas.openxmlformats.org/markup-compatibility/2006">
          <mc:Choice Requires="x14">
            <control shapeId="5672" r:id="rId250" name="Group Box 552">
              <controlPr defaultSize="0" autoFill="0" autoPict="0">
                <anchor moveWithCells="1">
                  <from>
                    <xdr:col>19</xdr:col>
                    <xdr:colOff>0</xdr:colOff>
                    <xdr:row>450</xdr:row>
                    <xdr:rowOff>0</xdr:rowOff>
                  </from>
                  <to>
                    <xdr:col>23</xdr:col>
                    <xdr:colOff>276225</xdr:colOff>
                    <xdr:row>451</xdr:row>
                    <xdr:rowOff>0</xdr:rowOff>
                  </to>
                </anchor>
              </controlPr>
            </control>
          </mc:Choice>
        </mc:AlternateContent>
        <mc:AlternateContent xmlns:mc="http://schemas.openxmlformats.org/markup-compatibility/2006">
          <mc:Choice Requires="x14">
            <control shapeId="5674" r:id="rId251" name="Group Box 554">
              <controlPr defaultSize="0" autoFill="0" autoPict="0">
                <anchor moveWithCells="1">
                  <from>
                    <xdr:col>19</xdr:col>
                    <xdr:colOff>0</xdr:colOff>
                    <xdr:row>452</xdr:row>
                    <xdr:rowOff>0</xdr:rowOff>
                  </from>
                  <to>
                    <xdr:col>23</xdr:col>
                    <xdr:colOff>276225</xdr:colOff>
                    <xdr:row>453</xdr:row>
                    <xdr:rowOff>0</xdr:rowOff>
                  </to>
                </anchor>
              </controlPr>
            </control>
          </mc:Choice>
        </mc:AlternateContent>
        <mc:AlternateContent xmlns:mc="http://schemas.openxmlformats.org/markup-compatibility/2006">
          <mc:Choice Requires="x14">
            <control shapeId="5676" r:id="rId252" name="Group Box 556">
              <controlPr defaultSize="0" autoFill="0" autoPict="0">
                <anchor moveWithCells="1">
                  <from>
                    <xdr:col>19</xdr:col>
                    <xdr:colOff>0</xdr:colOff>
                    <xdr:row>466</xdr:row>
                    <xdr:rowOff>0</xdr:rowOff>
                  </from>
                  <to>
                    <xdr:col>23</xdr:col>
                    <xdr:colOff>276225</xdr:colOff>
                    <xdr:row>472</xdr:row>
                    <xdr:rowOff>9525</xdr:rowOff>
                  </to>
                </anchor>
              </controlPr>
            </control>
          </mc:Choice>
        </mc:AlternateContent>
        <mc:AlternateContent xmlns:mc="http://schemas.openxmlformats.org/markup-compatibility/2006">
          <mc:Choice Requires="x14">
            <control shapeId="5678" r:id="rId253" name="Group Box 558">
              <controlPr defaultSize="0" autoFill="0" autoPict="0">
                <anchor moveWithCells="1">
                  <from>
                    <xdr:col>19</xdr:col>
                    <xdr:colOff>0</xdr:colOff>
                    <xdr:row>485</xdr:row>
                    <xdr:rowOff>0</xdr:rowOff>
                  </from>
                  <to>
                    <xdr:col>23</xdr:col>
                    <xdr:colOff>276225</xdr:colOff>
                    <xdr:row>486</xdr:row>
                    <xdr:rowOff>533400</xdr:rowOff>
                  </to>
                </anchor>
              </controlPr>
            </control>
          </mc:Choice>
        </mc:AlternateContent>
        <mc:AlternateContent xmlns:mc="http://schemas.openxmlformats.org/markup-compatibility/2006">
          <mc:Choice Requires="x14">
            <control shapeId="5679" r:id="rId254" name="Group Box 559">
              <controlPr defaultSize="0" autoFill="0" autoPict="0">
                <anchor moveWithCells="1">
                  <from>
                    <xdr:col>19</xdr:col>
                    <xdr:colOff>0</xdr:colOff>
                    <xdr:row>493</xdr:row>
                    <xdr:rowOff>0</xdr:rowOff>
                  </from>
                  <to>
                    <xdr:col>23</xdr:col>
                    <xdr:colOff>276225</xdr:colOff>
                    <xdr:row>495</xdr:row>
                    <xdr:rowOff>0</xdr:rowOff>
                  </to>
                </anchor>
              </controlPr>
            </control>
          </mc:Choice>
        </mc:AlternateContent>
        <mc:AlternateContent xmlns:mc="http://schemas.openxmlformats.org/markup-compatibility/2006">
          <mc:Choice Requires="x14">
            <control shapeId="5681" r:id="rId255" name="Group Box 561">
              <controlPr defaultSize="0" autoFill="0" autoPict="0">
                <anchor moveWithCells="1">
                  <from>
                    <xdr:col>19</xdr:col>
                    <xdr:colOff>0</xdr:colOff>
                    <xdr:row>510</xdr:row>
                    <xdr:rowOff>0</xdr:rowOff>
                  </from>
                  <to>
                    <xdr:col>23</xdr:col>
                    <xdr:colOff>276225</xdr:colOff>
                    <xdr:row>515</xdr:row>
                    <xdr:rowOff>152400</xdr:rowOff>
                  </to>
                </anchor>
              </controlPr>
            </control>
          </mc:Choice>
        </mc:AlternateContent>
        <mc:AlternateContent xmlns:mc="http://schemas.openxmlformats.org/markup-compatibility/2006">
          <mc:Choice Requires="x14">
            <control shapeId="5683" r:id="rId256" name="Group Box 563">
              <controlPr defaultSize="0" autoFill="0" autoPict="0">
                <anchor moveWithCells="1">
                  <from>
                    <xdr:col>19</xdr:col>
                    <xdr:colOff>0</xdr:colOff>
                    <xdr:row>522</xdr:row>
                    <xdr:rowOff>0</xdr:rowOff>
                  </from>
                  <to>
                    <xdr:col>23</xdr:col>
                    <xdr:colOff>276225</xdr:colOff>
                    <xdr:row>527</xdr:row>
                    <xdr:rowOff>152400</xdr:rowOff>
                  </to>
                </anchor>
              </controlPr>
            </control>
          </mc:Choice>
        </mc:AlternateContent>
        <mc:AlternateContent xmlns:mc="http://schemas.openxmlformats.org/markup-compatibility/2006">
          <mc:Choice Requires="x14">
            <control shapeId="5684" r:id="rId257" name="Group Box 564">
              <controlPr defaultSize="0" autoFill="0" autoPict="0">
                <anchor moveWithCells="1">
                  <from>
                    <xdr:col>19</xdr:col>
                    <xdr:colOff>0</xdr:colOff>
                    <xdr:row>534</xdr:row>
                    <xdr:rowOff>0</xdr:rowOff>
                  </from>
                  <to>
                    <xdr:col>23</xdr:col>
                    <xdr:colOff>276225</xdr:colOff>
                    <xdr:row>540</xdr:row>
                    <xdr:rowOff>0</xdr:rowOff>
                  </to>
                </anchor>
              </controlPr>
            </control>
          </mc:Choice>
        </mc:AlternateContent>
        <mc:AlternateContent xmlns:mc="http://schemas.openxmlformats.org/markup-compatibility/2006">
          <mc:Choice Requires="x14">
            <control shapeId="5686" r:id="rId258" name="Group Box 566">
              <controlPr defaultSize="0" autoFill="0" autoPict="0">
                <anchor moveWithCells="1">
                  <from>
                    <xdr:col>19</xdr:col>
                    <xdr:colOff>0</xdr:colOff>
                    <xdr:row>546</xdr:row>
                    <xdr:rowOff>0</xdr:rowOff>
                  </from>
                  <to>
                    <xdr:col>23</xdr:col>
                    <xdr:colOff>276225</xdr:colOff>
                    <xdr:row>552</xdr:row>
                    <xdr:rowOff>0</xdr:rowOff>
                  </to>
                </anchor>
              </controlPr>
            </control>
          </mc:Choice>
        </mc:AlternateContent>
        <mc:AlternateContent xmlns:mc="http://schemas.openxmlformats.org/markup-compatibility/2006">
          <mc:Choice Requires="x14">
            <control shapeId="5688" r:id="rId259" name="Group Box 568">
              <controlPr defaultSize="0" autoFill="0" autoPict="0">
                <anchor moveWithCells="1">
                  <from>
                    <xdr:col>19</xdr:col>
                    <xdr:colOff>0</xdr:colOff>
                    <xdr:row>558</xdr:row>
                    <xdr:rowOff>0</xdr:rowOff>
                  </from>
                  <to>
                    <xdr:col>23</xdr:col>
                    <xdr:colOff>276225</xdr:colOff>
                    <xdr:row>564</xdr:row>
                    <xdr:rowOff>0</xdr:rowOff>
                  </to>
                </anchor>
              </controlPr>
            </control>
          </mc:Choice>
        </mc:AlternateContent>
        <mc:AlternateContent xmlns:mc="http://schemas.openxmlformats.org/markup-compatibility/2006">
          <mc:Choice Requires="x14">
            <control shapeId="5689" r:id="rId260" name="Group Box 569">
              <controlPr defaultSize="0" autoFill="0" autoPict="0">
                <anchor moveWithCells="1">
                  <from>
                    <xdr:col>19</xdr:col>
                    <xdr:colOff>0</xdr:colOff>
                    <xdr:row>564</xdr:row>
                    <xdr:rowOff>0</xdr:rowOff>
                  </from>
                  <to>
                    <xdr:col>23</xdr:col>
                    <xdr:colOff>276225</xdr:colOff>
                    <xdr:row>570</xdr:row>
                    <xdr:rowOff>0</xdr:rowOff>
                  </to>
                </anchor>
              </controlPr>
            </control>
          </mc:Choice>
        </mc:AlternateContent>
        <mc:AlternateContent xmlns:mc="http://schemas.openxmlformats.org/markup-compatibility/2006">
          <mc:Choice Requires="x14">
            <control shapeId="5698" r:id="rId261" name="Option Button 578">
              <controlPr defaultSize="0" autoFill="0" autoLine="0" autoPict="0">
                <anchor moveWithCells="1">
                  <from>
                    <xdr:col>19</xdr:col>
                    <xdr:colOff>38100</xdr:colOff>
                    <xdr:row>439</xdr:row>
                    <xdr:rowOff>9525</xdr:rowOff>
                  </from>
                  <to>
                    <xdr:col>19</xdr:col>
                    <xdr:colOff>276225</xdr:colOff>
                    <xdr:row>440</xdr:row>
                    <xdr:rowOff>0</xdr:rowOff>
                  </to>
                </anchor>
              </controlPr>
            </control>
          </mc:Choice>
        </mc:AlternateContent>
        <mc:AlternateContent xmlns:mc="http://schemas.openxmlformats.org/markup-compatibility/2006">
          <mc:Choice Requires="x14">
            <control shapeId="5699" r:id="rId262" name="Option Button 579">
              <controlPr defaultSize="0" autoFill="0" autoLine="0" autoPict="0">
                <anchor moveWithCells="1">
                  <from>
                    <xdr:col>19</xdr:col>
                    <xdr:colOff>38100</xdr:colOff>
                    <xdr:row>445</xdr:row>
                    <xdr:rowOff>200025</xdr:rowOff>
                  </from>
                  <to>
                    <xdr:col>19</xdr:col>
                    <xdr:colOff>276225</xdr:colOff>
                    <xdr:row>446</xdr:row>
                    <xdr:rowOff>190500</xdr:rowOff>
                  </to>
                </anchor>
              </controlPr>
            </control>
          </mc:Choice>
        </mc:AlternateContent>
        <mc:AlternateContent xmlns:mc="http://schemas.openxmlformats.org/markup-compatibility/2006">
          <mc:Choice Requires="x14">
            <control shapeId="5700" r:id="rId263" name="Option Button 580">
              <controlPr defaultSize="0" autoFill="0" autoLine="0" autoPict="0">
                <anchor moveWithCells="1">
                  <from>
                    <xdr:col>19</xdr:col>
                    <xdr:colOff>38100</xdr:colOff>
                    <xdr:row>450</xdr:row>
                    <xdr:rowOff>457200</xdr:rowOff>
                  </from>
                  <to>
                    <xdr:col>19</xdr:col>
                    <xdr:colOff>276225</xdr:colOff>
                    <xdr:row>450</xdr:row>
                    <xdr:rowOff>657225</xdr:rowOff>
                  </to>
                </anchor>
              </controlPr>
            </control>
          </mc:Choice>
        </mc:AlternateContent>
        <mc:AlternateContent xmlns:mc="http://schemas.openxmlformats.org/markup-compatibility/2006">
          <mc:Choice Requires="x14">
            <control shapeId="5701" r:id="rId264" name="Option Button 581">
              <controlPr defaultSize="0" autoFill="0" autoLine="0" autoPict="0">
                <anchor moveWithCells="1">
                  <from>
                    <xdr:col>19</xdr:col>
                    <xdr:colOff>38100</xdr:colOff>
                    <xdr:row>451</xdr:row>
                    <xdr:rowOff>457200</xdr:rowOff>
                  </from>
                  <to>
                    <xdr:col>19</xdr:col>
                    <xdr:colOff>276225</xdr:colOff>
                    <xdr:row>451</xdr:row>
                    <xdr:rowOff>657225</xdr:rowOff>
                  </to>
                </anchor>
              </controlPr>
            </control>
          </mc:Choice>
        </mc:AlternateContent>
        <mc:AlternateContent xmlns:mc="http://schemas.openxmlformats.org/markup-compatibility/2006">
          <mc:Choice Requires="x14">
            <control shapeId="5702" r:id="rId265" name="Option Button 582">
              <controlPr defaultSize="0" autoFill="0" autoLine="0" autoPict="0">
                <anchor moveWithCells="1">
                  <from>
                    <xdr:col>19</xdr:col>
                    <xdr:colOff>38100</xdr:colOff>
                    <xdr:row>452</xdr:row>
                    <xdr:rowOff>457200</xdr:rowOff>
                  </from>
                  <to>
                    <xdr:col>19</xdr:col>
                    <xdr:colOff>276225</xdr:colOff>
                    <xdr:row>452</xdr:row>
                    <xdr:rowOff>657225</xdr:rowOff>
                  </to>
                </anchor>
              </controlPr>
            </control>
          </mc:Choice>
        </mc:AlternateContent>
        <mc:AlternateContent xmlns:mc="http://schemas.openxmlformats.org/markup-compatibility/2006">
          <mc:Choice Requires="x14">
            <control shapeId="5703" r:id="rId266" name="Option Button 583">
              <controlPr defaultSize="0" autoFill="0" autoLine="0" autoPict="0">
                <anchor moveWithCells="1">
                  <from>
                    <xdr:col>19</xdr:col>
                    <xdr:colOff>38100</xdr:colOff>
                    <xdr:row>462</xdr:row>
                    <xdr:rowOff>114300</xdr:rowOff>
                  </from>
                  <to>
                    <xdr:col>19</xdr:col>
                    <xdr:colOff>276225</xdr:colOff>
                    <xdr:row>463</xdr:row>
                    <xdr:rowOff>95250</xdr:rowOff>
                  </to>
                </anchor>
              </controlPr>
            </control>
          </mc:Choice>
        </mc:AlternateContent>
        <mc:AlternateContent xmlns:mc="http://schemas.openxmlformats.org/markup-compatibility/2006">
          <mc:Choice Requires="x14">
            <control shapeId="5704" r:id="rId267" name="Option Button 584">
              <controlPr defaultSize="0" autoFill="0" autoLine="0" autoPict="0">
                <anchor moveWithCells="1">
                  <from>
                    <xdr:col>19</xdr:col>
                    <xdr:colOff>38100</xdr:colOff>
                    <xdr:row>468</xdr:row>
                    <xdr:rowOff>114300</xdr:rowOff>
                  </from>
                  <to>
                    <xdr:col>19</xdr:col>
                    <xdr:colOff>276225</xdr:colOff>
                    <xdr:row>469</xdr:row>
                    <xdr:rowOff>95250</xdr:rowOff>
                  </to>
                </anchor>
              </controlPr>
            </control>
          </mc:Choice>
        </mc:AlternateContent>
        <mc:AlternateContent xmlns:mc="http://schemas.openxmlformats.org/markup-compatibility/2006">
          <mc:Choice Requires="x14">
            <control shapeId="5705" r:id="rId268" name="Option Button 585">
              <controlPr defaultSize="0" autoFill="0" autoLine="0" autoPict="0">
                <anchor moveWithCells="1">
                  <from>
                    <xdr:col>19</xdr:col>
                    <xdr:colOff>38100</xdr:colOff>
                    <xdr:row>474</xdr:row>
                    <xdr:rowOff>76200</xdr:rowOff>
                  </from>
                  <to>
                    <xdr:col>19</xdr:col>
                    <xdr:colOff>276225</xdr:colOff>
                    <xdr:row>475</xdr:row>
                    <xdr:rowOff>57150</xdr:rowOff>
                  </to>
                </anchor>
              </controlPr>
            </control>
          </mc:Choice>
        </mc:AlternateContent>
        <mc:AlternateContent xmlns:mc="http://schemas.openxmlformats.org/markup-compatibility/2006">
          <mc:Choice Requires="x14">
            <control shapeId="5706" r:id="rId269" name="Option Button 586">
              <controlPr defaultSize="0" autoFill="0" autoLine="0" autoPict="0">
                <anchor moveWithCells="1">
                  <from>
                    <xdr:col>19</xdr:col>
                    <xdr:colOff>38100</xdr:colOff>
                    <xdr:row>485</xdr:row>
                    <xdr:rowOff>457200</xdr:rowOff>
                  </from>
                  <to>
                    <xdr:col>19</xdr:col>
                    <xdr:colOff>276225</xdr:colOff>
                    <xdr:row>486</xdr:row>
                    <xdr:rowOff>104775</xdr:rowOff>
                  </to>
                </anchor>
              </controlPr>
            </control>
          </mc:Choice>
        </mc:AlternateContent>
        <mc:AlternateContent xmlns:mc="http://schemas.openxmlformats.org/markup-compatibility/2006">
          <mc:Choice Requires="x14">
            <control shapeId="5707" r:id="rId270" name="Option Button 587">
              <controlPr defaultSize="0" autoFill="0" autoLine="0" autoPict="0">
                <anchor moveWithCells="1">
                  <from>
                    <xdr:col>19</xdr:col>
                    <xdr:colOff>38100</xdr:colOff>
                    <xdr:row>493</xdr:row>
                    <xdr:rowOff>457200</xdr:rowOff>
                  </from>
                  <to>
                    <xdr:col>19</xdr:col>
                    <xdr:colOff>276225</xdr:colOff>
                    <xdr:row>494</xdr:row>
                    <xdr:rowOff>104775</xdr:rowOff>
                  </to>
                </anchor>
              </controlPr>
            </control>
          </mc:Choice>
        </mc:AlternateContent>
        <mc:AlternateContent xmlns:mc="http://schemas.openxmlformats.org/markup-compatibility/2006">
          <mc:Choice Requires="x14">
            <control shapeId="5708" r:id="rId271" name="Option Button 588">
              <controlPr defaultSize="0" autoFill="0" autoLine="0" autoPict="0">
                <anchor moveWithCells="1">
                  <from>
                    <xdr:col>19</xdr:col>
                    <xdr:colOff>38100</xdr:colOff>
                    <xdr:row>501</xdr:row>
                    <xdr:rowOff>457200</xdr:rowOff>
                  </from>
                  <to>
                    <xdr:col>19</xdr:col>
                    <xdr:colOff>276225</xdr:colOff>
                    <xdr:row>502</xdr:row>
                    <xdr:rowOff>104775</xdr:rowOff>
                  </to>
                </anchor>
              </controlPr>
            </control>
          </mc:Choice>
        </mc:AlternateContent>
        <mc:AlternateContent xmlns:mc="http://schemas.openxmlformats.org/markup-compatibility/2006">
          <mc:Choice Requires="x14">
            <control shapeId="5709" r:id="rId272" name="Option Button 589">
              <controlPr defaultSize="0" autoFill="0" autoLine="0" autoPict="0">
                <anchor moveWithCells="1">
                  <from>
                    <xdr:col>19</xdr:col>
                    <xdr:colOff>38100</xdr:colOff>
                    <xdr:row>512</xdr:row>
                    <xdr:rowOff>66675</xdr:rowOff>
                  </from>
                  <to>
                    <xdr:col>19</xdr:col>
                    <xdr:colOff>276225</xdr:colOff>
                    <xdr:row>513</xdr:row>
                    <xdr:rowOff>85725</xdr:rowOff>
                  </to>
                </anchor>
              </controlPr>
            </control>
          </mc:Choice>
        </mc:AlternateContent>
        <mc:AlternateContent xmlns:mc="http://schemas.openxmlformats.org/markup-compatibility/2006">
          <mc:Choice Requires="x14">
            <control shapeId="5710" r:id="rId273" name="Option Button 590">
              <controlPr defaultSize="0" autoFill="0" autoLine="0" autoPict="0">
                <anchor moveWithCells="1">
                  <from>
                    <xdr:col>19</xdr:col>
                    <xdr:colOff>38100</xdr:colOff>
                    <xdr:row>518</xdr:row>
                    <xdr:rowOff>114300</xdr:rowOff>
                  </from>
                  <to>
                    <xdr:col>19</xdr:col>
                    <xdr:colOff>276225</xdr:colOff>
                    <xdr:row>519</xdr:row>
                    <xdr:rowOff>133350</xdr:rowOff>
                  </to>
                </anchor>
              </controlPr>
            </control>
          </mc:Choice>
        </mc:AlternateContent>
        <mc:AlternateContent xmlns:mc="http://schemas.openxmlformats.org/markup-compatibility/2006">
          <mc:Choice Requires="x14">
            <control shapeId="5711" r:id="rId274" name="Option Button 591">
              <controlPr defaultSize="0" autoFill="0" autoLine="0" autoPict="0">
                <anchor moveWithCells="1">
                  <from>
                    <xdr:col>19</xdr:col>
                    <xdr:colOff>38100</xdr:colOff>
                    <xdr:row>524</xdr:row>
                    <xdr:rowOff>57150</xdr:rowOff>
                  </from>
                  <to>
                    <xdr:col>19</xdr:col>
                    <xdr:colOff>276225</xdr:colOff>
                    <xdr:row>525</xdr:row>
                    <xdr:rowOff>85725</xdr:rowOff>
                  </to>
                </anchor>
              </controlPr>
            </control>
          </mc:Choice>
        </mc:AlternateContent>
        <mc:AlternateContent xmlns:mc="http://schemas.openxmlformats.org/markup-compatibility/2006">
          <mc:Choice Requires="x14">
            <control shapeId="5712" r:id="rId275" name="Option Button 592">
              <controlPr defaultSize="0" autoFill="0" autoLine="0" autoPict="0">
                <anchor moveWithCells="1">
                  <from>
                    <xdr:col>19</xdr:col>
                    <xdr:colOff>38100</xdr:colOff>
                    <xdr:row>536</xdr:row>
                    <xdr:rowOff>76200</xdr:rowOff>
                  </from>
                  <to>
                    <xdr:col>19</xdr:col>
                    <xdr:colOff>276225</xdr:colOff>
                    <xdr:row>537</xdr:row>
                    <xdr:rowOff>57150</xdr:rowOff>
                  </to>
                </anchor>
              </controlPr>
            </control>
          </mc:Choice>
        </mc:AlternateContent>
        <mc:AlternateContent xmlns:mc="http://schemas.openxmlformats.org/markup-compatibility/2006">
          <mc:Choice Requires="x14">
            <control shapeId="5713" r:id="rId276" name="Option Button 593">
              <controlPr defaultSize="0" autoFill="0" autoLine="0" autoPict="0">
                <anchor moveWithCells="1">
                  <from>
                    <xdr:col>19</xdr:col>
                    <xdr:colOff>38100</xdr:colOff>
                    <xdr:row>542</xdr:row>
                    <xdr:rowOff>66675</xdr:rowOff>
                  </from>
                  <to>
                    <xdr:col>19</xdr:col>
                    <xdr:colOff>276225</xdr:colOff>
                    <xdr:row>543</xdr:row>
                    <xdr:rowOff>57150</xdr:rowOff>
                  </to>
                </anchor>
              </controlPr>
            </control>
          </mc:Choice>
        </mc:AlternateContent>
        <mc:AlternateContent xmlns:mc="http://schemas.openxmlformats.org/markup-compatibility/2006">
          <mc:Choice Requires="x14">
            <control shapeId="5714" r:id="rId277" name="Option Button 594">
              <controlPr defaultSize="0" autoFill="0" autoLine="0" autoPict="0">
                <anchor moveWithCells="1">
                  <from>
                    <xdr:col>19</xdr:col>
                    <xdr:colOff>38100</xdr:colOff>
                    <xdr:row>548</xdr:row>
                    <xdr:rowOff>76200</xdr:rowOff>
                  </from>
                  <to>
                    <xdr:col>19</xdr:col>
                    <xdr:colOff>276225</xdr:colOff>
                    <xdr:row>549</xdr:row>
                    <xdr:rowOff>57150</xdr:rowOff>
                  </to>
                </anchor>
              </controlPr>
            </control>
          </mc:Choice>
        </mc:AlternateContent>
        <mc:AlternateContent xmlns:mc="http://schemas.openxmlformats.org/markup-compatibility/2006">
          <mc:Choice Requires="x14">
            <control shapeId="5715" r:id="rId278" name="Option Button 595">
              <controlPr defaultSize="0" autoFill="0" autoLine="0" autoPict="0">
                <anchor moveWithCells="1">
                  <from>
                    <xdr:col>19</xdr:col>
                    <xdr:colOff>38100</xdr:colOff>
                    <xdr:row>554</xdr:row>
                    <xdr:rowOff>76200</xdr:rowOff>
                  </from>
                  <to>
                    <xdr:col>19</xdr:col>
                    <xdr:colOff>276225</xdr:colOff>
                    <xdr:row>555</xdr:row>
                    <xdr:rowOff>57150</xdr:rowOff>
                  </to>
                </anchor>
              </controlPr>
            </control>
          </mc:Choice>
        </mc:AlternateContent>
        <mc:AlternateContent xmlns:mc="http://schemas.openxmlformats.org/markup-compatibility/2006">
          <mc:Choice Requires="x14">
            <control shapeId="5716" r:id="rId279" name="Option Button 596">
              <controlPr defaultSize="0" autoFill="0" autoLine="0" autoPict="0">
                <anchor moveWithCells="1">
                  <from>
                    <xdr:col>19</xdr:col>
                    <xdr:colOff>38100</xdr:colOff>
                    <xdr:row>560</xdr:row>
                    <xdr:rowOff>114300</xdr:rowOff>
                  </from>
                  <to>
                    <xdr:col>19</xdr:col>
                    <xdr:colOff>276225</xdr:colOff>
                    <xdr:row>561</xdr:row>
                    <xdr:rowOff>95250</xdr:rowOff>
                  </to>
                </anchor>
              </controlPr>
            </control>
          </mc:Choice>
        </mc:AlternateContent>
        <mc:AlternateContent xmlns:mc="http://schemas.openxmlformats.org/markup-compatibility/2006">
          <mc:Choice Requires="x14">
            <control shapeId="5717" r:id="rId280" name="Option Button 597">
              <controlPr defaultSize="0" autoFill="0" autoLine="0" autoPict="0">
                <anchor moveWithCells="1">
                  <from>
                    <xdr:col>19</xdr:col>
                    <xdr:colOff>38100</xdr:colOff>
                    <xdr:row>566</xdr:row>
                    <xdr:rowOff>114300</xdr:rowOff>
                  </from>
                  <to>
                    <xdr:col>19</xdr:col>
                    <xdr:colOff>276225</xdr:colOff>
                    <xdr:row>567</xdr:row>
                    <xdr:rowOff>95250</xdr:rowOff>
                  </to>
                </anchor>
              </controlPr>
            </control>
          </mc:Choice>
        </mc:AlternateContent>
        <mc:AlternateContent xmlns:mc="http://schemas.openxmlformats.org/markup-compatibility/2006">
          <mc:Choice Requires="x14">
            <control shapeId="5725" r:id="rId281" name="Option Button 605">
              <controlPr defaultSize="0" autoFill="0" autoLine="0" autoPict="0">
                <anchor moveWithCells="1">
                  <from>
                    <xdr:col>20</xdr:col>
                    <xdr:colOff>38100</xdr:colOff>
                    <xdr:row>439</xdr:row>
                    <xdr:rowOff>19050</xdr:rowOff>
                  </from>
                  <to>
                    <xdr:col>20</xdr:col>
                    <xdr:colOff>276225</xdr:colOff>
                    <xdr:row>440</xdr:row>
                    <xdr:rowOff>9525</xdr:rowOff>
                  </to>
                </anchor>
              </controlPr>
            </control>
          </mc:Choice>
        </mc:AlternateContent>
        <mc:AlternateContent xmlns:mc="http://schemas.openxmlformats.org/markup-compatibility/2006">
          <mc:Choice Requires="x14">
            <control shapeId="5726" r:id="rId282" name="Option Button 606">
              <controlPr defaultSize="0" autoFill="0" autoLine="0" autoPict="0">
                <anchor moveWithCells="1">
                  <from>
                    <xdr:col>20</xdr:col>
                    <xdr:colOff>38100</xdr:colOff>
                    <xdr:row>446</xdr:row>
                    <xdr:rowOff>19050</xdr:rowOff>
                  </from>
                  <to>
                    <xdr:col>20</xdr:col>
                    <xdr:colOff>276225</xdr:colOff>
                    <xdr:row>447</xdr:row>
                    <xdr:rowOff>9525</xdr:rowOff>
                  </to>
                </anchor>
              </controlPr>
            </control>
          </mc:Choice>
        </mc:AlternateContent>
        <mc:AlternateContent xmlns:mc="http://schemas.openxmlformats.org/markup-compatibility/2006">
          <mc:Choice Requires="x14">
            <control shapeId="5727" r:id="rId283" name="Option Button 607">
              <controlPr defaultSize="0" autoFill="0" autoLine="0" autoPict="0">
                <anchor moveWithCells="1">
                  <from>
                    <xdr:col>20</xdr:col>
                    <xdr:colOff>38100</xdr:colOff>
                    <xdr:row>450</xdr:row>
                    <xdr:rowOff>476250</xdr:rowOff>
                  </from>
                  <to>
                    <xdr:col>20</xdr:col>
                    <xdr:colOff>276225</xdr:colOff>
                    <xdr:row>450</xdr:row>
                    <xdr:rowOff>666750</xdr:rowOff>
                  </to>
                </anchor>
              </controlPr>
            </control>
          </mc:Choice>
        </mc:AlternateContent>
        <mc:AlternateContent xmlns:mc="http://schemas.openxmlformats.org/markup-compatibility/2006">
          <mc:Choice Requires="x14">
            <control shapeId="5728" r:id="rId284" name="Option Button 608">
              <controlPr defaultSize="0" autoFill="0" autoLine="0" autoPict="0">
                <anchor moveWithCells="1">
                  <from>
                    <xdr:col>20</xdr:col>
                    <xdr:colOff>38100</xdr:colOff>
                    <xdr:row>451</xdr:row>
                    <xdr:rowOff>476250</xdr:rowOff>
                  </from>
                  <to>
                    <xdr:col>20</xdr:col>
                    <xdr:colOff>276225</xdr:colOff>
                    <xdr:row>451</xdr:row>
                    <xdr:rowOff>666750</xdr:rowOff>
                  </to>
                </anchor>
              </controlPr>
            </control>
          </mc:Choice>
        </mc:AlternateContent>
        <mc:AlternateContent xmlns:mc="http://schemas.openxmlformats.org/markup-compatibility/2006">
          <mc:Choice Requires="x14">
            <control shapeId="5729" r:id="rId285" name="Option Button 609">
              <controlPr defaultSize="0" autoFill="0" autoLine="0" autoPict="0">
                <anchor moveWithCells="1">
                  <from>
                    <xdr:col>20</xdr:col>
                    <xdr:colOff>38100</xdr:colOff>
                    <xdr:row>452</xdr:row>
                    <xdr:rowOff>476250</xdr:rowOff>
                  </from>
                  <to>
                    <xdr:col>20</xdr:col>
                    <xdr:colOff>276225</xdr:colOff>
                    <xdr:row>452</xdr:row>
                    <xdr:rowOff>666750</xdr:rowOff>
                  </to>
                </anchor>
              </controlPr>
            </control>
          </mc:Choice>
        </mc:AlternateContent>
        <mc:AlternateContent xmlns:mc="http://schemas.openxmlformats.org/markup-compatibility/2006">
          <mc:Choice Requires="x14">
            <control shapeId="5730" r:id="rId286" name="Option Button 610">
              <controlPr defaultSize="0" autoFill="0" autoLine="0" autoPict="0">
                <anchor moveWithCells="1">
                  <from>
                    <xdr:col>20</xdr:col>
                    <xdr:colOff>38100</xdr:colOff>
                    <xdr:row>462</xdr:row>
                    <xdr:rowOff>133350</xdr:rowOff>
                  </from>
                  <to>
                    <xdr:col>20</xdr:col>
                    <xdr:colOff>276225</xdr:colOff>
                    <xdr:row>463</xdr:row>
                    <xdr:rowOff>104775</xdr:rowOff>
                  </to>
                </anchor>
              </controlPr>
            </control>
          </mc:Choice>
        </mc:AlternateContent>
        <mc:AlternateContent xmlns:mc="http://schemas.openxmlformats.org/markup-compatibility/2006">
          <mc:Choice Requires="x14">
            <control shapeId="5731" r:id="rId287" name="Option Button 611">
              <controlPr defaultSize="0" autoFill="0" autoLine="0" autoPict="0">
                <anchor moveWithCells="1">
                  <from>
                    <xdr:col>20</xdr:col>
                    <xdr:colOff>38100</xdr:colOff>
                    <xdr:row>468</xdr:row>
                    <xdr:rowOff>123825</xdr:rowOff>
                  </from>
                  <to>
                    <xdr:col>20</xdr:col>
                    <xdr:colOff>276225</xdr:colOff>
                    <xdr:row>469</xdr:row>
                    <xdr:rowOff>104775</xdr:rowOff>
                  </to>
                </anchor>
              </controlPr>
            </control>
          </mc:Choice>
        </mc:AlternateContent>
        <mc:AlternateContent xmlns:mc="http://schemas.openxmlformats.org/markup-compatibility/2006">
          <mc:Choice Requires="x14">
            <control shapeId="5732" r:id="rId288" name="Option Button 612">
              <controlPr defaultSize="0" autoFill="0" autoLine="0" autoPict="0">
                <anchor moveWithCells="1">
                  <from>
                    <xdr:col>20</xdr:col>
                    <xdr:colOff>38100</xdr:colOff>
                    <xdr:row>474</xdr:row>
                    <xdr:rowOff>85725</xdr:rowOff>
                  </from>
                  <to>
                    <xdr:col>20</xdr:col>
                    <xdr:colOff>276225</xdr:colOff>
                    <xdr:row>475</xdr:row>
                    <xdr:rowOff>66675</xdr:rowOff>
                  </to>
                </anchor>
              </controlPr>
            </control>
          </mc:Choice>
        </mc:AlternateContent>
        <mc:AlternateContent xmlns:mc="http://schemas.openxmlformats.org/markup-compatibility/2006">
          <mc:Choice Requires="x14">
            <control shapeId="5733" r:id="rId289" name="Option Button 613">
              <controlPr defaultSize="0" autoFill="0" autoLine="0" autoPict="0">
                <anchor moveWithCells="1">
                  <from>
                    <xdr:col>20</xdr:col>
                    <xdr:colOff>38100</xdr:colOff>
                    <xdr:row>485</xdr:row>
                    <xdr:rowOff>476250</xdr:rowOff>
                  </from>
                  <to>
                    <xdr:col>20</xdr:col>
                    <xdr:colOff>276225</xdr:colOff>
                    <xdr:row>486</xdr:row>
                    <xdr:rowOff>133350</xdr:rowOff>
                  </to>
                </anchor>
              </controlPr>
            </control>
          </mc:Choice>
        </mc:AlternateContent>
        <mc:AlternateContent xmlns:mc="http://schemas.openxmlformats.org/markup-compatibility/2006">
          <mc:Choice Requires="x14">
            <control shapeId="5734" r:id="rId290" name="Option Button 614">
              <controlPr defaultSize="0" autoFill="0" autoLine="0" autoPict="0">
                <anchor moveWithCells="1">
                  <from>
                    <xdr:col>20</xdr:col>
                    <xdr:colOff>38100</xdr:colOff>
                    <xdr:row>493</xdr:row>
                    <xdr:rowOff>476250</xdr:rowOff>
                  </from>
                  <to>
                    <xdr:col>20</xdr:col>
                    <xdr:colOff>276225</xdr:colOff>
                    <xdr:row>494</xdr:row>
                    <xdr:rowOff>133350</xdr:rowOff>
                  </to>
                </anchor>
              </controlPr>
            </control>
          </mc:Choice>
        </mc:AlternateContent>
        <mc:AlternateContent xmlns:mc="http://schemas.openxmlformats.org/markup-compatibility/2006">
          <mc:Choice Requires="x14">
            <control shapeId="5735" r:id="rId291" name="Option Button 615">
              <controlPr defaultSize="0" autoFill="0" autoLine="0" autoPict="0">
                <anchor moveWithCells="1">
                  <from>
                    <xdr:col>20</xdr:col>
                    <xdr:colOff>38100</xdr:colOff>
                    <xdr:row>501</xdr:row>
                    <xdr:rowOff>476250</xdr:rowOff>
                  </from>
                  <to>
                    <xdr:col>20</xdr:col>
                    <xdr:colOff>276225</xdr:colOff>
                    <xdr:row>502</xdr:row>
                    <xdr:rowOff>133350</xdr:rowOff>
                  </to>
                </anchor>
              </controlPr>
            </control>
          </mc:Choice>
        </mc:AlternateContent>
        <mc:AlternateContent xmlns:mc="http://schemas.openxmlformats.org/markup-compatibility/2006">
          <mc:Choice Requires="x14">
            <control shapeId="5736" r:id="rId292" name="Option Button 616">
              <controlPr defaultSize="0" autoFill="0" autoLine="0" autoPict="0">
                <anchor moveWithCells="1">
                  <from>
                    <xdr:col>20</xdr:col>
                    <xdr:colOff>38100</xdr:colOff>
                    <xdr:row>512</xdr:row>
                    <xdr:rowOff>95250</xdr:rowOff>
                  </from>
                  <to>
                    <xdr:col>20</xdr:col>
                    <xdr:colOff>276225</xdr:colOff>
                    <xdr:row>513</xdr:row>
                    <xdr:rowOff>123825</xdr:rowOff>
                  </to>
                </anchor>
              </controlPr>
            </control>
          </mc:Choice>
        </mc:AlternateContent>
        <mc:AlternateContent xmlns:mc="http://schemas.openxmlformats.org/markup-compatibility/2006">
          <mc:Choice Requires="x14">
            <control shapeId="5737" r:id="rId293" name="Option Button 617">
              <controlPr defaultSize="0" autoFill="0" autoLine="0" autoPict="0">
                <anchor moveWithCells="1">
                  <from>
                    <xdr:col>20</xdr:col>
                    <xdr:colOff>38100</xdr:colOff>
                    <xdr:row>518</xdr:row>
                    <xdr:rowOff>152400</xdr:rowOff>
                  </from>
                  <to>
                    <xdr:col>20</xdr:col>
                    <xdr:colOff>276225</xdr:colOff>
                    <xdr:row>520</xdr:row>
                    <xdr:rowOff>9525</xdr:rowOff>
                  </to>
                </anchor>
              </controlPr>
            </control>
          </mc:Choice>
        </mc:AlternateContent>
        <mc:AlternateContent xmlns:mc="http://schemas.openxmlformats.org/markup-compatibility/2006">
          <mc:Choice Requires="x14">
            <control shapeId="5738" r:id="rId294" name="Option Button 618">
              <controlPr defaultSize="0" autoFill="0" autoLine="0" autoPict="0">
                <anchor moveWithCells="1">
                  <from>
                    <xdr:col>20</xdr:col>
                    <xdr:colOff>38100</xdr:colOff>
                    <xdr:row>524</xdr:row>
                    <xdr:rowOff>95250</xdr:rowOff>
                  </from>
                  <to>
                    <xdr:col>20</xdr:col>
                    <xdr:colOff>276225</xdr:colOff>
                    <xdr:row>525</xdr:row>
                    <xdr:rowOff>104775</xdr:rowOff>
                  </to>
                </anchor>
              </controlPr>
            </control>
          </mc:Choice>
        </mc:AlternateContent>
        <mc:AlternateContent xmlns:mc="http://schemas.openxmlformats.org/markup-compatibility/2006">
          <mc:Choice Requires="x14">
            <control shapeId="5739" r:id="rId295" name="Option Button 619">
              <controlPr defaultSize="0" autoFill="0" autoLine="0" autoPict="0">
                <anchor moveWithCells="1">
                  <from>
                    <xdr:col>20</xdr:col>
                    <xdr:colOff>38100</xdr:colOff>
                    <xdr:row>536</xdr:row>
                    <xdr:rowOff>95250</xdr:rowOff>
                  </from>
                  <to>
                    <xdr:col>20</xdr:col>
                    <xdr:colOff>276225</xdr:colOff>
                    <xdr:row>537</xdr:row>
                    <xdr:rowOff>85725</xdr:rowOff>
                  </to>
                </anchor>
              </controlPr>
            </control>
          </mc:Choice>
        </mc:AlternateContent>
        <mc:AlternateContent xmlns:mc="http://schemas.openxmlformats.org/markup-compatibility/2006">
          <mc:Choice Requires="x14">
            <control shapeId="5740" r:id="rId296" name="Option Button 620">
              <controlPr defaultSize="0" autoFill="0" autoLine="0" autoPict="0">
                <anchor moveWithCells="1">
                  <from>
                    <xdr:col>20</xdr:col>
                    <xdr:colOff>38100</xdr:colOff>
                    <xdr:row>542</xdr:row>
                    <xdr:rowOff>85725</xdr:rowOff>
                  </from>
                  <to>
                    <xdr:col>20</xdr:col>
                    <xdr:colOff>276225</xdr:colOff>
                    <xdr:row>543</xdr:row>
                    <xdr:rowOff>66675</xdr:rowOff>
                  </to>
                </anchor>
              </controlPr>
            </control>
          </mc:Choice>
        </mc:AlternateContent>
        <mc:AlternateContent xmlns:mc="http://schemas.openxmlformats.org/markup-compatibility/2006">
          <mc:Choice Requires="x14">
            <control shapeId="5741" r:id="rId297" name="Option Button 621">
              <controlPr defaultSize="0" autoFill="0" autoLine="0" autoPict="0">
                <anchor moveWithCells="1">
                  <from>
                    <xdr:col>20</xdr:col>
                    <xdr:colOff>38100</xdr:colOff>
                    <xdr:row>548</xdr:row>
                    <xdr:rowOff>95250</xdr:rowOff>
                  </from>
                  <to>
                    <xdr:col>20</xdr:col>
                    <xdr:colOff>276225</xdr:colOff>
                    <xdr:row>549</xdr:row>
                    <xdr:rowOff>85725</xdr:rowOff>
                  </to>
                </anchor>
              </controlPr>
            </control>
          </mc:Choice>
        </mc:AlternateContent>
        <mc:AlternateContent xmlns:mc="http://schemas.openxmlformats.org/markup-compatibility/2006">
          <mc:Choice Requires="x14">
            <control shapeId="5742" r:id="rId298" name="Option Button 622">
              <controlPr defaultSize="0" autoFill="0" autoLine="0" autoPict="0">
                <anchor moveWithCells="1">
                  <from>
                    <xdr:col>20</xdr:col>
                    <xdr:colOff>38100</xdr:colOff>
                    <xdr:row>554</xdr:row>
                    <xdr:rowOff>95250</xdr:rowOff>
                  </from>
                  <to>
                    <xdr:col>20</xdr:col>
                    <xdr:colOff>276225</xdr:colOff>
                    <xdr:row>555</xdr:row>
                    <xdr:rowOff>85725</xdr:rowOff>
                  </to>
                </anchor>
              </controlPr>
            </control>
          </mc:Choice>
        </mc:AlternateContent>
        <mc:AlternateContent xmlns:mc="http://schemas.openxmlformats.org/markup-compatibility/2006">
          <mc:Choice Requires="x14">
            <control shapeId="5743" r:id="rId299" name="Option Button 623">
              <controlPr defaultSize="0" autoFill="0" autoLine="0" autoPict="0">
                <anchor moveWithCells="1">
                  <from>
                    <xdr:col>20</xdr:col>
                    <xdr:colOff>38100</xdr:colOff>
                    <xdr:row>560</xdr:row>
                    <xdr:rowOff>133350</xdr:rowOff>
                  </from>
                  <to>
                    <xdr:col>20</xdr:col>
                    <xdr:colOff>276225</xdr:colOff>
                    <xdr:row>561</xdr:row>
                    <xdr:rowOff>104775</xdr:rowOff>
                  </to>
                </anchor>
              </controlPr>
            </control>
          </mc:Choice>
        </mc:AlternateContent>
        <mc:AlternateContent xmlns:mc="http://schemas.openxmlformats.org/markup-compatibility/2006">
          <mc:Choice Requires="x14">
            <control shapeId="5744" r:id="rId300" name="Option Button 624">
              <controlPr defaultSize="0" autoFill="0" autoLine="0" autoPict="0">
                <anchor moveWithCells="1">
                  <from>
                    <xdr:col>20</xdr:col>
                    <xdr:colOff>38100</xdr:colOff>
                    <xdr:row>566</xdr:row>
                    <xdr:rowOff>133350</xdr:rowOff>
                  </from>
                  <to>
                    <xdr:col>20</xdr:col>
                    <xdr:colOff>276225</xdr:colOff>
                    <xdr:row>567</xdr:row>
                    <xdr:rowOff>104775</xdr:rowOff>
                  </to>
                </anchor>
              </controlPr>
            </control>
          </mc:Choice>
        </mc:AlternateContent>
        <mc:AlternateContent xmlns:mc="http://schemas.openxmlformats.org/markup-compatibility/2006">
          <mc:Choice Requires="x14">
            <control shapeId="5752" r:id="rId301" name="Option Button 632">
              <controlPr defaultSize="0" autoFill="0" autoLine="0" autoPict="0">
                <anchor moveWithCells="1">
                  <from>
                    <xdr:col>21</xdr:col>
                    <xdr:colOff>38100</xdr:colOff>
                    <xdr:row>439</xdr:row>
                    <xdr:rowOff>9525</xdr:rowOff>
                  </from>
                  <to>
                    <xdr:col>21</xdr:col>
                    <xdr:colOff>276225</xdr:colOff>
                    <xdr:row>440</xdr:row>
                    <xdr:rowOff>0</xdr:rowOff>
                  </to>
                </anchor>
              </controlPr>
            </control>
          </mc:Choice>
        </mc:AlternateContent>
        <mc:AlternateContent xmlns:mc="http://schemas.openxmlformats.org/markup-compatibility/2006">
          <mc:Choice Requires="x14">
            <control shapeId="5753" r:id="rId302" name="Option Button 633">
              <controlPr defaultSize="0" autoFill="0" autoLine="0" autoPict="0">
                <anchor moveWithCells="1">
                  <from>
                    <xdr:col>21</xdr:col>
                    <xdr:colOff>38100</xdr:colOff>
                    <xdr:row>446</xdr:row>
                    <xdr:rowOff>0</xdr:rowOff>
                  </from>
                  <to>
                    <xdr:col>21</xdr:col>
                    <xdr:colOff>276225</xdr:colOff>
                    <xdr:row>447</xdr:row>
                    <xdr:rowOff>0</xdr:rowOff>
                  </to>
                </anchor>
              </controlPr>
            </control>
          </mc:Choice>
        </mc:AlternateContent>
        <mc:AlternateContent xmlns:mc="http://schemas.openxmlformats.org/markup-compatibility/2006">
          <mc:Choice Requires="x14">
            <control shapeId="5754" r:id="rId303" name="Option Button 634">
              <controlPr defaultSize="0" autoFill="0" autoLine="0" autoPict="0">
                <anchor moveWithCells="1">
                  <from>
                    <xdr:col>21</xdr:col>
                    <xdr:colOff>38100</xdr:colOff>
                    <xdr:row>450</xdr:row>
                    <xdr:rowOff>466725</xdr:rowOff>
                  </from>
                  <to>
                    <xdr:col>21</xdr:col>
                    <xdr:colOff>276225</xdr:colOff>
                    <xdr:row>450</xdr:row>
                    <xdr:rowOff>657225</xdr:rowOff>
                  </to>
                </anchor>
              </controlPr>
            </control>
          </mc:Choice>
        </mc:AlternateContent>
        <mc:AlternateContent xmlns:mc="http://schemas.openxmlformats.org/markup-compatibility/2006">
          <mc:Choice Requires="x14">
            <control shapeId="5755" r:id="rId304" name="Option Button 635">
              <controlPr defaultSize="0" autoFill="0" autoLine="0" autoPict="0">
                <anchor moveWithCells="1">
                  <from>
                    <xdr:col>21</xdr:col>
                    <xdr:colOff>38100</xdr:colOff>
                    <xdr:row>451</xdr:row>
                    <xdr:rowOff>466725</xdr:rowOff>
                  </from>
                  <to>
                    <xdr:col>21</xdr:col>
                    <xdr:colOff>276225</xdr:colOff>
                    <xdr:row>451</xdr:row>
                    <xdr:rowOff>657225</xdr:rowOff>
                  </to>
                </anchor>
              </controlPr>
            </control>
          </mc:Choice>
        </mc:AlternateContent>
        <mc:AlternateContent xmlns:mc="http://schemas.openxmlformats.org/markup-compatibility/2006">
          <mc:Choice Requires="x14">
            <control shapeId="5756" r:id="rId305" name="Option Button 636">
              <controlPr defaultSize="0" autoFill="0" autoLine="0" autoPict="0">
                <anchor moveWithCells="1">
                  <from>
                    <xdr:col>21</xdr:col>
                    <xdr:colOff>38100</xdr:colOff>
                    <xdr:row>452</xdr:row>
                    <xdr:rowOff>466725</xdr:rowOff>
                  </from>
                  <to>
                    <xdr:col>21</xdr:col>
                    <xdr:colOff>276225</xdr:colOff>
                    <xdr:row>452</xdr:row>
                    <xdr:rowOff>657225</xdr:rowOff>
                  </to>
                </anchor>
              </controlPr>
            </control>
          </mc:Choice>
        </mc:AlternateContent>
        <mc:AlternateContent xmlns:mc="http://schemas.openxmlformats.org/markup-compatibility/2006">
          <mc:Choice Requires="x14">
            <control shapeId="5757" r:id="rId306" name="Option Button 637">
              <controlPr defaultSize="0" autoFill="0" autoLine="0" autoPict="0">
                <anchor moveWithCells="1">
                  <from>
                    <xdr:col>21</xdr:col>
                    <xdr:colOff>38100</xdr:colOff>
                    <xdr:row>462</xdr:row>
                    <xdr:rowOff>114300</xdr:rowOff>
                  </from>
                  <to>
                    <xdr:col>21</xdr:col>
                    <xdr:colOff>276225</xdr:colOff>
                    <xdr:row>463</xdr:row>
                    <xdr:rowOff>95250</xdr:rowOff>
                  </to>
                </anchor>
              </controlPr>
            </control>
          </mc:Choice>
        </mc:AlternateContent>
        <mc:AlternateContent xmlns:mc="http://schemas.openxmlformats.org/markup-compatibility/2006">
          <mc:Choice Requires="x14">
            <control shapeId="5758" r:id="rId307" name="Option Button 638">
              <controlPr defaultSize="0" autoFill="0" autoLine="0" autoPict="0">
                <anchor moveWithCells="1">
                  <from>
                    <xdr:col>21</xdr:col>
                    <xdr:colOff>38100</xdr:colOff>
                    <xdr:row>468</xdr:row>
                    <xdr:rowOff>114300</xdr:rowOff>
                  </from>
                  <to>
                    <xdr:col>21</xdr:col>
                    <xdr:colOff>276225</xdr:colOff>
                    <xdr:row>469</xdr:row>
                    <xdr:rowOff>95250</xdr:rowOff>
                  </to>
                </anchor>
              </controlPr>
            </control>
          </mc:Choice>
        </mc:AlternateContent>
        <mc:AlternateContent xmlns:mc="http://schemas.openxmlformats.org/markup-compatibility/2006">
          <mc:Choice Requires="x14">
            <control shapeId="5759" r:id="rId308" name="Option Button 639">
              <controlPr defaultSize="0" autoFill="0" autoLine="0" autoPict="0">
                <anchor moveWithCells="1">
                  <from>
                    <xdr:col>21</xdr:col>
                    <xdr:colOff>38100</xdr:colOff>
                    <xdr:row>474</xdr:row>
                    <xdr:rowOff>76200</xdr:rowOff>
                  </from>
                  <to>
                    <xdr:col>21</xdr:col>
                    <xdr:colOff>276225</xdr:colOff>
                    <xdr:row>475</xdr:row>
                    <xdr:rowOff>57150</xdr:rowOff>
                  </to>
                </anchor>
              </controlPr>
            </control>
          </mc:Choice>
        </mc:AlternateContent>
        <mc:AlternateContent xmlns:mc="http://schemas.openxmlformats.org/markup-compatibility/2006">
          <mc:Choice Requires="x14">
            <control shapeId="5760" r:id="rId309" name="Option Button 640">
              <controlPr defaultSize="0" autoFill="0" autoLine="0" autoPict="0">
                <anchor moveWithCells="1">
                  <from>
                    <xdr:col>21</xdr:col>
                    <xdr:colOff>38100</xdr:colOff>
                    <xdr:row>485</xdr:row>
                    <xdr:rowOff>466725</xdr:rowOff>
                  </from>
                  <to>
                    <xdr:col>21</xdr:col>
                    <xdr:colOff>276225</xdr:colOff>
                    <xdr:row>486</xdr:row>
                    <xdr:rowOff>123825</xdr:rowOff>
                  </to>
                </anchor>
              </controlPr>
            </control>
          </mc:Choice>
        </mc:AlternateContent>
        <mc:AlternateContent xmlns:mc="http://schemas.openxmlformats.org/markup-compatibility/2006">
          <mc:Choice Requires="x14">
            <control shapeId="5761" r:id="rId310" name="Option Button 641">
              <controlPr defaultSize="0" autoFill="0" autoLine="0" autoPict="0">
                <anchor moveWithCells="1">
                  <from>
                    <xdr:col>21</xdr:col>
                    <xdr:colOff>38100</xdr:colOff>
                    <xdr:row>493</xdr:row>
                    <xdr:rowOff>466725</xdr:rowOff>
                  </from>
                  <to>
                    <xdr:col>21</xdr:col>
                    <xdr:colOff>276225</xdr:colOff>
                    <xdr:row>494</xdr:row>
                    <xdr:rowOff>123825</xdr:rowOff>
                  </to>
                </anchor>
              </controlPr>
            </control>
          </mc:Choice>
        </mc:AlternateContent>
        <mc:AlternateContent xmlns:mc="http://schemas.openxmlformats.org/markup-compatibility/2006">
          <mc:Choice Requires="x14">
            <control shapeId="5762" r:id="rId311" name="Option Button 642">
              <controlPr defaultSize="0" autoFill="0" autoLine="0" autoPict="0">
                <anchor moveWithCells="1">
                  <from>
                    <xdr:col>21</xdr:col>
                    <xdr:colOff>38100</xdr:colOff>
                    <xdr:row>501</xdr:row>
                    <xdr:rowOff>466725</xdr:rowOff>
                  </from>
                  <to>
                    <xdr:col>21</xdr:col>
                    <xdr:colOff>276225</xdr:colOff>
                    <xdr:row>502</xdr:row>
                    <xdr:rowOff>123825</xdr:rowOff>
                  </to>
                </anchor>
              </controlPr>
            </control>
          </mc:Choice>
        </mc:AlternateContent>
        <mc:AlternateContent xmlns:mc="http://schemas.openxmlformats.org/markup-compatibility/2006">
          <mc:Choice Requires="x14">
            <control shapeId="5763" r:id="rId312" name="Option Button 643">
              <controlPr defaultSize="0" autoFill="0" autoLine="0" autoPict="0">
                <anchor moveWithCells="1">
                  <from>
                    <xdr:col>21</xdr:col>
                    <xdr:colOff>38100</xdr:colOff>
                    <xdr:row>512</xdr:row>
                    <xdr:rowOff>85725</xdr:rowOff>
                  </from>
                  <to>
                    <xdr:col>21</xdr:col>
                    <xdr:colOff>276225</xdr:colOff>
                    <xdr:row>513</xdr:row>
                    <xdr:rowOff>104775</xdr:rowOff>
                  </to>
                </anchor>
              </controlPr>
            </control>
          </mc:Choice>
        </mc:AlternateContent>
        <mc:AlternateContent xmlns:mc="http://schemas.openxmlformats.org/markup-compatibility/2006">
          <mc:Choice Requires="x14">
            <control shapeId="5764" r:id="rId313" name="Option Button 644">
              <controlPr defaultSize="0" autoFill="0" autoLine="0" autoPict="0">
                <anchor moveWithCells="1">
                  <from>
                    <xdr:col>21</xdr:col>
                    <xdr:colOff>38100</xdr:colOff>
                    <xdr:row>518</xdr:row>
                    <xdr:rowOff>142875</xdr:rowOff>
                  </from>
                  <to>
                    <xdr:col>21</xdr:col>
                    <xdr:colOff>276225</xdr:colOff>
                    <xdr:row>520</xdr:row>
                    <xdr:rowOff>9525</xdr:rowOff>
                  </to>
                </anchor>
              </controlPr>
            </control>
          </mc:Choice>
        </mc:AlternateContent>
        <mc:AlternateContent xmlns:mc="http://schemas.openxmlformats.org/markup-compatibility/2006">
          <mc:Choice Requires="x14">
            <control shapeId="5765" r:id="rId314" name="Option Button 645">
              <controlPr defaultSize="0" autoFill="0" autoLine="0" autoPict="0">
                <anchor moveWithCells="1">
                  <from>
                    <xdr:col>21</xdr:col>
                    <xdr:colOff>38100</xdr:colOff>
                    <xdr:row>524</xdr:row>
                    <xdr:rowOff>85725</xdr:rowOff>
                  </from>
                  <to>
                    <xdr:col>21</xdr:col>
                    <xdr:colOff>276225</xdr:colOff>
                    <xdr:row>525</xdr:row>
                    <xdr:rowOff>104775</xdr:rowOff>
                  </to>
                </anchor>
              </controlPr>
            </control>
          </mc:Choice>
        </mc:AlternateContent>
        <mc:AlternateContent xmlns:mc="http://schemas.openxmlformats.org/markup-compatibility/2006">
          <mc:Choice Requires="x14">
            <control shapeId="5766" r:id="rId315" name="Option Button 646">
              <controlPr defaultSize="0" autoFill="0" autoLine="0" autoPict="0">
                <anchor moveWithCells="1">
                  <from>
                    <xdr:col>21</xdr:col>
                    <xdr:colOff>38100</xdr:colOff>
                    <xdr:row>536</xdr:row>
                    <xdr:rowOff>76200</xdr:rowOff>
                  </from>
                  <to>
                    <xdr:col>21</xdr:col>
                    <xdr:colOff>276225</xdr:colOff>
                    <xdr:row>537</xdr:row>
                    <xdr:rowOff>66675</xdr:rowOff>
                  </to>
                </anchor>
              </controlPr>
            </control>
          </mc:Choice>
        </mc:AlternateContent>
        <mc:AlternateContent xmlns:mc="http://schemas.openxmlformats.org/markup-compatibility/2006">
          <mc:Choice Requires="x14">
            <control shapeId="5767" r:id="rId316" name="Option Button 647">
              <controlPr defaultSize="0" autoFill="0" autoLine="0" autoPict="0">
                <anchor moveWithCells="1">
                  <from>
                    <xdr:col>21</xdr:col>
                    <xdr:colOff>38100</xdr:colOff>
                    <xdr:row>542</xdr:row>
                    <xdr:rowOff>76200</xdr:rowOff>
                  </from>
                  <to>
                    <xdr:col>21</xdr:col>
                    <xdr:colOff>276225</xdr:colOff>
                    <xdr:row>543</xdr:row>
                    <xdr:rowOff>57150</xdr:rowOff>
                  </to>
                </anchor>
              </controlPr>
            </control>
          </mc:Choice>
        </mc:AlternateContent>
        <mc:AlternateContent xmlns:mc="http://schemas.openxmlformats.org/markup-compatibility/2006">
          <mc:Choice Requires="x14">
            <control shapeId="5768" r:id="rId317" name="Option Button 648">
              <controlPr defaultSize="0" autoFill="0" autoLine="0" autoPict="0">
                <anchor moveWithCells="1">
                  <from>
                    <xdr:col>21</xdr:col>
                    <xdr:colOff>38100</xdr:colOff>
                    <xdr:row>548</xdr:row>
                    <xdr:rowOff>85725</xdr:rowOff>
                  </from>
                  <to>
                    <xdr:col>21</xdr:col>
                    <xdr:colOff>276225</xdr:colOff>
                    <xdr:row>549</xdr:row>
                    <xdr:rowOff>66675</xdr:rowOff>
                  </to>
                </anchor>
              </controlPr>
            </control>
          </mc:Choice>
        </mc:AlternateContent>
        <mc:AlternateContent xmlns:mc="http://schemas.openxmlformats.org/markup-compatibility/2006">
          <mc:Choice Requires="x14">
            <control shapeId="5769" r:id="rId318" name="Option Button 649">
              <controlPr defaultSize="0" autoFill="0" autoLine="0" autoPict="0">
                <anchor moveWithCells="1">
                  <from>
                    <xdr:col>21</xdr:col>
                    <xdr:colOff>38100</xdr:colOff>
                    <xdr:row>554</xdr:row>
                    <xdr:rowOff>85725</xdr:rowOff>
                  </from>
                  <to>
                    <xdr:col>21</xdr:col>
                    <xdr:colOff>276225</xdr:colOff>
                    <xdr:row>555</xdr:row>
                    <xdr:rowOff>66675</xdr:rowOff>
                  </to>
                </anchor>
              </controlPr>
            </control>
          </mc:Choice>
        </mc:AlternateContent>
        <mc:AlternateContent xmlns:mc="http://schemas.openxmlformats.org/markup-compatibility/2006">
          <mc:Choice Requires="x14">
            <control shapeId="5770" r:id="rId319" name="Option Button 650">
              <controlPr defaultSize="0" autoFill="0" autoLine="0" autoPict="0">
                <anchor moveWithCells="1">
                  <from>
                    <xdr:col>21</xdr:col>
                    <xdr:colOff>38100</xdr:colOff>
                    <xdr:row>560</xdr:row>
                    <xdr:rowOff>123825</xdr:rowOff>
                  </from>
                  <to>
                    <xdr:col>21</xdr:col>
                    <xdr:colOff>276225</xdr:colOff>
                    <xdr:row>561</xdr:row>
                    <xdr:rowOff>104775</xdr:rowOff>
                  </to>
                </anchor>
              </controlPr>
            </control>
          </mc:Choice>
        </mc:AlternateContent>
        <mc:AlternateContent xmlns:mc="http://schemas.openxmlformats.org/markup-compatibility/2006">
          <mc:Choice Requires="x14">
            <control shapeId="5771" r:id="rId320" name="Option Button 651">
              <controlPr defaultSize="0" autoFill="0" autoLine="0" autoPict="0">
                <anchor moveWithCells="1">
                  <from>
                    <xdr:col>21</xdr:col>
                    <xdr:colOff>38100</xdr:colOff>
                    <xdr:row>566</xdr:row>
                    <xdr:rowOff>123825</xdr:rowOff>
                  </from>
                  <to>
                    <xdr:col>21</xdr:col>
                    <xdr:colOff>276225</xdr:colOff>
                    <xdr:row>567</xdr:row>
                    <xdr:rowOff>104775</xdr:rowOff>
                  </to>
                </anchor>
              </controlPr>
            </control>
          </mc:Choice>
        </mc:AlternateContent>
        <mc:AlternateContent xmlns:mc="http://schemas.openxmlformats.org/markup-compatibility/2006">
          <mc:Choice Requires="x14">
            <control shapeId="5779" r:id="rId321" name="Option Button 659">
              <controlPr defaultSize="0" autoFill="0" autoLine="0" autoPict="0">
                <anchor moveWithCells="1">
                  <from>
                    <xdr:col>22</xdr:col>
                    <xdr:colOff>38100</xdr:colOff>
                    <xdr:row>439</xdr:row>
                    <xdr:rowOff>9525</xdr:rowOff>
                  </from>
                  <to>
                    <xdr:col>22</xdr:col>
                    <xdr:colOff>276225</xdr:colOff>
                    <xdr:row>440</xdr:row>
                    <xdr:rowOff>0</xdr:rowOff>
                  </to>
                </anchor>
              </controlPr>
            </control>
          </mc:Choice>
        </mc:AlternateContent>
        <mc:AlternateContent xmlns:mc="http://schemas.openxmlformats.org/markup-compatibility/2006">
          <mc:Choice Requires="x14">
            <control shapeId="5780" r:id="rId322" name="Option Button 660">
              <controlPr defaultSize="0" autoFill="0" autoLine="0" autoPict="0">
                <anchor moveWithCells="1">
                  <from>
                    <xdr:col>22</xdr:col>
                    <xdr:colOff>38100</xdr:colOff>
                    <xdr:row>446</xdr:row>
                    <xdr:rowOff>0</xdr:rowOff>
                  </from>
                  <to>
                    <xdr:col>22</xdr:col>
                    <xdr:colOff>276225</xdr:colOff>
                    <xdr:row>447</xdr:row>
                    <xdr:rowOff>0</xdr:rowOff>
                  </to>
                </anchor>
              </controlPr>
            </control>
          </mc:Choice>
        </mc:AlternateContent>
        <mc:AlternateContent xmlns:mc="http://schemas.openxmlformats.org/markup-compatibility/2006">
          <mc:Choice Requires="x14">
            <control shapeId="5781" r:id="rId323" name="Option Button 661">
              <controlPr defaultSize="0" autoFill="0" autoLine="0" autoPict="0">
                <anchor moveWithCells="1">
                  <from>
                    <xdr:col>22</xdr:col>
                    <xdr:colOff>38100</xdr:colOff>
                    <xdr:row>450</xdr:row>
                    <xdr:rowOff>466725</xdr:rowOff>
                  </from>
                  <to>
                    <xdr:col>22</xdr:col>
                    <xdr:colOff>276225</xdr:colOff>
                    <xdr:row>450</xdr:row>
                    <xdr:rowOff>657225</xdr:rowOff>
                  </to>
                </anchor>
              </controlPr>
            </control>
          </mc:Choice>
        </mc:AlternateContent>
        <mc:AlternateContent xmlns:mc="http://schemas.openxmlformats.org/markup-compatibility/2006">
          <mc:Choice Requires="x14">
            <control shapeId="5782" r:id="rId324" name="Option Button 662">
              <controlPr defaultSize="0" autoFill="0" autoLine="0" autoPict="0">
                <anchor moveWithCells="1">
                  <from>
                    <xdr:col>22</xdr:col>
                    <xdr:colOff>38100</xdr:colOff>
                    <xdr:row>451</xdr:row>
                    <xdr:rowOff>466725</xdr:rowOff>
                  </from>
                  <to>
                    <xdr:col>22</xdr:col>
                    <xdr:colOff>276225</xdr:colOff>
                    <xdr:row>451</xdr:row>
                    <xdr:rowOff>657225</xdr:rowOff>
                  </to>
                </anchor>
              </controlPr>
            </control>
          </mc:Choice>
        </mc:AlternateContent>
        <mc:AlternateContent xmlns:mc="http://schemas.openxmlformats.org/markup-compatibility/2006">
          <mc:Choice Requires="x14">
            <control shapeId="5783" r:id="rId325" name="Option Button 663">
              <controlPr defaultSize="0" autoFill="0" autoLine="0" autoPict="0">
                <anchor moveWithCells="1">
                  <from>
                    <xdr:col>22</xdr:col>
                    <xdr:colOff>38100</xdr:colOff>
                    <xdr:row>452</xdr:row>
                    <xdr:rowOff>466725</xdr:rowOff>
                  </from>
                  <to>
                    <xdr:col>22</xdr:col>
                    <xdr:colOff>276225</xdr:colOff>
                    <xdr:row>452</xdr:row>
                    <xdr:rowOff>657225</xdr:rowOff>
                  </to>
                </anchor>
              </controlPr>
            </control>
          </mc:Choice>
        </mc:AlternateContent>
        <mc:AlternateContent xmlns:mc="http://schemas.openxmlformats.org/markup-compatibility/2006">
          <mc:Choice Requires="x14">
            <control shapeId="5784" r:id="rId326" name="Option Button 664">
              <controlPr defaultSize="0" autoFill="0" autoLine="0" autoPict="0">
                <anchor moveWithCells="1">
                  <from>
                    <xdr:col>22</xdr:col>
                    <xdr:colOff>38100</xdr:colOff>
                    <xdr:row>462</xdr:row>
                    <xdr:rowOff>114300</xdr:rowOff>
                  </from>
                  <to>
                    <xdr:col>22</xdr:col>
                    <xdr:colOff>276225</xdr:colOff>
                    <xdr:row>463</xdr:row>
                    <xdr:rowOff>95250</xdr:rowOff>
                  </to>
                </anchor>
              </controlPr>
            </control>
          </mc:Choice>
        </mc:AlternateContent>
        <mc:AlternateContent xmlns:mc="http://schemas.openxmlformats.org/markup-compatibility/2006">
          <mc:Choice Requires="x14">
            <control shapeId="5785" r:id="rId327" name="Option Button 665">
              <controlPr defaultSize="0" autoFill="0" autoLine="0" autoPict="0">
                <anchor moveWithCells="1">
                  <from>
                    <xdr:col>22</xdr:col>
                    <xdr:colOff>38100</xdr:colOff>
                    <xdr:row>468</xdr:row>
                    <xdr:rowOff>114300</xdr:rowOff>
                  </from>
                  <to>
                    <xdr:col>22</xdr:col>
                    <xdr:colOff>276225</xdr:colOff>
                    <xdr:row>469</xdr:row>
                    <xdr:rowOff>95250</xdr:rowOff>
                  </to>
                </anchor>
              </controlPr>
            </control>
          </mc:Choice>
        </mc:AlternateContent>
        <mc:AlternateContent xmlns:mc="http://schemas.openxmlformats.org/markup-compatibility/2006">
          <mc:Choice Requires="x14">
            <control shapeId="5786" r:id="rId328" name="Option Button 666">
              <controlPr defaultSize="0" autoFill="0" autoLine="0" autoPict="0">
                <anchor moveWithCells="1">
                  <from>
                    <xdr:col>22</xdr:col>
                    <xdr:colOff>38100</xdr:colOff>
                    <xdr:row>474</xdr:row>
                    <xdr:rowOff>76200</xdr:rowOff>
                  </from>
                  <to>
                    <xdr:col>22</xdr:col>
                    <xdr:colOff>276225</xdr:colOff>
                    <xdr:row>475</xdr:row>
                    <xdr:rowOff>57150</xdr:rowOff>
                  </to>
                </anchor>
              </controlPr>
            </control>
          </mc:Choice>
        </mc:AlternateContent>
        <mc:AlternateContent xmlns:mc="http://schemas.openxmlformats.org/markup-compatibility/2006">
          <mc:Choice Requires="x14">
            <control shapeId="5787" r:id="rId329" name="Option Button 667">
              <controlPr defaultSize="0" autoFill="0" autoLine="0" autoPict="0">
                <anchor moveWithCells="1">
                  <from>
                    <xdr:col>22</xdr:col>
                    <xdr:colOff>38100</xdr:colOff>
                    <xdr:row>485</xdr:row>
                    <xdr:rowOff>466725</xdr:rowOff>
                  </from>
                  <to>
                    <xdr:col>22</xdr:col>
                    <xdr:colOff>276225</xdr:colOff>
                    <xdr:row>486</xdr:row>
                    <xdr:rowOff>123825</xdr:rowOff>
                  </to>
                </anchor>
              </controlPr>
            </control>
          </mc:Choice>
        </mc:AlternateContent>
        <mc:AlternateContent xmlns:mc="http://schemas.openxmlformats.org/markup-compatibility/2006">
          <mc:Choice Requires="x14">
            <control shapeId="5788" r:id="rId330" name="Option Button 668">
              <controlPr defaultSize="0" autoFill="0" autoLine="0" autoPict="0">
                <anchor moveWithCells="1">
                  <from>
                    <xdr:col>22</xdr:col>
                    <xdr:colOff>38100</xdr:colOff>
                    <xdr:row>493</xdr:row>
                    <xdr:rowOff>466725</xdr:rowOff>
                  </from>
                  <to>
                    <xdr:col>22</xdr:col>
                    <xdr:colOff>276225</xdr:colOff>
                    <xdr:row>494</xdr:row>
                    <xdr:rowOff>123825</xdr:rowOff>
                  </to>
                </anchor>
              </controlPr>
            </control>
          </mc:Choice>
        </mc:AlternateContent>
        <mc:AlternateContent xmlns:mc="http://schemas.openxmlformats.org/markup-compatibility/2006">
          <mc:Choice Requires="x14">
            <control shapeId="5789" r:id="rId331" name="Option Button 669">
              <controlPr defaultSize="0" autoFill="0" autoLine="0" autoPict="0">
                <anchor moveWithCells="1">
                  <from>
                    <xdr:col>22</xdr:col>
                    <xdr:colOff>38100</xdr:colOff>
                    <xdr:row>501</xdr:row>
                    <xdr:rowOff>466725</xdr:rowOff>
                  </from>
                  <to>
                    <xdr:col>22</xdr:col>
                    <xdr:colOff>276225</xdr:colOff>
                    <xdr:row>502</xdr:row>
                    <xdr:rowOff>123825</xdr:rowOff>
                  </to>
                </anchor>
              </controlPr>
            </control>
          </mc:Choice>
        </mc:AlternateContent>
        <mc:AlternateContent xmlns:mc="http://schemas.openxmlformats.org/markup-compatibility/2006">
          <mc:Choice Requires="x14">
            <control shapeId="5790" r:id="rId332" name="Option Button 670">
              <controlPr defaultSize="0" autoFill="0" autoLine="0" autoPict="0">
                <anchor moveWithCells="1">
                  <from>
                    <xdr:col>22</xdr:col>
                    <xdr:colOff>38100</xdr:colOff>
                    <xdr:row>512</xdr:row>
                    <xdr:rowOff>85725</xdr:rowOff>
                  </from>
                  <to>
                    <xdr:col>22</xdr:col>
                    <xdr:colOff>276225</xdr:colOff>
                    <xdr:row>513</xdr:row>
                    <xdr:rowOff>104775</xdr:rowOff>
                  </to>
                </anchor>
              </controlPr>
            </control>
          </mc:Choice>
        </mc:AlternateContent>
        <mc:AlternateContent xmlns:mc="http://schemas.openxmlformats.org/markup-compatibility/2006">
          <mc:Choice Requires="x14">
            <control shapeId="5791" r:id="rId333" name="Option Button 671">
              <controlPr defaultSize="0" autoFill="0" autoLine="0" autoPict="0">
                <anchor moveWithCells="1">
                  <from>
                    <xdr:col>22</xdr:col>
                    <xdr:colOff>38100</xdr:colOff>
                    <xdr:row>518</xdr:row>
                    <xdr:rowOff>142875</xdr:rowOff>
                  </from>
                  <to>
                    <xdr:col>22</xdr:col>
                    <xdr:colOff>276225</xdr:colOff>
                    <xdr:row>520</xdr:row>
                    <xdr:rowOff>9525</xdr:rowOff>
                  </to>
                </anchor>
              </controlPr>
            </control>
          </mc:Choice>
        </mc:AlternateContent>
        <mc:AlternateContent xmlns:mc="http://schemas.openxmlformats.org/markup-compatibility/2006">
          <mc:Choice Requires="x14">
            <control shapeId="5792" r:id="rId334" name="Option Button 672">
              <controlPr defaultSize="0" autoFill="0" autoLine="0" autoPict="0">
                <anchor moveWithCells="1">
                  <from>
                    <xdr:col>22</xdr:col>
                    <xdr:colOff>38100</xdr:colOff>
                    <xdr:row>524</xdr:row>
                    <xdr:rowOff>85725</xdr:rowOff>
                  </from>
                  <to>
                    <xdr:col>22</xdr:col>
                    <xdr:colOff>276225</xdr:colOff>
                    <xdr:row>525</xdr:row>
                    <xdr:rowOff>104775</xdr:rowOff>
                  </to>
                </anchor>
              </controlPr>
            </control>
          </mc:Choice>
        </mc:AlternateContent>
        <mc:AlternateContent xmlns:mc="http://schemas.openxmlformats.org/markup-compatibility/2006">
          <mc:Choice Requires="x14">
            <control shapeId="5793" r:id="rId335" name="Option Button 673">
              <controlPr defaultSize="0" autoFill="0" autoLine="0" autoPict="0">
                <anchor moveWithCells="1">
                  <from>
                    <xdr:col>22</xdr:col>
                    <xdr:colOff>38100</xdr:colOff>
                    <xdr:row>536</xdr:row>
                    <xdr:rowOff>76200</xdr:rowOff>
                  </from>
                  <to>
                    <xdr:col>22</xdr:col>
                    <xdr:colOff>276225</xdr:colOff>
                    <xdr:row>537</xdr:row>
                    <xdr:rowOff>66675</xdr:rowOff>
                  </to>
                </anchor>
              </controlPr>
            </control>
          </mc:Choice>
        </mc:AlternateContent>
        <mc:AlternateContent xmlns:mc="http://schemas.openxmlformats.org/markup-compatibility/2006">
          <mc:Choice Requires="x14">
            <control shapeId="5794" r:id="rId336" name="Option Button 674">
              <controlPr defaultSize="0" autoFill="0" autoLine="0" autoPict="0">
                <anchor moveWithCells="1">
                  <from>
                    <xdr:col>22</xdr:col>
                    <xdr:colOff>38100</xdr:colOff>
                    <xdr:row>542</xdr:row>
                    <xdr:rowOff>76200</xdr:rowOff>
                  </from>
                  <to>
                    <xdr:col>22</xdr:col>
                    <xdr:colOff>276225</xdr:colOff>
                    <xdr:row>543</xdr:row>
                    <xdr:rowOff>57150</xdr:rowOff>
                  </to>
                </anchor>
              </controlPr>
            </control>
          </mc:Choice>
        </mc:AlternateContent>
        <mc:AlternateContent xmlns:mc="http://schemas.openxmlformats.org/markup-compatibility/2006">
          <mc:Choice Requires="x14">
            <control shapeId="5795" r:id="rId337" name="Option Button 675">
              <controlPr defaultSize="0" autoFill="0" autoLine="0" autoPict="0">
                <anchor moveWithCells="1">
                  <from>
                    <xdr:col>22</xdr:col>
                    <xdr:colOff>38100</xdr:colOff>
                    <xdr:row>548</xdr:row>
                    <xdr:rowOff>85725</xdr:rowOff>
                  </from>
                  <to>
                    <xdr:col>22</xdr:col>
                    <xdr:colOff>276225</xdr:colOff>
                    <xdr:row>549</xdr:row>
                    <xdr:rowOff>66675</xdr:rowOff>
                  </to>
                </anchor>
              </controlPr>
            </control>
          </mc:Choice>
        </mc:AlternateContent>
        <mc:AlternateContent xmlns:mc="http://schemas.openxmlformats.org/markup-compatibility/2006">
          <mc:Choice Requires="x14">
            <control shapeId="5796" r:id="rId338" name="Option Button 676">
              <controlPr defaultSize="0" autoFill="0" autoLine="0" autoPict="0">
                <anchor moveWithCells="1">
                  <from>
                    <xdr:col>22</xdr:col>
                    <xdr:colOff>38100</xdr:colOff>
                    <xdr:row>554</xdr:row>
                    <xdr:rowOff>85725</xdr:rowOff>
                  </from>
                  <to>
                    <xdr:col>22</xdr:col>
                    <xdr:colOff>276225</xdr:colOff>
                    <xdr:row>555</xdr:row>
                    <xdr:rowOff>66675</xdr:rowOff>
                  </to>
                </anchor>
              </controlPr>
            </control>
          </mc:Choice>
        </mc:AlternateContent>
        <mc:AlternateContent xmlns:mc="http://schemas.openxmlformats.org/markup-compatibility/2006">
          <mc:Choice Requires="x14">
            <control shapeId="5797" r:id="rId339" name="Option Button 677">
              <controlPr defaultSize="0" autoFill="0" autoLine="0" autoPict="0">
                <anchor moveWithCells="1">
                  <from>
                    <xdr:col>22</xdr:col>
                    <xdr:colOff>38100</xdr:colOff>
                    <xdr:row>560</xdr:row>
                    <xdr:rowOff>123825</xdr:rowOff>
                  </from>
                  <to>
                    <xdr:col>22</xdr:col>
                    <xdr:colOff>276225</xdr:colOff>
                    <xdr:row>561</xdr:row>
                    <xdr:rowOff>104775</xdr:rowOff>
                  </to>
                </anchor>
              </controlPr>
            </control>
          </mc:Choice>
        </mc:AlternateContent>
        <mc:AlternateContent xmlns:mc="http://schemas.openxmlformats.org/markup-compatibility/2006">
          <mc:Choice Requires="x14">
            <control shapeId="5798" r:id="rId340" name="Option Button 678">
              <controlPr defaultSize="0" autoFill="0" autoLine="0" autoPict="0">
                <anchor moveWithCells="1">
                  <from>
                    <xdr:col>22</xdr:col>
                    <xdr:colOff>38100</xdr:colOff>
                    <xdr:row>566</xdr:row>
                    <xdr:rowOff>123825</xdr:rowOff>
                  </from>
                  <to>
                    <xdr:col>22</xdr:col>
                    <xdr:colOff>276225</xdr:colOff>
                    <xdr:row>567</xdr:row>
                    <xdr:rowOff>104775</xdr:rowOff>
                  </to>
                </anchor>
              </controlPr>
            </control>
          </mc:Choice>
        </mc:AlternateContent>
        <mc:AlternateContent xmlns:mc="http://schemas.openxmlformats.org/markup-compatibility/2006">
          <mc:Choice Requires="x14">
            <control shapeId="5807" r:id="rId341" name="Option Button 687">
              <controlPr defaultSize="0" autoFill="0" autoLine="0" autoPict="0">
                <anchor moveWithCells="1">
                  <from>
                    <xdr:col>23</xdr:col>
                    <xdr:colOff>38100</xdr:colOff>
                    <xdr:row>445</xdr:row>
                    <xdr:rowOff>190500</xdr:rowOff>
                  </from>
                  <to>
                    <xdr:col>23</xdr:col>
                    <xdr:colOff>276225</xdr:colOff>
                    <xdr:row>446</xdr:row>
                    <xdr:rowOff>180975</xdr:rowOff>
                  </to>
                </anchor>
              </controlPr>
            </control>
          </mc:Choice>
        </mc:AlternateContent>
        <mc:AlternateContent xmlns:mc="http://schemas.openxmlformats.org/markup-compatibility/2006">
          <mc:Choice Requires="x14">
            <control shapeId="5808" r:id="rId342" name="Option Button 688">
              <controlPr defaultSize="0" autoFill="0" autoLine="0" autoPict="0">
                <anchor moveWithCells="1">
                  <from>
                    <xdr:col>23</xdr:col>
                    <xdr:colOff>38100</xdr:colOff>
                    <xdr:row>450</xdr:row>
                    <xdr:rowOff>457200</xdr:rowOff>
                  </from>
                  <to>
                    <xdr:col>23</xdr:col>
                    <xdr:colOff>276225</xdr:colOff>
                    <xdr:row>450</xdr:row>
                    <xdr:rowOff>657225</xdr:rowOff>
                  </to>
                </anchor>
              </controlPr>
            </control>
          </mc:Choice>
        </mc:AlternateContent>
        <mc:AlternateContent xmlns:mc="http://schemas.openxmlformats.org/markup-compatibility/2006">
          <mc:Choice Requires="x14">
            <control shapeId="5809" r:id="rId343" name="Option Button 689">
              <controlPr defaultSize="0" autoFill="0" autoLine="0" autoPict="0">
                <anchor moveWithCells="1">
                  <from>
                    <xdr:col>23</xdr:col>
                    <xdr:colOff>38100</xdr:colOff>
                    <xdr:row>451</xdr:row>
                    <xdr:rowOff>457200</xdr:rowOff>
                  </from>
                  <to>
                    <xdr:col>23</xdr:col>
                    <xdr:colOff>276225</xdr:colOff>
                    <xdr:row>451</xdr:row>
                    <xdr:rowOff>657225</xdr:rowOff>
                  </to>
                </anchor>
              </controlPr>
            </control>
          </mc:Choice>
        </mc:AlternateContent>
        <mc:AlternateContent xmlns:mc="http://schemas.openxmlformats.org/markup-compatibility/2006">
          <mc:Choice Requires="x14">
            <control shapeId="5810" r:id="rId344" name="Option Button 690">
              <controlPr defaultSize="0" autoFill="0" autoLine="0" autoPict="0">
                <anchor moveWithCells="1">
                  <from>
                    <xdr:col>23</xdr:col>
                    <xdr:colOff>38100</xdr:colOff>
                    <xdr:row>452</xdr:row>
                    <xdr:rowOff>457200</xdr:rowOff>
                  </from>
                  <to>
                    <xdr:col>23</xdr:col>
                    <xdr:colOff>276225</xdr:colOff>
                    <xdr:row>452</xdr:row>
                    <xdr:rowOff>657225</xdr:rowOff>
                  </to>
                </anchor>
              </controlPr>
            </control>
          </mc:Choice>
        </mc:AlternateContent>
        <mc:AlternateContent xmlns:mc="http://schemas.openxmlformats.org/markup-compatibility/2006">
          <mc:Choice Requires="x14">
            <control shapeId="5811" r:id="rId345" name="Option Button 691">
              <controlPr defaultSize="0" autoFill="0" autoLine="0" autoPict="0">
                <anchor moveWithCells="1">
                  <from>
                    <xdr:col>23</xdr:col>
                    <xdr:colOff>38100</xdr:colOff>
                    <xdr:row>462</xdr:row>
                    <xdr:rowOff>104775</xdr:rowOff>
                  </from>
                  <to>
                    <xdr:col>23</xdr:col>
                    <xdr:colOff>276225</xdr:colOff>
                    <xdr:row>463</xdr:row>
                    <xdr:rowOff>85725</xdr:rowOff>
                  </to>
                </anchor>
              </controlPr>
            </control>
          </mc:Choice>
        </mc:AlternateContent>
        <mc:AlternateContent xmlns:mc="http://schemas.openxmlformats.org/markup-compatibility/2006">
          <mc:Choice Requires="x14">
            <control shapeId="5812" r:id="rId346" name="Option Button 692">
              <controlPr defaultSize="0" autoFill="0" autoLine="0" autoPict="0">
                <anchor moveWithCells="1">
                  <from>
                    <xdr:col>23</xdr:col>
                    <xdr:colOff>38100</xdr:colOff>
                    <xdr:row>468</xdr:row>
                    <xdr:rowOff>104775</xdr:rowOff>
                  </from>
                  <to>
                    <xdr:col>23</xdr:col>
                    <xdr:colOff>276225</xdr:colOff>
                    <xdr:row>469</xdr:row>
                    <xdr:rowOff>85725</xdr:rowOff>
                  </to>
                </anchor>
              </controlPr>
            </control>
          </mc:Choice>
        </mc:AlternateContent>
        <mc:AlternateContent xmlns:mc="http://schemas.openxmlformats.org/markup-compatibility/2006">
          <mc:Choice Requires="x14">
            <control shapeId="5813" r:id="rId347" name="Option Button 693">
              <controlPr defaultSize="0" autoFill="0" autoLine="0" autoPict="0">
                <anchor moveWithCells="1">
                  <from>
                    <xdr:col>23</xdr:col>
                    <xdr:colOff>38100</xdr:colOff>
                    <xdr:row>474</xdr:row>
                    <xdr:rowOff>66675</xdr:rowOff>
                  </from>
                  <to>
                    <xdr:col>23</xdr:col>
                    <xdr:colOff>276225</xdr:colOff>
                    <xdr:row>475</xdr:row>
                    <xdr:rowOff>57150</xdr:rowOff>
                  </to>
                </anchor>
              </controlPr>
            </control>
          </mc:Choice>
        </mc:AlternateContent>
        <mc:AlternateContent xmlns:mc="http://schemas.openxmlformats.org/markup-compatibility/2006">
          <mc:Choice Requires="x14">
            <control shapeId="5814" r:id="rId348" name="Option Button 694">
              <controlPr defaultSize="0" autoFill="0" autoLine="0" autoPict="0">
                <anchor moveWithCells="1">
                  <from>
                    <xdr:col>23</xdr:col>
                    <xdr:colOff>38100</xdr:colOff>
                    <xdr:row>485</xdr:row>
                    <xdr:rowOff>457200</xdr:rowOff>
                  </from>
                  <to>
                    <xdr:col>23</xdr:col>
                    <xdr:colOff>276225</xdr:colOff>
                    <xdr:row>486</xdr:row>
                    <xdr:rowOff>104775</xdr:rowOff>
                  </to>
                </anchor>
              </controlPr>
            </control>
          </mc:Choice>
        </mc:AlternateContent>
        <mc:AlternateContent xmlns:mc="http://schemas.openxmlformats.org/markup-compatibility/2006">
          <mc:Choice Requires="x14">
            <control shapeId="5815" r:id="rId349" name="Option Button 695">
              <controlPr defaultSize="0" autoFill="0" autoLine="0" autoPict="0">
                <anchor moveWithCells="1">
                  <from>
                    <xdr:col>23</xdr:col>
                    <xdr:colOff>38100</xdr:colOff>
                    <xdr:row>493</xdr:row>
                    <xdr:rowOff>457200</xdr:rowOff>
                  </from>
                  <to>
                    <xdr:col>23</xdr:col>
                    <xdr:colOff>276225</xdr:colOff>
                    <xdr:row>494</xdr:row>
                    <xdr:rowOff>104775</xdr:rowOff>
                  </to>
                </anchor>
              </controlPr>
            </control>
          </mc:Choice>
        </mc:AlternateContent>
        <mc:AlternateContent xmlns:mc="http://schemas.openxmlformats.org/markup-compatibility/2006">
          <mc:Choice Requires="x14">
            <control shapeId="5816" r:id="rId350" name="Option Button 696">
              <controlPr defaultSize="0" autoFill="0" autoLine="0" autoPict="0">
                <anchor moveWithCells="1">
                  <from>
                    <xdr:col>23</xdr:col>
                    <xdr:colOff>38100</xdr:colOff>
                    <xdr:row>501</xdr:row>
                    <xdr:rowOff>457200</xdr:rowOff>
                  </from>
                  <to>
                    <xdr:col>23</xdr:col>
                    <xdr:colOff>276225</xdr:colOff>
                    <xdr:row>502</xdr:row>
                    <xdr:rowOff>104775</xdr:rowOff>
                  </to>
                </anchor>
              </controlPr>
            </control>
          </mc:Choice>
        </mc:AlternateContent>
        <mc:AlternateContent xmlns:mc="http://schemas.openxmlformats.org/markup-compatibility/2006">
          <mc:Choice Requires="x14">
            <control shapeId="5817" r:id="rId351" name="Option Button 697">
              <controlPr defaultSize="0" autoFill="0" autoLine="0" autoPict="0">
                <anchor moveWithCells="1">
                  <from>
                    <xdr:col>23</xdr:col>
                    <xdr:colOff>38100</xdr:colOff>
                    <xdr:row>512</xdr:row>
                    <xdr:rowOff>76200</xdr:rowOff>
                  </from>
                  <to>
                    <xdr:col>23</xdr:col>
                    <xdr:colOff>276225</xdr:colOff>
                    <xdr:row>513</xdr:row>
                    <xdr:rowOff>95250</xdr:rowOff>
                  </to>
                </anchor>
              </controlPr>
            </control>
          </mc:Choice>
        </mc:AlternateContent>
        <mc:AlternateContent xmlns:mc="http://schemas.openxmlformats.org/markup-compatibility/2006">
          <mc:Choice Requires="x14">
            <control shapeId="5818" r:id="rId352" name="Option Button 698">
              <controlPr defaultSize="0" autoFill="0" autoLine="0" autoPict="0">
                <anchor moveWithCells="1">
                  <from>
                    <xdr:col>23</xdr:col>
                    <xdr:colOff>38100</xdr:colOff>
                    <xdr:row>518</xdr:row>
                    <xdr:rowOff>133350</xdr:rowOff>
                  </from>
                  <to>
                    <xdr:col>23</xdr:col>
                    <xdr:colOff>276225</xdr:colOff>
                    <xdr:row>519</xdr:row>
                    <xdr:rowOff>152400</xdr:rowOff>
                  </to>
                </anchor>
              </controlPr>
            </control>
          </mc:Choice>
        </mc:AlternateContent>
        <mc:AlternateContent xmlns:mc="http://schemas.openxmlformats.org/markup-compatibility/2006">
          <mc:Choice Requires="x14">
            <control shapeId="5819" r:id="rId353" name="Option Button 699">
              <controlPr defaultSize="0" autoFill="0" autoLine="0" autoPict="0">
                <anchor moveWithCells="1">
                  <from>
                    <xdr:col>23</xdr:col>
                    <xdr:colOff>38100</xdr:colOff>
                    <xdr:row>524</xdr:row>
                    <xdr:rowOff>76200</xdr:rowOff>
                  </from>
                  <to>
                    <xdr:col>23</xdr:col>
                    <xdr:colOff>276225</xdr:colOff>
                    <xdr:row>525</xdr:row>
                    <xdr:rowOff>95250</xdr:rowOff>
                  </to>
                </anchor>
              </controlPr>
            </control>
          </mc:Choice>
        </mc:AlternateContent>
        <mc:AlternateContent xmlns:mc="http://schemas.openxmlformats.org/markup-compatibility/2006">
          <mc:Choice Requires="x14">
            <control shapeId="5820" r:id="rId354" name="Option Button 700">
              <controlPr defaultSize="0" autoFill="0" autoLine="0" autoPict="0">
                <anchor moveWithCells="1">
                  <from>
                    <xdr:col>23</xdr:col>
                    <xdr:colOff>38100</xdr:colOff>
                    <xdr:row>536</xdr:row>
                    <xdr:rowOff>66675</xdr:rowOff>
                  </from>
                  <to>
                    <xdr:col>23</xdr:col>
                    <xdr:colOff>276225</xdr:colOff>
                    <xdr:row>537</xdr:row>
                    <xdr:rowOff>57150</xdr:rowOff>
                  </to>
                </anchor>
              </controlPr>
            </control>
          </mc:Choice>
        </mc:AlternateContent>
        <mc:AlternateContent xmlns:mc="http://schemas.openxmlformats.org/markup-compatibility/2006">
          <mc:Choice Requires="x14">
            <control shapeId="5821" r:id="rId355" name="Option Button 701">
              <controlPr defaultSize="0" autoFill="0" autoLine="0" autoPict="0">
                <anchor moveWithCells="1">
                  <from>
                    <xdr:col>23</xdr:col>
                    <xdr:colOff>38100</xdr:colOff>
                    <xdr:row>542</xdr:row>
                    <xdr:rowOff>57150</xdr:rowOff>
                  </from>
                  <to>
                    <xdr:col>23</xdr:col>
                    <xdr:colOff>276225</xdr:colOff>
                    <xdr:row>543</xdr:row>
                    <xdr:rowOff>38100</xdr:rowOff>
                  </to>
                </anchor>
              </controlPr>
            </control>
          </mc:Choice>
        </mc:AlternateContent>
        <mc:AlternateContent xmlns:mc="http://schemas.openxmlformats.org/markup-compatibility/2006">
          <mc:Choice Requires="x14">
            <control shapeId="5822" r:id="rId356" name="Option Button 702">
              <controlPr defaultSize="0" autoFill="0" autoLine="0" autoPict="0">
                <anchor moveWithCells="1">
                  <from>
                    <xdr:col>23</xdr:col>
                    <xdr:colOff>38100</xdr:colOff>
                    <xdr:row>548</xdr:row>
                    <xdr:rowOff>66675</xdr:rowOff>
                  </from>
                  <to>
                    <xdr:col>23</xdr:col>
                    <xdr:colOff>276225</xdr:colOff>
                    <xdr:row>549</xdr:row>
                    <xdr:rowOff>57150</xdr:rowOff>
                  </to>
                </anchor>
              </controlPr>
            </control>
          </mc:Choice>
        </mc:AlternateContent>
        <mc:AlternateContent xmlns:mc="http://schemas.openxmlformats.org/markup-compatibility/2006">
          <mc:Choice Requires="x14">
            <control shapeId="5823" r:id="rId357" name="Option Button 703">
              <controlPr defaultSize="0" autoFill="0" autoLine="0" autoPict="0">
                <anchor moveWithCells="1">
                  <from>
                    <xdr:col>23</xdr:col>
                    <xdr:colOff>38100</xdr:colOff>
                    <xdr:row>554</xdr:row>
                    <xdr:rowOff>66675</xdr:rowOff>
                  </from>
                  <to>
                    <xdr:col>23</xdr:col>
                    <xdr:colOff>276225</xdr:colOff>
                    <xdr:row>555</xdr:row>
                    <xdr:rowOff>57150</xdr:rowOff>
                  </to>
                </anchor>
              </controlPr>
            </control>
          </mc:Choice>
        </mc:AlternateContent>
        <mc:AlternateContent xmlns:mc="http://schemas.openxmlformats.org/markup-compatibility/2006">
          <mc:Choice Requires="x14">
            <control shapeId="5824" r:id="rId358" name="Option Button 704">
              <controlPr defaultSize="0" autoFill="0" autoLine="0" autoPict="0">
                <anchor moveWithCells="1">
                  <from>
                    <xdr:col>23</xdr:col>
                    <xdr:colOff>38100</xdr:colOff>
                    <xdr:row>560</xdr:row>
                    <xdr:rowOff>104775</xdr:rowOff>
                  </from>
                  <to>
                    <xdr:col>23</xdr:col>
                    <xdr:colOff>276225</xdr:colOff>
                    <xdr:row>561</xdr:row>
                    <xdr:rowOff>85725</xdr:rowOff>
                  </to>
                </anchor>
              </controlPr>
            </control>
          </mc:Choice>
        </mc:AlternateContent>
        <mc:AlternateContent xmlns:mc="http://schemas.openxmlformats.org/markup-compatibility/2006">
          <mc:Choice Requires="x14">
            <control shapeId="5825" r:id="rId359" name="Option Button 705">
              <controlPr defaultSize="0" autoFill="0" autoLine="0" autoPict="0">
                <anchor moveWithCells="1">
                  <from>
                    <xdr:col>23</xdr:col>
                    <xdr:colOff>38100</xdr:colOff>
                    <xdr:row>566</xdr:row>
                    <xdr:rowOff>104775</xdr:rowOff>
                  </from>
                  <to>
                    <xdr:col>23</xdr:col>
                    <xdr:colOff>276225</xdr:colOff>
                    <xdr:row>567</xdr:row>
                    <xdr:rowOff>85725</xdr:rowOff>
                  </to>
                </anchor>
              </controlPr>
            </control>
          </mc:Choice>
        </mc:AlternateContent>
        <mc:AlternateContent xmlns:mc="http://schemas.openxmlformats.org/markup-compatibility/2006">
          <mc:Choice Requires="x14">
            <control shapeId="5826" r:id="rId360" name="Option Button 706">
              <controlPr defaultSize="0" autoFill="0" autoLine="0" autoPict="0">
                <anchor moveWithCells="1">
                  <from>
                    <xdr:col>23</xdr:col>
                    <xdr:colOff>38100</xdr:colOff>
                    <xdr:row>439</xdr:row>
                    <xdr:rowOff>9525</xdr:rowOff>
                  </from>
                  <to>
                    <xdr:col>23</xdr:col>
                    <xdr:colOff>276225</xdr:colOff>
                    <xdr:row>440</xdr:row>
                    <xdr:rowOff>0</xdr:rowOff>
                  </to>
                </anchor>
              </controlPr>
            </control>
          </mc:Choice>
        </mc:AlternateContent>
        <mc:AlternateContent xmlns:mc="http://schemas.openxmlformats.org/markup-compatibility/2006">
          <mc:Choice Requires="x14">
            <control shapeId="5148" r:id="rId361" name="Group Box 28">
              <controlPr defaultSize="0" autoFill="0" autoPict="0">
                <anchor moveWithCells="1">
                  <from>
                    <xdr:col>19</xdr:col>
                    <xdr:colOff>0</xdr:colOff>
                    <xdr:row>23</xdr:row>
                    <xdr:rowOff>0</xdr:rowOff>
                  </from>
                  <to>
                    <xdr:col>24</xdr:col>
                    <xdr:colOff>9525</xdr:colOff>
                    <xdr:row>24</xdr:row>
                    <xdr:rowOff>9525</xdr:rowOff>
                  </to>
                </anchor>
              </controlPr>
            </control>
          </mc:Choice>
        </mc:AlternateContent>
        <mc:AlternateContent xmlns:mc="http://schemas.openxmlformats.org/markup-compatibility/2006">
          <mc:Choice Requires="x14">
            <control shapeId="5150" r:id="rId362" name="Group Box 30">
              <controlPr defaultSize="0" autoFill="0" autoPict="0">
                <anchor moveWithCells="1">
                  <from>
                    <xdr:col>19</xdr:col>
                    <xdr:colOff>0</xdr:colOff>
                    <xdr:row>25</xdr:row>
                    <xdr:rowOff>0</xdr:rowOff>
                  </from>
                  <to>
                    <xdr:col>24</xdr:col>
                    <xdr:colOff>9525</xdr:colOff>
                    <xdr:row>26</xdr:row>
                    <xdr:rowOff>9525</xdr:rowOff>
                  </to>
                </anchor>
              </controlPr>
            </control>
          </mc:Choice>
        </mc:AlternateContent>
        <mc:AlternateContent xmlns:mc="http://schemas.openxmlformats.org/markup-compatibility/2006">
          <mc:Choice Requires="x14">
            <control shapeId="5153" r:id="rId363" name="Group Box 33">
              <controlPr defaultSize="0" autoFill="0" autoPict="0">
                <anchor moveWithCells="1">
                  <from>
                    <xdr:col>19</xdr:col>
                    <xdr:colOff>0</xdr:colOff>
                    <xdr:row>28</xdr:row>
                    <xdr:rowOff>0</xdr:rowOff>
                  </from>
                  <to>
                    <xdr:col>24</xdr:col>
                    <xdr:colOff>9525</xdr:colOff>
                    <xdr:row>29</xdr:row>
                    <xdr:rowOff>9525</xdr:rowOff>
                  </to>
                </anchor>
              </controlPr>
            </control>
          </mc:Choice>
        </mc:AlternateContent>
        <mc:AlternateContent xmlns:mc="http://schemas.openxmlformats.org/markup-compatibility/2006">
          <mc:Choice Requires="x14">
            <control shapeId="5155" r:id="rId364" name="Group Box 35">
              <controlPr defaultSize="0" autoFill="0" autoPict="0">
                <anchor moveWithCells="1">
                  <from>
                    <xdr:col>19</xdr:col>
                    <xdr:colOff>0</xdr:colOff>
                    <xdr:row>30</xdr:row>
                    <xdr:rowOff>0</xdr:rowOff>
                  </from>
                  <to>
                    <xdr:col>24</xdr:col>
                    <xdr:colOff>9525</xdr:colOff>
                    <xdr:row>31</xdr:row>
                    <xdr:rowOff>9525</xdr:rowOff>
                  </to>
                </anchor>
              </controlPr>
            </control>
          </mc:Choice>
        </mc:AlternateContent>
        <mc:AlternateContent xmlns:mc="http://schemas.openxmlformats.org/markup-compatibility/2006">
          <mc:Choice Requires="x14">
            <control shapeId="5156" r:id="rId365" name="Group Box 36">
              <controlPr defaultSize="0" autoFill="0" autoPict="0">
                <anchor moveWithCells="1">
                  <from>
                    <xdr:col>19</xdr:col>
                    <xdr:colOff>0</xdr:colOff>
                    <xdr:row>31</xdr:row>
                    <xdr:rowOff>0</xdr:rowOff>
                  </from>
                  <to>
                    <xdr:col>24</xdr:col>
                    <xdr:colOff>9525</xdr:colOff>
                    <xdr:row>32</xdr:row>
                    <xdr:rowOff>9525</xdr:rowOff>
                  </to>
                </anchor>
              </controlPr>
            </control>
          </mc:Choice>
        </mc:AlternateContent>
        <mc:AlternateContent xmlns:mc="http://schemas.openxmlformats.org/markup-compatibility/2006">
          <mc:Choice Requires="x14">
            <control shapeId="5158" r:id="rId366" name="Group Box 38">
              <controlPr defaultSize="0" autoFill="0" autoPict="0">
                <anchor moveWithCells="1">
                  <from>
                    <xdr:col>19</xdr:col>
                    <xdr:colOff>0</xdr:colOff>
                    <xdr:row>33</xdr:row>
                    <xdr:rowOff>0</xdr:rowOff>
                  </from>
                  <to>
                    <xdr:col>24</xdr:col>
                    <xdr:colOff>9525</xdr:colOff>
                    <xdr:row>34</xdr:row>
                    <xdr:rowOff>9525</xdr:rowOff>
                  </to>
                </anchor>
              </controlPr>
            </control>
          </mc:Choice>
        </mc:AlternateContent>
        <mc:AlternateContent xmlns:mc="http://schemas.openxmlformats.org/markup-compatibility/2006">
          <mc:Choice Requires="x14">
            <control shapeId="5241" r:id="rId367" name="Group Box 121">
              <controlPr defaultSize="0" autoFill="0" autoPict="0">
                <anchor moveWithCells="1">
                  <from>
                    <xdr:col>19</xdr:col>
                    <xdr:colOff>0</xdr:colOff>
                    <xdr:row>36</xdr:row>
                    <xdr:rowOff>0</xdr:rowOff>
                  </from>
                  <to>
                    <xdr:col>24</xdr:col>
                    <xdr:colOff>19050</xdr:colOff>
                    <xdr:row>37</xdr:row>
                    <xdr:rowOff>19050</xdr:rowOff>
                  </to>
                </anchor>
              </controlPr>
            </control>
          </mc:Choice>
        </mc:AlternateContent>
        <mc:AlternateContent xmlns:mc="http://schemas.openxmlformats.org/markup-compatibility/2006">
          <mc:Choice Requires="x14">
            <control shapeId="5248" r:id="rId368" name="Group Box 128">
              <controlPr defaultSize="0" autoFill="0" autoPict="0">
                <anchor moveWithCells="1">
                  <from>
                    <xdr:col>19</xdr:col>
                    <xdr:colOff>0</xdr:colOff>
                    <xdr:row>48</xdr:row>
                    <xdr:rowOff>0</xdr:rowOff>
                  </from>
                  <to>
                    <xdr:col>24</xdr:col>
                    <xdr:colOff>9525</xdr:colOff>
                    <xdr:row>49</xdr:row>
                    <xdr:rowOff>9525</xdr:rowOff>
                  </to>
                </anchor>
              </controlPr>
            </control>
          </mc:Choice>
        </mc:AlternateContent>
        <mc:AlternateContent xmlns:mc="http://schemas.openxmlformats.org/markup-compatibility/2006">
          <mc:Choice Requires="x14">
            <control shapeId="5249" r:id="rId369" name="Group Box 129">
              <controlPr defaultSize="0" autoFill="0" autoPict="0">
                <anchor moveWithCells="1">
                  <from>
                    <xdr:col>19</xdr:col>
                    <xdr:colOff>0</xdr:colOff>
                    <xdr:row>49</xdr:row>
                    <xdr:rowOff>0</xdr:rowOff>
                  </from>
                  <to>
                    <xdr:col>24</xdr:col>
                    <xdr:colOff>9525</xdr:colOff>
                    <xdr:row>50</xdr:row>
                    <xdr:rowOff>9525</xdr:rowOff>
                  </to>
                </anchor>
              </controlPr>
            </control>
          </mc:Choice>
        </mc:AlternateContent>
        <mc:AlternateContent xmlns:mc="http://schemas.openxmlformats.org/markup-compatibility/2006">
          <mc:Choice Requires="x14">
            <control shapeId="5416" r:id="rId370" name="Group Box 296">
              <controlPr defaultSize="0" autoFill="0" autoPict="0">
                <anchor moveWithCells="1">
                  <from>
                    <xdr:col>19</xdr:col>
                    <xdr:colOff>0</xdr:colOff>
                    <xdr:row>239</xdr:row>
                    <xdr:rowOff>9525</xdr:rowOff>
                  </from>
                  <to>
                    <xdr:col>24</xdr:col>
                    <xdr:colOff>0</xdr:colOff>
                    <xdr:row>245</xdr:row>
                    <xdr:rowOff>0</xdr:rowOff>
                  </to>
                </anchor>
              </controlPr>
            </control>
          </mc:Choice>
        </mc:AlternateContent>
        <mc:AlternateContent xmlns:mc="http://schemas.openxmlformats.org/markup-compatibility/2006">
          <mc:Choice Requires="x14">
            <control shapeId="5418" r:id="rId371" name="Group Box 298">
              <controlPr defaultSize="0" autoFill="0" autoPict="0">
                <anchor moveWithCells="1">
                  <from>
                    <xdr:col>19</xdr:col>
                    <xdr:colOff>0</xdr:colOff>
                    <xdr:row>245</xdr:row>
                    <xdr:rowOff>9525</xdr:rowOff>
                  </from>
                  <to>
                    <xdr:col>24</xdr:col>
                    <xdr:colOff>0</xdr:colOff>
                    <xdr:row>251</xdr:row>
                    <xdr:rowOff>0</xdr:rowOff>
                  </to>
                </anchor>
              </controlPr>
            </control>
          </mc:Choice>
        </mc:AlternateContent>
        <mc:AlternateContent xmlns:mc="http://schemas.openxmlformats.org/markup-compatibility/2006">
          <mc:Choice Requires="x14">
            <control shapeId="5419" r:id="rId372" name="Group Box 299">
              <controlPr defaultSize="0" autoFill="0" autoPict="0">
                <anchor moveWithCells="1">
                  <from>
                    <xdr:col>19</xdr:col>
                    <xdr:colOff>0</xdr:colOff>
                    <xdr:row>251</xdr:row>
                    <xdr:rowOff>9525</xdr:rowOff>
                  </from>
                  <to>
                    <xdr:col>24</xdr:col>
                    <xdr:colOff>0</xdr:colOff>
                    <xdr:row>257</xdr:row>
                    <xdr:rowOff>0</xdr:rowOff>
                  </to>
                </anchor>
              </controlPr>
            </control>
          </mc:Choice>
        </mc:AlternateContent>
        <mc:AlternateContent xmlns:mc="http://schemas.openxmlformats.org/markup-compatibility/2006">
          <mc:Choice Requires="x14">
            <control shapeId="5421" r:id="rId373" name="Group Box 301">
              <controlPr defaultSize="0" autoFill="0" autoPict="0">
                <anchor moveWithCells="1">
                  <from>
                    <xdr:col>19</xdr:col>
                    <xdr:colOff>0</xdr:colOff>
                    <xdr:row>263</xdr:row>
                    <xdr:rowOff>9525</xdr:rowOff>
                  </from>
                  <to>
                    <xdr:col>24</xdr:col>
                    <xdr:colOff>0</xdr:colOff>
                    <xdr:row>269</xdr:row>
                    <xdr:rowOff>0</xdr:rowOff>
                  </to>
                </anchor>
              </controlPr>
            </control>
          </mc:Choice>
        </mc:AlternateContent>
        <mc:AlternateContent xmlns:mc="http://schemas.openxmlformats.org/markup-compatibility/2006">
          <mc:Choice Requires="x14">
            <control shapeId="5422" r:id="rId374" name="Group Box 302">
              <controlPr defaultSize="0" autoFill="0" autoPict="0">
                <anchor moveWithCells="1">
                  <from>
                    <xdr:col>19</xdr:col>
                    <xdr:colOff>0</xdr:colOff>
                    <xdr:row>269</xdr:row>
                    <xdr:rowOff>9525</xdr:rowOff>
                  </from>
                  <to>
                    <xdr:col>24</xdr:col>
                    <xdr:colOff>0</xdr:colOff>
                    <xdr:row>275</xdr:row>
                    <xdr:rowOff>0</xdr:rowOff>
                  </to>
                </anchor>
              </controlPr>
            </control>
          </mc:Choice>
        </mc:AlternateContent>
        <mc:AlternateContent xmlns:mc="http://schemas.openxmlformats.org/markup-compatibility/2006">
          <mc:Choice Requires="x14">
            <control shapeId="5424" r:id="rId375" name="Group Box 304">
              <controlPr defaultSize="0" autoFill="0" autoPict="0">
                <anchor moveWithCells="1">
                  <from>
                    <xdr:col>19</xdr:col>
                    <xdr:colOff>0</xdr:colOff>
                    <xdr:row>275</xdr:row>
                    <xdr:rowOff>9525</xdr:rowOff>
                  </from>
                  <to>
                    <xdr:col>24</xdr:col>
                    <xdr:colOff>0</xdr:colOff>
                    <xdr:row>281</xdr:row>
                    <xdr:rowOff>0</xdr:rowOff>
                  </to>
                </anchor>
              </controlPr>
            </control>
          </mc:Choice>
        </mc:AlternateContent>
        <mc:AlternateContent xmlns:mc="http://schemas.openxmlformats.org/markup-compatibility/2006">
          <mc:Choice Requires="x14">
            <control shapeId="5428" r:id="rId376" name="Option Button 308">
              <controlPr defaultSize="0" autoFill="0" autoLine="0" autoPict="0">
                <anchor moveWithCells="1">
                  <from>
                    <xdr:col>23</xdr:col>
                    <xdr:colOff>47625</xdr:colOff>
                    <xdr:row>253</xdr:row>
                    <xdr:rowOff>152400</xdr:rowOff>
                  </from>
                  <to>
                    <xdr:col>23</xdr:col>
                    <xdr:colOff>285750</xdr:colOff>
                    <xdr:row>254</xdr:row>
                    <xdr:rowOff>142875</xdr:rowOff>
                  </to>
                </anchor>
              </controlPr>
            </control>
          </mc:Choice>
        </mc:AlternateContent>
        <mc:AlternateContent xmlns:mc="http://schemas.openxmlformats.org/markup-compatibility/2006">
          <mc:Choice Requires="x14">
            <control shapeId="5429" r:id="rId377" name="Option Button 309">
              <controlPr defaultSize="0" autoFill="0" autoLine="0" autoPict="0">
                <anchor moveWithCells="1">
                  <from>
                    <xdr:col>23</xdr:col>
                    <xdr:colOff>28575</xdr:colOff>
                    <xdr:row>259</xdr:row>
                    <xdr:rowOff>142875</xdr:rowOff>
                  </from>
                  <to>
                    <xdr:col>23</xdr:col>
                    <xdr:colOff>266700</xdr:colOff>
                    <xdr:row>260</xdr:row>
                    <xdr:rowOff>133350</xdr:rowOff>
                  </to>
                </anchor>
              </controlPr>
            </control>
          </mc:Choice>
        </mc:AlternateContent>
        <mc:AlternateContent xmlns:mc="http://schemas.openxmlformats.org/markup-compatibility/2006">
          <mc:Choice Requires="x14">
            <control shapeId="5468" r:id="rId378" name="Group Box 348">
              <controlPr defaultSize="0" autoFill="0" autoPict="0">
                <anchor moveWithCells="1">
                  <from>
                    <xdr:col>19</xdr:col>
                    <xdr:colOff>0</xdr:colOff>
                    <xdr:row>299</xdr:row>
                    <xdr:rowOff>9525</xdr:rowOff>
                  </from>
                  <to>
                    <xdr:col>24</xdr:col>
                    <xdr:colOff>0</xdr:colOff>
                    <xdr:row>305</xdr:row>
                    <xdr:rowOff>0</xdr:rowOff>
                  </to>
                </anchor>
              </controlPr>
            </control>
          </mc:Choice>
        </mc:AlternateContent>
        <mc:AlternateContent xmlns:mc="http://schemas.openxmlformats.org/markup-compatibility/2006">
          <mc:Choice Requires="x14">
            <control shapeId="5470" r:id="rId379" name="Group Box 350">
              <controlPr defaultSize="0" autoFill="0" autoPict="0">
                <anchor moveWithCells="1">
                  <from>
                    <xdr:col>19</xdr:col>
                    <xdr:colOff>0</xdr:colOff>
                    <xdr:row>306</xdr:row>
                    <xdr:rowOff>9525</xdr:rowOff>
                  </from>
                  <to>
                    <xdr:col>24</xdr:col>
                    <xdr:colOff>0</xdr:colOff>
                    <xdr:row>309</xdr:row>
                    <xdr:rowOff>0</xdr:rowOff>
                  </to>
                </anchor>
              </controlPr>
            </control>
          </mc:Choice>
        </mc:AlternateContent>
        <mc:AlternateContent xmlns:mc="http://schemas.openxmlformats.org/markup-compatibility/2006">
          <mc:Choice Requires="x14">
            <control shapeId="5508" r:id="rId380" name="Group Box 388">
              <controlPr defaultSize="0" autoFill="0" autoPict="0">
                <anchor moveWithCells="1">
                  <from>
                    <xdr:col>19</xdr:col>
                    <xdr:colOff>0</xdr:colOff>
                    <xdr:row>321</xdr:row>
                    <xdr:rowOff>9525</xdr:rowOff>
                  </from>
                  <to>
                    <xdr:col>24</xdr:col>
                    <xdr:colOff>0</xdr:colOff>
                    <xdr:row>327</xdr:row>
                    <xdr:rowOff>0</xdr:rowOff>
                  </to>
                </anchor>
              </controlPr>
            </control>
          </mc:Choice>
        </mc:AlternateContent>
        <mc:AlternateContent xmlns:mc="http://schemas.openxmlformats.org/markup-compatibility/2006">
          <mc:Choice Requires="x14">
            <control shapeId="5509" r:id="rId381" name="Group Box 389">
              <controlPr defaultSize="0" autoFill="0" autoPict="0">
                <anchor moveWithCells="1">
                  <from>
                    <xdr:col>19</xdr:col>
                    <xdr:colOff>0</xdr:colOff>
                    <xdr:row>327</xdr:row>
                    <xdr:rowOff>9525</xdr:rowOff>
                  </from>
                  <to>
                    <xdr:col>24</xdr:col>
                    <xdr:colOff>0</xdr:colOff>
                    <xdr:row>333</xdr:row>
                    <xdr:rowOff>0</xdr:rowOff>
                  </to>
                </anchor>
              </controlPr>
            </control>
          </mc:Choice>
        </mc:AlternateContent>
        <mc:AlternateContent xmlns:mc="http://schemas.openxmlformats.org/markup-compatibility/2006">
          <mc:Choice Requires="x14">
            <control shapeId="5514" r:id="rId382" name="Group Box 394">
              <controlPr defaultSize="0" autoFill="0" autoPict="0">
                <anchor moveWithCells="1">
                  <from>
                    <xdr:col>19</xdr:col>
                    <xdr:colOff>0</xdr:colOff>
                    <xdr:row>345</xdr:row>
                    <xdr:rowOff>9525</xdr:rowOff>
                  </from>
                  <to>
                    <xdr:col>24</xdr:col>
                    <xdr:colOff>0</xdr:colOff>
                    <xdr:row>351</xdr:row>
                    <xdr:rowOff>0</xdr:rowOff>
                  </to>
                </anchor>
              </controlPr>
            </control>
          </mc:Choice>
        </mc:AlternateContent>
        <mc:AlternateContent xmlns:mc="http://schemas.openxmlformats.org/markup-compatibility/2006">
          <mc:Choice Requires="x14">
            <control shapeId="5524" r:id="rId383" name="Group Box 404">
              <controlPr defaultSize="0" autoFill="0" autoPict="0">
                <anchor moveWithCells="1">
                  <from>
                    <xdr:col>19</xdr:col>
                    <xdr:colOff>0</xdr:colOff>
                    <xdr:row>374</xdr:row>
                    <xdr:rowOff>9525</xdr:rowOff>
                  </from>
                  <to>
                    <xdr:col>23</xdr:col>
                    <xdr:colOff>276225</xdr:colOff>
                    <xdr:row>377</xdr:row>
                    <xdr:rowOff>9525</xdr:rowOff>
                  </to>
                </anchor>
              </controlPr>
            </control>
          </mc:Choice>
        </mc:AlternateContent>
        <mc:AlternateContent xmlns:mc="http://schemas.openxmlformats.org/markup-compatibility/2006">
          <mc:Choice Requires="x14">
            <control shapeId="5525" r:id="rId384" name="Group Box 405">
              <controlPr defaultSize="0" autoFill="0" autoPict="0">
                <anchor moveWithCells="1">
                  <from>
                    <xdr:col>19</xdr:col>
                    <xdr:colOff>0</xdr:colOff>
                    <xdr:row>377</xdr:row>
                    <xdr:rowOff>9525</xdr:rowOff>
                  </from>
                  <to>
                    <xdr:col>23</xdr:col>
                    <xdr:colOff>276225</xdr:colOff>
                    <xdr:row>378</xdr:row>
                    <xdr:rowOff>0</xdr:rowOff>
                  </to>
                </anchor>
              </controlPr>
            </control>
          </mc:Choice>
        </mc:AlternateContent>
        <mc:AlternateContent xmlns:mc="http://schemas.openxmlformats.org/markup-compatibility/2006">
          <mc:Choice Requires="x14">
            <control shapeId="5526" r:id="rId385" name="Group Box 406">
              <controlPr defaultSize="0" autoFill="0" autoPict="0">
                <anchor moveWithCells="1">
                  <from>
                    <xdr:col>19</xdr:col>
                    <xdr:colOff>0</xdr:colOff>
                    <xdr:row>378</xdr:row>
                    <xdr:rowOff>9525</xdr:rowOff>
                  </from>
                  <to>
                    <xdr:col>23</xdr:col>
                    <xdr:colOff>276225</xdr:colOff>
                    <xdr:row>378</xdr:row>
                    <xdr:rowOff>971550</xdr:rowOff>
                  </to>
                </anchor>
              </controlPr>
            </control>
          </mc:Choice>
        </mc:AlternateContent>
        <mc:AlternateContent xmlns:mc="http://schemas.openxmlformats.org/markup-compatibility/2006">
          <mc:Choice Requires="x14">
            <control shapeId="5547" r:id="rId386" name="Group Box 427">
              <controlPr defaultSize="0" autoFill="0" autoPict="0">
                <anchor moveWithCells="1">
                  <from>
                    <xdr:col>19</xdr:col>
                    <xdr:colOff>0</xdr:colOff>
                    <xdr:row>385</xdr:row>
                    <xdr:rowOff>9525</xdr:rowOff>
                  </from>
                  <to>
                    <xdr:col>23</xdr:col>
                    <xdr:colOff>276225</xdr:colOff>
                    <xdr:row>392</xdr:row>
                    <xdr:rowOff>0</xdr:rowOff>
                  </to>
                </anchor>
              </controlPr>
            </control>
          </mc:Choice>
        </mc:AlternateContent>
        <mc:AlternateContent xmlns:mc="http://schemas.openxmlformats.org/markup-compatibility/2006">
          <mc:Choice Requires="x14">
            <control shapeId="5548" r:id="rId387" name="Group Box 428">
              <controlPr defaultSize="0" autoFill="0" autoPict="0">
                <anchor moveWithCells="1">
                  <from>
                    <xdr:col>19</xdr:col>
                    <xdr:colOff>0</xdr:colOff>
                    <xdr:row>392</xdr:row>
                    <xdr:rowOff>9525</xdr:rowOff>
                  </from>
                  <to>
                    <xdr:col>23</xdr:col>
                    <xdr:colOff>276225</xdr:colOff>
                    <xdr:row>399</xdr:row>
                    <xdr:rowOff>0</xdr:rowOff>
                  </to>
                </anchor>
              </controlPr>
            </control>
          </mc:Choice>
        </mc:AlternateContent>
        <mc:AlternateContent xmlns:mc="http://schemas.openxmlformats.org/markup-compatibility/2006">
          <mc:Choice Requires="x14">
            <control shapeId="5551" r:id="rId388" name="Group Box 431">
              <controlPr defaultSize="0" autoFill="0" autoPict="0">
                <anchor moveWithCells="1">
                  <from>
                    <xdr:col>19</xdr:col>
                    <xdr:colOff>0</xdr:colOff>
                    <xdr:row>406</xdr:row>
                    <xdr:rowOff>9525</xdr:rowOff>
                  </from>
                  <to>
                    <xdr:col>23</xdr:col>
                    <xdr:colOff>276225</xdr:colOff>
                    <xdr:row>413</xdr:row>
                    <xdr:rowOff>0</xdr:rowOff>
                  </to>
                </anchor>
              </controlPr>
            </control>
          </mc:Choice>
        </mc:AlternateContent>
        <mc:AlternateContent xmlns:mc="http://schemas.openxmlformats.org/markup-compatibility/2006">
          <mc:Choice Requires="x14">
            <control shapeId="5552" r:id="rId389" name="Group Box 432">
              <controlPr defaultSize="0" autoFill="0" autoPict="0">
                <anchor moveWithCells="1">
                  <from>
                    <xdr:col>19</xdr:col>
                    <xdr:colOff>0</xdr:colOff>
                    <xdr:row>413</xdr:row>
                    <xdr:rowOff>9525</xdr:rowOff>
                  </from>
                  <to>
                    <xdr:col>23</xdr:col>
                    <xdr:colOff>276225</xdr:colOff>
                    <xdr:row>420</xdr:row>
                    <xdr:rowOff>0</xdr:rowOff>
                  </to>
                </anchor>
              </controlPr>
            </control>
          </mc:Choice>
        </mc:AlternateContent>
        <mc:AlternateContent xmlns:mc="http://schemas.openxmlformats.org/markup-compatibility/2006">
          <mc:Choice Requires="x14">
            <control shapeId="5553" r:id="rId390" name="Group Box 433">
              <controlPr defaultSize="0" autoFill="0" autoPict="0">
                <anchor moveWithCells="1">
                  <from>
                    <xdr:col>19</xdr:col>
                    <xdr:colOff>0</xdr:colOff>
                    <xdr:row>420</xdr:row>
                    <xdr:rowOff>9525</xdr:rowOff>
                  </from>
                  <to>
                    <xdr:col>23</xdr:col>
                    <xdr:colOff>276225</xdr:colOff>
                    <xdr:row>427</xdr:row>
                    <xdr:rowOff>0</xdr:rowOff>
                  </to>
                </anchor>
              </controlPr>
            </control>
          </mc:Choice>
        </mc:AlternateContent>
        <mc:AlternateContent xmlns:mc="http://schemas.openxmlformats.org/markup-compatibility/2006">
          <mc:Choice Requires="x14">
            <control shapeId="5673" r:id="rId391" name="Group Box 553">
              <controlPr defaultSize="0" autoFill="0" autoPict="0">
                <anchor moveWithCells="1">
                  <from>
                    <xdr:col>19</xdr:col>
                    <xdr:colOff>0</xdr:colOff>
                    <xdr:row>451</xdr:row>
                    <xdr:rowOff>0</xdr:rowOff>
                  </from>
                  <to>
                    <xdr:col>23</xdr:col>
                    <xdr:colOff>276225</xdr:colOff>
                    <xdr:row>452</xdr:row>
                    <xdr:rowOff>0</xdr:rowOff>
                  </to>
                </anchor>
              </controlPr>
            </control>
          </mc:Choice>
        </mc:AlternateContent>
        <mc:AlternateContent xmlns:mc="http://schemas.openxmlformats.org/markup-compatibility/2006">
          <mc:Choice Requires="x14">
            <control shapeId="5675" r:id="rId392" name="Group Box 555">
              <controlPr defaultSize="0" autoFill="0" autoPict="0">
                <anchor moveWithCells="1">
                  <from>
                    <xdr:col>19</xdr:col>
                    <xdr:colOff>0</xdr:colOff>
                    <xdr:row>460</xdr:row>
                    <xdr:rowOff>0</xdr:rowOff>
                  </from>
                  <to>
                    <xdr:col>23</xdr:col>
                    <xdr:colOff>276225</xdr:colOff>
                    <xdr:row>466</xdr:row>
                    <xdr:rowOff>9525</xdr:rowOff>
                  </to>
                </anchor>
              </controlPr>
            </control>
          </mc:Choice>
        </mc:AlternateContent>
        <mc:AlternateContent xmlns:mc="http://schemas.openxmlformats.org/markup-compatibility/2006">
          <mc:Choice Requires="x14">
            <control shapeId="5677" r:id="rId393" name="Group Box 557">
              <controlPr defaultSize="0" autoFill="0" autoPict="0">
                <anchor moveWithCells="1">
                  <from>
                    <xdr:col>19</xdr:col>
                    <xdr:colOff>0</xdr:colOff>
                    <xdr:row>472</xdr:row>
                    <xdr:rowOff>0</xdr:rowOff>
                  </from>
                  <to>
                    <xdr:col>23</xdr:col>
                    <xdr:colOff>276225</xdr:colOff>
                    <xdr:row>478</xdr:row>
                    <xdr:rowOff>9525</xdr:rowOff>
                  </to>
                </anchor>
              </controlPr>
            </control>
          </mc:Choice>
        </mc:AlternateContent>
        <mc:AlternateContent xmlns:mc="http://schemas.openxmlformats.org/markup-compatibility/2006">
          <mc:Choice Requires="x14">
            <control shapeId="5680" r:id="rId394" name="Group Box 560">
              <controlPr defaultSize="0" autoFill="0" autoPict="0">
                <anchor moveWithCells="1">
                  <from>
                    <xdr:col>19</xdr:col>
                    <xdr:colOff>0</xdr:colOff>
                    <xdr:row>501</xdr:row>
                    <xdr:rowOff>0</xdr:rowOff>
                  </from>
                  <to>
                    <xdr:col>23</xdr:col>
                    <xdr:colOff>276225</xdr:colOff>
                    <xdr:row>503</xdr:row>
                    <xdr:rowOff>0</xdr:rowOff>
                  </to>
                </anchor>
              </controlPr>
            </control>
          </mc:Choice>
        </mc:AlternateContent>
        <mc:AlternateContent xmlns:mc="http://schemas.openxmlformats.org/markup-compatibility/2006">
          <mc:Choice Requires="x14">
            <control shapeId="5682" r:id="rId395" name="Group Box 562">
              <controlPr defaultSize="0" autoFill="0" autoPict="0">
                <anchor moveWithCells="1">
                  <from>
                    <xdr:col>19</xdr:col>
                    <xdr:colOff>0</xdr:colOff>
                    <xdr:row>516</xdr:row>
                    <xdr:rowOff>0</xdr:rowOff>
                  </from>
                  <to>
                    <xdr:col>23</xdr:col>
                    <xdr:colOff>276225</xdr:colOff>
                    <xdr:row>521</xdr:row>
                    <xdr:rowOff>152400</xdr:rowOff>
                  </to>
                </anchor>
              </controlPr>
            </control>
          </mc:Choice>
        </mc:AlternateContent>
        <mc:AlternateContent xmlns:mc="http://schemas.openxmlformats.org/markup-compatibility/2006">
          <mc:Choice Requires="x14">
            <control shapeId="5685" r:id="rId396" name="Group Box 565">
              <controlPr defaultSize="0" autoFill="0" autoPict="0">
                <anchor moveWithCells="1">
                  <from>
                    <xdr:col>19</xdr:col>
                    <xdr:colOff>0</xdr:colOff>
                    <xdr:row>540</xdr:row>
                    <xdr:rowOff>0</xdr:rowOff>
                  </from>
                  <to>
                    <xdr:col>23</xdr:col>
                    <xdr:colOff>276225</xdr:colOff>
                    <xdr:row>546</xdr:row>
                    <xdr:rowOff>0</xdr:rowOff>
                  </to>
                </anchor>
              </controlPr>
            </control>
          </mc:Choice>
        </mc:AlternateContent>
        <mc:AlternateContent xmlns:mc="http://schemas.openxmlformats.org/markup-compatibility/2006">
          <mc:Choice Requires="x14">
            <control shapeId="5687" r:id="rId397" name="Group Box 567">
              <controlPr defaultSize="0" autoFill="0" autoPict="0">
                <anchor moveWithCells="1">
                  <from>
                    <xdr:col>19</xdr:col>
                    <xdr:colOff>0</xdr:colOff>
                    <xdr:row>552</xdr:row>
                    <xdr:rowOff>0</xdr:rowOff>
                  </from>
                  <to>
                    <xdr:col>23</xdr:col>
                    <xdr:colOff>276225</xdr:colOff>
                    <xdr:row>558</xdr:row>
                    <xdr:rowOff>0</xdr:rowOff>
                  </to>
                </anchor>
              </controlPr>
            </control>
          </mc:Choice>
        </mc:AlternateContent>
        <mc:AlternateContent xmlns:mc="http://schemas.openxmlformats.org/markup-compatibility/2006">
          <mc:Choice Requires="x14">
            <control shapeId="5430" r:id="rId398" name="Option Button 310">
              <controlPr defaultSize="0" autoFill="0" autoLine="0" autoPict="0">
                <anchor moveWithCells="1">
                  <from>
                    <xdr:col>23</xdr:col>
                    <xdr:colOff>28575</xdr:colOff>
                    <xdr:row>265</xdr:row>
                    <xdr:rowOff>152400</xdr:rowOff>
                  </from>
                  <to>
                    <xdr:col>23</xdr:col>
                    <xdr:colOff>266700</xdr:colOff>
                    <xdr:row>266</xdr:row>
                    <xdr:rowOff>142875</xdr:rowOff>
                  </to>
                </anchor>
              </controlPr>
            </control>
          </mc:Choice>
        </mc:AlternateContent>
        <mc:AlternateContent xmlns:mc="http://schemas.openxmlformats.org/markup-compatibility/2006">
          <mc:Choice Requires="x14">
            <control shapeId="5431" r:id="rId399" name="Option Button 311">
              <controlPr defaultSize="0" autoFill="0" autoLine="0" autoPict="0">
                <anchor moveWithCells="1">
                  <from>
                    <xdr:col>23</xdr:col>
                    <xdr:colOff>28575</xdr:colOff>
                    <xdr:row>271</xdr:row>
                    <xdr:rowOff>142875</xdr:rowOff>
                  </from>
                  <to>
                    <xdr:col>23</xdr:col>
                    <xdr:colOff>266700</xdr:colOff>
                    <xdr:row>272</xdr:row>
                    <xdr:rowOff>133350</xdr:rowOff>
                  </to>
                </anchor>
              </controlPr>
            </control>
          </mc:Choice>
        </mc:AlternateContent>
        <mc:AlternateContent xmlns:mc="http://schemas.openxmlformats.org/markup-compatibility/2006">
          <mc:Choice Requires="x14">
            <control shapeId="5433" r:id="rId400" name="Option Button 313">
              <controlPr defaultSize="0" autoFill="0" autoLine="0" autoPict="0">
                <anchor moveWithCells="1">
                  <from>
                    <xdr:col>23</xdr:col>
                    <xdr:colOff>28575</xdr:colOff>
                    <xdr:row>277</xdr:row>
                    <xdr:rowOff>104775</xdr:rowOff>
                  </from>
                  <to>
                    <xdr:col>23</xdr:col>
                    <xdr:colOff>266700</xdr:colOff>
                    <xdr:row>278</xdr:row>
                    <xdr:rowOff>95250</xdr:rowOff>
                  </to>
                </anchor>
              </controlPr>
            </control>
          </mc:Choice>
        </mc:AlternateContent>
        <mc:AlternateContent xmlns:mc="http://schemas.openxmlformats.org/markup-compatibility/2006">
          <mc:Choice Requires="x14">
            <control shapeId="5473" r:id="rId401" name="Option Button 353">
              <controlPr defaultSize="0" autoFill="0" autoLine="0" autoPict="0">
                <anchor moveWithCells="1">
                  <from>
                    <xdr:col>23</xdr:col>
                    <xdr:colOff>38100</xdr:colOff>
                    <xdr:row>289</xdr:row>
                    <xdr:rowOff>104775</xdr:rowOff>
                  </from>
                  <to>
                    <xdr:col>23</xdr:col>
                    <xdr:colOff>276225</xdr:colOff>
                    <xdr:row>290</xdr:row>
                    <xdr:rowOff>114300</xdr:rowOff>
                  </to>
                </anchor>
              </controlPr>
            </control>
          </mc:Choice>
        </mc:AlternateContent>
        <mc:AlternateContent xmlns:mc="http://schemas.openxmlformats.org/markup-compatibility/2006">
          <mc:Choice Requires="x14">
            <control shapeId="5474" r:id="rId402" name="Option Button 354">
              <controlPr defaultSize="0" autoFill="0" autoLine="0" autoPict="0">
                <anchor moveWithCells="1">
                  <from>
                    <xdr:col>23</xdr:col>
                    <xdr:colOff>38100</xdr:colOff>
                    <xdr:row>295</xdr:row>
                    <xdr:rowOff>123825</xdr:rowOff>
                  </from>
                  <to>
                    <xdr:col>23</xdr:col>
                    <xdr:colOff>276225</xdr:colOff>
                    <xdr:row>296</xdr:row>
                    <xdr:rowOff>133350</xdr:rowOff>
                  </to>
                </anchor>
              </controlPr>
            </control>
          </mc:Choice>
        </mc:AlternateContent>
        <mc:AlternateContent xmlns:mc="http://schemas.openxmlformats.org/markup-compatibility/2006">
          <mc:Choice Requires="x14">
            <control shapeId="5478" r:id="rId403" name="Option Button 358">
              <controlPr defaultSize="0" autoFill="0" autoLine="0" autoPict="0">
                <anchor moveWithCells="1">
                  <from>
                    <xdr:col>23</xdr:col>
                    <xdr:colOff>38100</xdr:colOff>
                    <xdr:row>311</xdr:row>
                    <xdr:rowOff>66675</xdr:rowOff>
                  </from>
                  <to>
                    <xdr:col>23</xdr:col>
                    <xdr:colOff>276225</xdr:colOff>
                    <xdr:row>312</xdr:row>
                    <xdr:rowOff>76200</xdr:rowOff>
                  </to>
                </anchor>
              </controlPr>
            </control>
          </mc:Choice>
        </mc:AlternateContent>
        <mc:AlternateContent xmlns:mc="http://schemas.openxmlformats.org/markup-compatibility/2006">
          <mc:Choice Requires="x14">
            <control shapeId="5517" r:id="rId404" name="Option Button 397">
              <controlPr defaultSize="0" autoFill="0" autoLine="0" autoPict="0">
                <anchor moveWithCells="1">
                  <from>
                    <xdr:col>23</xdr:col>
                    <xdr:colOff>47625</xdr:colOff>
                    <xdr:row>323</xdr:row>
                    <xdr:rowOff>47625</xdr:rowOff>
                  </from>
                  <to>
                    <xdr:col>23</xdr:col>
                    <xdr:colOff>285750</xdr:colOff>
                    <xdr:row>324</xdr:row>
                    <xdr:rowOff>66675</xdr:rowOff>
                  </to>
                </anchor>
              </controlPr>
            </control>
          </mc:Choice>
        </mc:AlternateContent>
        <mc:AlternateContent xmlns:mc="http://schemas.openxmlformats.org/markup-compatibility/2006">
          <mc:Choice Requires="x14">
            <control shapeId="11769" r:id="rId405" name="Option Button 3577">
              <controlPr defaultSize="0" autoFill="0" autoLine="0" autoPict="0">
                <anchor moveWithCells="1">
                  <from>
                    <xdr:col>23</xdr:col>
                    <xdr:colOff>28575</xdr:colOff>
                    <xdr:row>23</xdr:row>
                    <xdr:rowOff>85725</xdr:rowOff>
                  </from>
                  <to>
                    <xdr:col>23</xdr:col>
                    <xdr:colOff>276225</xdr:colOff>
                    <xdr:row>23</xdr:row>
                    <xdr:rowOff>276225</xdr:rowOff>
                  </to>
                </anchor>
              </controlPr>
            </control>
          </mc:Choice>
        </mc:AlternateContent>
        <mc:AlternateContent xmlns:mc="http://schemas.openxmlformats.org/markup-compatibility/2006">
          <mc:Choice Requires="x14">
            <control shapeId="11770" r:id="rId406" name="Option Button 3578">
              <controlPr defaultSize="0" autoFill="0" autoLine="0" autoPict="0">
                <anchor moveWithCells="1">
                  <from>
                    <xdr:col>23</xdr:col>
                    <xdr:colOff>38100</xdr:colOff>
                    <xdr:row>24</xdr:row>
                    <xdr:rowOff>85725</xdr:rowOff>
                  </from>
                  <to>
                    <xdr:col>23</xdr:col>
                    <xdr:colOff>276225</xdr:colOff>
                    <xdr:row>24</xdr:row>
                    <xdr:rowOff>276225</xdr:rowOff>
                  </to>
                </anchor>
              </controlPr>
            </control>
          </mc:Choice>
        </mc:AlternateContent>
        <mc:AlternateContent xmlns:mc="http://schemas.openxmlformats.org/markup-compatibility/2006">
          <mc:Choice Requires="x14">
            <control shapeId="11771" r:id="rId407" name="Option Button 3579">
              <controlPr defaultSize="0" autoFill="0" autoLine="0" autoPict="0">
                <anchor moveWithCells="1">
                  <from>
                    <xdr:col>23</xdr:col>
                    <xdr:colOff>38100</xdr:colOff>
                    <xdr:row>25</xdr:row>
                    <xdr:rowOff>85725</xdr:rowOff>
                  </from>
                  <to>
                    <xdr:col>23</xdr:col>
                    <xdr:colOff>276225</xdr:colOff>
                    <xdr:row>25</xdr:row>
                    <xdr:rowOff>276225</xdr:rowOff>
                  </to>
                </anchor>
              </controlPr>
            </control>
          </mc:Choice>
        </mc:AlternateContent>
        <mc:AlternateContent xmlns:mc="http://schemas.openxmlformats.org/markup-compatibility/2006">
          <mc:Choice Requires="x14">
            <control shapeId="11772" r:id="rId408" name="Option Button 3580">
              <controlPr defaultSize="0" autoFill="0" autoLine="0" autoPict="0">
                <anchor moveWithCells="1">
                  <from>
                    <xdr:col>23</xdr:col>
                    <xdr:colOff>38100</xdr:colOff>
                    <xdr:row>26</xdr:row>
                    <xdr:rowOff>85725</xdr:rowOff>
                  </from>
                  <to>
                    <xdr:col>23</xdr:col>
                    <xdr:colOff>276225</xdr:colOff>
                    <xdr:row>26</xdr:row>
                    <xdr:rowOff>276225</xdr:rowOff>
                  </to>
                </anchor>
              </controlPr>
            </control>
          </mc:Choice>
        </mc:AlternateContent>
        <mc:AlternateContent xmlns:mc="http://schemas.openxmlformats.org/markup-compatibility/2006">
          <mc:Choice Requires="x14">
            <control shapeId="11773" r:id="rId409" name="Option Button 3581">
              <controlPr defaultSize="0" autoFill="0" autoLine="0" autoPict="0">
                <anchor moveWithCells="1">
                  <from>
                    <xdr:col>23</xdr:col>
                    <xdr:colOff>38100</xdr:colOff>
                    <xdr:row>27</xdr:row>
                    <xdr:rowOff>85725</xdr:rowOff>
                  </from>
                  <to>
                    <xdr:col>23</xdr:col>
                    <xdr:colOff>276225</xdr:colOff>
                    <xdr:row>27</xdr:row>
                    <xdr:rowOff>276225</xdr:rowOff>
                  </to>
                </anchor>
              </controlPr>
            </control>
          </mc:Choice>
        </mc:AlternateContent>
        <mc:AlternateContent xmlns:mc="http://schemas.openxmlformats.org/markup-compatibility/2006">
          <mc:Choice Requires="x14">
            <control shapeId="11774" r:id="rId410" name="Option Button 3582">
              <controlPr defaultSize="0" autoFill="0" autoLine="0" autoPict="0">
                <anchor moveWithCells="1">
                  <from>
                    <xdr:col>23</xdr:col>
                    <xdr:colOff>38100</xdr:colOff>
                    <xdr:row>28</xdr:row>
                    <xdr:rowOff>85725</xdr:rowOff>
                  </from>
                  <to>
                    <xdr:col>23</xdr:col>
                    <xdr:colOff>276225</xdr:colOff>
                    <xdr:row>28</xdr:row>
                    <xdr:rowOff>276225</xdr:rowOff>
                  </to>
                </anchor>
              </controlPr>
            </control>
          </mc:Choice>
        </mc:AlternateContent>
        <mc:AlternateContent xmlns:mc="http://schemas.openxmlformats.org/markup-compatibility/2006">
          <mc:Choice Requires="x14">
            <control shapeId="11775" r:id="rId411" name="Option Button 3583">
              <controlPr defaultSize="0" autoFill="0" autoLine="0" autoPict="0">
                <anchor moveWithCells="1">
                  <from>
                    <xdr:col>23</xdr:col>
                    <xdr:colOff>38100</xdr:colOff>
                    <xdr:row>29</xdr:row>
                    <xdr:rowOff>85725</xdr:rowOff>
                  </from>
                  <to>
                    <xdr:col>23</xdr:col>
                    <xdr:colOff>276225</xdr:colOff>
                    <xdr:row>29</xdr:row>
                    <xdr:rowOff>276225</xdr:rowOff>
                  </to>
                </anchor>
              </controlPr>
            </control>
          </mc:Choice>
        </mc:AlternateContent>
        <mc:AlternateContent xmlns:mc="http://schemas.openxmlformats.org/markup-compatibility/2006">
          <mc:Choice Requires="x14">
            <control shapeId="11776" r:id="rId412" name="Option Button 3584">
              <controlPr defaultSize="0" autoFill="0" autoLine="0" autoPict="0">
                <anchor moveWithCells="1">
                  <from>
                    <xdr:col>23</xdr:col>
                    <xdr:colOff>38100</xdr:colOff>
                    <xdr:row>30</xdr:row>
                    <xdr:rowOff>85725</xdr:rowOff>
                  </from>
                  <to>
                    <xdr:col>23</xdr:col>
                    <xdr:colOff>276225</xdr:colOff>
                    <xdr:row>30</xdr:row>
                    <xdr:rowOff>276225</xdr:rowOff>
                  </to>
                </anchor>
              </controlPr>
            </control>
          </mc:Choice>
        </mc:AlternateContent>
        <mc:AlternateContent xmlns:mc="http://schemas.openxmlformats.org/markup-compatibility/2006">
          <mc:Choice Requires="x14">
            <control shapeId="11777" r:id="rId413" name="Option Button 3585">
              <controlPr defaultSize="0" autoFill="0" autoLine="0" autoPict="0">
                <anchor moveWithCells="1">
                  <from>
                    <xdr:col>23</xdr:col>
                    <xdr:colOff>38100</xdr:colOff>
                    <xdr:row>31</xdr:row>
                    <xdr:rowOff>85725</xdr:rowOff>
                  </from>
                  <to>
                    <xdr:col>23</xdr:col>
                    <xdr:colOff>276225</xdr:colOff>
                    <xdr:row>31</xdr:row>
                    <xdr:rowOff>276225</xdr:rowOff>
                  </to>
                </anchor>
              </controlPr>
            </control>
          </mc:Choice>
        </mc:AlternateContent>
        <mc:AlternateContent xmlns:mc="http://schemas.openxmlformats.org/markup-compatibility/2006">
          <mc:Choice Requires="x14">
            <control shapeId="11778" r:id="rId414" name="Option Button 3586">
              <controlPr defaultSize="0" autoFill="0" autoLine="0" autoPict="0">
                <anchor moveWithCells="1">
                  <from>
                    <xdr:col>23</xdr:col>
                    <xdr:colOff>38100</xdr:colOff>
                    <xdr:row>32</xdr:row>
                    <xdr:rowOff>85725</xdr:rowOff>
                  </from>
                  <to>
                    <xdr:col>23</xdr:col>
                    <xdr:colOff>276225</xdr:colOff>
                    <xdr:row>32</xdr:row>
                    <xdr:rowOff>276225</xdr:rowOff>
                  </to>
                </anchor>
              </controlPr>
            </control>
          </mc:Choice>
        </mc:AlternateContent>
        <mc:AlternateContent xmlns:mc="http://schemas.openxmlformats.org/markup-compatibility/2006">
          <mc:Choice Requires="x14">
            <control shapeId="11779" r:id="rId415" name="Option Button 3587">
              <controlPr defaultSize="0" autoFill="0" autoLine="0" autoPict="0">
                <anchor moveWithCells="1">
                  <from>
                    <xdr:col>23</xdr:col>
                    <xdr:colOff>38100</xdr:colOff>
                    <xdr:row>33</xdr:row>
                    <xdr:rowOff>85725</xdr:rowOff>
                  </from>
                  <to>
                    <xdr:col>23</xdr:col>
                    <xdr:colOff>276225</xdr:colOff>
                    <xdr:row>33</xdr:row>
                    <xdr:rowOff>276225</xdr:rowOff>
                  </to>
                </anchor>
              </controlPr>
            </control>
          </mc:Choice>
        </mc:AlternateContent>
        <mc:AlternateContent xmlns:mc="http://schemas.openxmlformats.org/markup-compatibility/2006">
          <mc:Choice Requires="x14">
            <control shapeId="11780" r:id="rId416" name="Option Button 3588">
              <controlPr defaultSize="0" autoFill="0" autoLine="0" autoPict="0">
                <anchor moveWithCells="1">
                  <from>
                    <xdr:col>23</xdr:col>
                    <xdr:colOff>38100</xdr:colOff>
                    <xdr:row>34</xdr:row>
                    <xdr:rowOff>85725</xdr:rowOff>
                  </from>
                  <to>
                    <xdr:col>23</xdr:col>
                    <xdr:colOff>276225</xdr:colOff>
                    <xdr:row>34</xdr:row>
                    <xdr:rowOff>276225</xdr:rowOff>
                  </to>
                </anchor>
              </controlPr>
            </control>
          </mc:Choice>
        </mc:AlternateContent>
        <mc:AlternateContent xmlns:mc="http://schemas.openxmlformats.org/markup-compatibility/2006">
          <mc:Choice Requires="x14">
            <control shapeId="11781" r:id="rId417" name="Option Button 3589">
              <controlPr defaultSize="0" autoFill="0" autoLine="0" autoPict="0">
                <anchor moveWithCells="1">
                  <from>
                    <xdr:col>23</xdr:col>
                    <xdr:colOff>38100</xdr:colOff>
                    <xdr:row>35</xdr:row>
                    <xdr:rowOff>85725</xdr:rowOff>
                  </from>
                  <to>
                    <xdr:col>23</xdr:col>
                    <xdr:colOff>276225</xdr:colOff>
                    <xdr:row>35</xdr:row>
                    <xdr:rowOff>276225</xdr:rowOff>
                  </to>
                </anchor>
              </controlPr>
            </control>
          </mc:Choice>
        </mc:AlternateContent>
        <mc:AlternateContent xmlns:mc="http://schemas.openxmlformats.org/markup-compatibility/2006">
          <mc:Choice Requires="x14">
            <control shapeId="286853" r:id="rId418" name="Group Box 184453">
              <controlPr defaultSize="0" autoFill="0" autoPict="0">
                <anchor moveWithCells="1">
                  <from>
                    <xdr:col>12</xdr:col>
                    <xdr:colOff>0</xdr:colOff>
                    <xdr:row>169</xdr:row>
                    <xdr:rowOff>0</xdr:rowOff>
                  </from>
                  <to>
                    <xdr:col>17</xdr:col>
                    <xdr:colOff>0</xdr:colOff>
                    <xdr:row>170</xdr:row>
                    <xdr:rowOff>0</xdr:rowOff>
                  </to>
                </anchor>
              </controlPr>
            </control>
          </mc:Choice>
        </mc:AlternateContent>
        <mc:AlternateContent xmlns:mc="http://schemas.openxmlformats.org/markup-compatibility/2006">
          <mc:Choice Requires="x14">
            <control shapeId="286854" r:id="rId419" name="Option Button 184454">
              <controlPr defaultSize="0" autoFill="0" autoLine="0" autoPict="0">
                <anchor moveWithCells="1">
                  <from>
                    <xdr:col>12</xdr:col>
                    <xdr:colOff>180975</xdr:colOff>
                    <xdr:row>169</xdr:row>
                    <xdr:rowOff>419100</xdr:rowOff>
                  </from>
                  <to>
                    <xdr:col>12</xdr:col>
                    <xdr:colOff>419100</xdr:colOff>
                    <xdr:row>169</xdr:row>
                    <xdr:rowOff>609600</xdr:rowOff>
                  </to>
                </anchor>
              </controlPr>
            </control>
          </mc:Choice>
        </mc:AlternateContent>
        <mc:AlternateContent xmlns:mc="http://schemas.openxmlformats.org/markup-compatibility/2006">
          <mc:Choice Requires="x14">
            <control shapeId="286855" r:id="rId420" name="Option Button 184455">
              <controlPr defaultSize="0" autoFill="0" autoLine="0" autoPict="0">
                <anchor moveWithCells="1">
                  <from>
                    <xdr:col>13</xdr:col>
                    <xdr:colOff>152400</xdr:colOff>
                    <xdr:row>169</xdr:row>
                    <xdr:rowOff>419100</xdr:rowOff>
                  </from>
                  <to>
                    <xdr:col>13</xdr:col>
                    <xdr:colOff>390525</xdr:colOff>
                    <xdr:row>169</xdr:row>
                    <xdr:rowOff>609600</xdr:rowOff>
                  </to>
                </anchor>
              </controlPr>
            </control>
          </mc:Choice>
        </mc:AlternateContent>
        <mc:AlternateContent xmlns:mc="http://schemas.openxmlformats.org/markup-compatibility/2006">
          <mc:Choice Requires="x14">
            <control shapeId="286856" r:id="rId421" name="Option Button 184456">
              <controlPr defaultSize="0" autoFill="0" autoLine="0" autoPict="0">
                <anchor moveWithCells="1">
                  <from>
                    <xdr:col>14</xdr:col>
                    <xdr:colOff>152400</xdr:colOff>
                    <xdr:row>169</xdr:row>
                    <xdr:rowOff>419100</xdr:rowOff>
                  </from>
                  <to>
                    <xdr:col>14</xdr:col>
                    <xdr:colOff>390525</xdr:colOff>
                    <xdr:row>169</xdr:row>
                    <xdr:rowOff>609600</xdr:rowOff>
                  </to>
                </anchor>
              </controlPr>
            </control>
          </mc:Choice>
        </mc:AlternateContent>
        <mc:AlternateContent xmlns:mc="http://schemas.openxmlformats.org/markup-compatibility/2006">
          <mc:Choice Requires="x14">
            <control shapeId="286857" r:id="rId422" name="Option Button 184457">
              <controlPr defaultSize="0" autoFill="0" autoLine="0" autoPict="0">
                <anchor moveWithCells="1">
                  <from>
                    <xdr:col>15</xdr:col>
                    <xdr:colOff>152400</xdr:colOff>
                    <xdr:row>169</xdr:row>
                    <xdr:rowOff>419100</xdr:rowOff>
                  </from>
                  <to>
                    <xdr:col>15</xdr:col>
                    <xdr:colOff>390525</xdr:colOff>
                    <xdr:row>169</xdr:row>
                    <xdr:rowOff>609600</xdr:rowOff>
                  </to>
                </anchor>
              </controlPr>
            </control>
          </mc:Choice>
        </mc:AlternateContent>
        <mc:AlternateContent xmlns:mc="http://schemas.openxmlformats.org/markup-compatibility/2006">
          <mc:Choice Requires="x14">
            <control shapeId="286858" r:id="rId423" name="Option Button 184458">
              <controlPr defaultSize="0" autoFill="0" autoLine="0" autoPict="0">
                <anchor moveWithCells="1">
                  <from>
                    <xdr:col>16</xdr:col>
                    <xdr:colOff>152400</xdr:colOff>
                    <xdr:row>169</xdr:row>
                    <xdr:rowOff>419100</xdr:rowOff>
                  </from>
                  <to>
                    <xdr:col>16</xdr:col>
                    <xdr:colOff>390525</xdr:colOff>
                    <xdr:row>169</xdr:row>
                    <xdr:rowOff>609600</xdr:rowOff>
                  </to>
                </anchor>
              </controlPr>
            </control>
          </mc:Choice>
        </mc:AlternateContent>
        <mc:AlternateContent xmlns:mc="http://schemas.openxmlformats.org/markup-compatibility/2006">
          <mc:Choice Requires="x14">
            <control shapeId="286863" r:id="rId424" name="Group Box 184463">
              <controlPr defaultSize="0" autoFill="0" autoPict="0">
                <anchor moveWithCells="1">
                  <from>
                    <xdr:col>12</xdr:col>
                    <xdr:colOff>0</xdr:colOff>
                    <xdr:row>170</xdr:row>
                    <xdr:rowOff>0</xdr:rowOff>
                  </from>
                  <to>
                    <xdr:col>17</xdr:col>
                    <xdr:colOff>0</xdr:colOff>
                    <xdr:row>171</xdr:row>
                    <xdr:rowOff>0</xdr:rowOff>
                  </to>
                </anchor>
              </controlPr>
            </control>
          </mc:Choice>
        </mc:AlternateContent>
        <mc:AlternateContent xmlns:mc="http://schemas.openxmlformats.org/markup-compatibility/2006">
          <mc:Choice Requires="x14">
            <control shapeId="286864" r:id="rId425" name="Option Button 184464">
              <controlPr defaultSize="0" autoFill="0" autoLine="0" autoPict="0">
                <anchor moveWithCells="1">
                  <from>
                    <xdr:col>12</xdr:col>
                    <xdr:colOff>180975</xdr:colOff>
                    <xdr:row>170</xdr:row>
                    <xdr:rowOff>419100</xdr:rowOff>
                  </from>
                  <to>
                    <xdr:col>12</xdr:col>
                    <xdr:colOff>419100</xdr:colOff>
                    <xdr:row>170</xdr:row>
                    <xdr:rowOff>609600</xdr:rowOff>
                  </to>
                </anchor>
              </controlPr>
            </control>
          </mc:Choice>
        </mc:AlternateContent>
        <mc:AlternateContent xmlns:mc="http://schemas.openxmlformats.org/markup-compatibility/2006">
          <mc:Choice Requires="x14">
            <control shapeId="286865" r:id="rId426" name="Option Button 184465">
              <controlPr defaultSize="0" autoFill="0" autoLine="0" autoPict="0">
                <anchor moveWithCells="1">
                  <from>
                    <xdr:col>13</xdr:col>
                    <xdr:colOff>152400</xdr:colOff>
                    <xdr:row>170</xdr:row>
                    <xdr:rowOff>419100</xdr:rowOff>
                  </from>
                  <to>
                    <xdr:col>13</xdr:col>
                    <xdr:colOff>390525</xdr:colOff>
                    <xdr:row>170</xdr:row>
                    <xdr:rowOff>609600</xdr:rowOff>
                  </to>
                </anchor>
              </controlPr>
            </control>
          </mc:Choice>
        </mc:AlternateContent>
        <mc:AlternateContent xmlns:mc="http://schemas.openxmlformats.org/markup-compatibility/2006">
          <mc:Choice Requires="x14">
            <control shapeId="286866" r:id="rId427" name="Option Button 184466">
              <controlPr defaultSize="0" autoFill="0" autoLine="0" autoPict="0">
                <anchor moveWithCells="1">
                  <from>
                    <xdr:col>14</xdr:col>
                    <xdr:colOff>152400</xdr:colOff>
                    <xdr:row>170</xdr:row>
                    <xdr:rowOff>419100</xdr:rowOff>
                  </from>
                  <to>
                    <xdr:col>14</xdr:col>
                    <xdr:colOff>390525</xdr:colOff>
                    <xdr:row>170</xdr:row>
                    <xdr:rowOff>609600</xdr:rowOff>
                  </to>
                </anchor>
              </controlPr>
            </control>
          </mc:Choice>
        </mc:AlternateContent>
        <mc:AlternateContent xmlns:mc="http://schemas.openxmlformats.org/markup-compatibility/2006">
          <mc:Choice Requires="x14">
            <control shapeId="286867" r:id="rId428" name="Option Button 184467">
              <controlPr defaultSize="0" autoFill="0" autoLine="0" autoPict="0">
                <anchor moveWithCells="1">
                  <from>
                    <xdr:col>15</xdr:col>
                    <xdr:colOff>152400</xdr:colOff>
                    <xdr:row>170</xdr:row>
                    <xdr:rowOff>419100</xdr:rowOff>
                  </from>
                  <to>
                    <xdr:col>15</xdr:col>
                    <xdr:colOff>390525</xdr:colOff>
                    <xdr:row>170</xdr:row>
                    <xdr:rowOff>609600</xdr:rowOff>
                  </to>
                </anchor>
              </controlPr>
            </control>
          </mc:Choice>
        </mc:AlternateContent>
        <mc:AlternateContent xmlns:mc="http://schemas.openxmlformats.org/markup-compatibility/2006">
          <mc:Choice Requires="x14">
            <control shapeId="286868" r:id="rId429" name="Option Button 184468">
              <controlPr defaultSize="0" autoFill="0" autoLine="0" autoPict="0">
                <anchor moveWithCells="1">
                  <from>
                    <xdr:col>16</xdr:col>
                    <xdr:colOff>152400</xdr:colOff>
                    <xdr:row>170</xdr:row>
                    <xdr:rowOff>419100</xdr:rowOff>
                  </from>
                  <to>
                    <xdr:col>16</xdr:col>
                    <xdr:colOff>390525</xdr:colOff>
                    <xdr:row>170</xdr:row>
                    <xdr:rowOff>609600</xdr:rowOff>
                  </to>
                </anchor>
              </controlPr>
            </control>
          </mc:Choice>
        </mc:AlternateContent>
        <mc:AlternateContent xmlns:mc="http://schemas.openxmlformats.org/markup-compatibility/2006">
          <mc:Choice Requires="x14">
            <control shapeId="286869" r:id="rId430" name="Group Box 184469">
              <controlPr defaultSize="0" autoFill="0" autoPict="0">
                <anchor moveWithCells="1">
                  <from>
                    <xdr:col>12</xdr:col>
                    <xdr:colOff>0</xdr:colOff>
                    <xdr:row>171</xdr:row>
                    <xdr:rowOff>0</xdr:rowOff>
                  </from>
                  <to>
                    <xdr:col>17</xdr:col>
                    <xdr:colOff>0</xdr:colOff>
                    <xdr:row>172</xdr:row>
                    <xdr:rowOff>0</xdr:rowOff>
                  </to>
                </anchor>
              </controlPr>
            </control>
          </mc:Choice>
        </mc:AlternateContent>
        <mc:AlternateContent xmlns:mc="http://schemas.openxmlformats.org/markup-compatibility/2006">
          <mc:Choice Requires="x14">
            <control shapeId="286870" r:id="rId431" name="Option Button 184470">
              <controlPr defaultSize="0" autoFill="0" autoLine="0" autoPict="0">
                <anchor moveWithCells="1">
                  <from>
                    <xdr:col>12</xdr:col>
                    <xdr:colOff>180975</xdr:colOff>
                    <xdr:row>171</xdr:row>
                    <xdr:rowOff>419100</xdr:rowOff>
                  </from>
                  <to>
                    <xdr:col>12</xdr:col>
                    <xdr:colOff>419100</xdr:colOff>
                    <xdr:row>171</xdr:row>
                    <xdr:rowOff>609600</xdr:rowOff>
                  </to>
                </anchor>
              </controlPr>
            </control>
          </mc:Choice>
        </mc:AlternateContent>
        <mc:AlternateContent xmlns:mc="http://schemas.openxmlformats.org/markup-compatibility/2006">
          <mc:Choice Requires="x14">
            <control shapeId="286871" r:id="rId432" name="Option Button 184471">
              <controlPr defaultSize="0" autoFill="0" autoLine="0" autoPict="0">
                <anchor moveWithCells="1">
                  <from>
                    <xdr:col>13</xdr:col>
                    <xdr:colOff>152400</xdr:colOff>
                    <xdr:row>171</xdr:row>
                    <xdr:rowOff>419100</xdr:rowOff>
                  </from>
                  <to>
                    <xdr:col>13</xdr:col>
                    <xdr:colOff>390525</xdr:colOff>
                    <xdr:row>171</xdr:row>
                    <xdr:rowOff>609600</xdr:rowOff>
                  </to>
                </anchor>
              </controlPr>
            </control>
          </mc:Choice>
        </mc:AlternateContent>
        <mc:AlternateContent xmlns:mc="http://schemas.openxmlformats.org/markup-compatibility/2006">
          <mc:Choice Requires="x14">
            <control shapeId="286872" r:id="rId433" name="Option Button 184472">
              <controlPr defaultSize="0" autoFill="0" autoLine="0" autoPict="0">
                <anchor moveWithCells="1">
                  <from>
                    <xdr:col>14</xdr:col>
                    <xdr:colOff>152400</xdr:colOff>
                    <xdr:row>171</xdr:row>
                    <xdr:rowOff>419100</xdr:rowOff>
                  </from>
                  <to>
                    <xdr:col>14</xdr:col>
                    <xdr:colOff>390525</xdr:colOff>
                    <xdr:row>171</xdr:row>
                    <xdr:rowOff>609600</xdr:rowOff>
                  </to>
                </anchor>
              </controlPr>
            </control>
          </mc:Choice>
        </mc:AlternateContent>
        <mc:AlternateContent xmlns:mc="http://schemas.openxmlformats.org/markup-compatibility/2006">
          <mc:Choice Requires="x14">
            <control shapeId="286873" r:id="rId434" name="Option Button 184473">
              <controlPr defaultSize="0" autoFill="0" autoLine="0" autoPict="0">
                <anchor moveWithCells="1">
                  <from>
                    <xdr:col>15</xdr:col>
                    <xdr:colOff>152400</xdr:colOff>
                    <xdr:row>171</xdr:row>
                    <xdr:rowOff>419100</xdr:rowOff>
                  </from>
                  <to>
                    <xdr:col>15</xdr:col>
                    <xdr:colOff>390525</xdr:colOff>
                    <xdr:row>171</xdr:row>
                    <xdr:rowOff>609600</xdr:rowOff>
                  </to>
                </anchor>
              </controlPr>
            </control>
          </mc:Choice>
        </mc:AlternateContent>
        <mc:AlternateContent xmlns:mc="http://schemas.openxmlformats.org/markup-compatibility/2006">
          <mc:Choice Requires="x14">
            <control shapeId="286874" r:id="rId435" name="Option Button 184474">
              <controlPr defaultSize="0" autoFill="0" autoLine="0" autoPict="0">
                <anchor moveWithCells="1">
                  <from>
                    <xdr:col>16</xdr:col>
                    <xdr:colOff>152400</xdr:colOff>
                    <xdr:row>171</xdr:row>
                    <xdr:rowOff>419100</xdr:rowOff>
                  </from>
                  <to>
                    <xdr:col>16</xdr:col>
                    <xdr:colOff>390525</xdr:colOff>
                    <xdr:row>171</xdr:row>
                    <xdr:rowOff>609600</xdr:rowOff>
                  </to>
                </anchor>
              </controlPr>
            </control>
          </mc:Choice>
        </mc:AlternateContent>
        <mc:AlternateContent xmlns:mc="http://schemas.openxmlformats.org/markup-compatibility/2006">
          <mc:Choice Requires="x14">
            <control shapeId="286875" r:id="rId436" name="Group Box 184475">
              <controlPr defaultSize="0" autoFill="0" autoPict="0">
                <anchor moveWithCells="1">
                  <from>
                    <xdr:col>12</xdr:col>
                    <xdr:colOff>0</xdr:colOff>
                    <xdr:row>172</xdr:row>
                    <xdr:rowOff>0</xdr:rowOff>
                  </from>
                  <to>
                    <xdr:col>17</xdr:col>
                    <xdr:colOff>0</xdr:colOff>
                    <xdr:row>173</xdr:row>
                    <xdr:rowOff>0</xdr:rowOff>
                  </to>
                </anchor>
              </controlPr>
            </control>
          </mc:Choice>
        </mc:AlternateContent>
        <mc:AlternateContent xmlns:mc="http://schemas.openxmlformats.org/markup-compatibility/2006">
          <mc:Choice Requires="x14">
            <control shapeId="286876" r:id="rId437" name="Option Button 184476">
              <controlPr defaultSize="0" autoFill="0" autoLine="0" autoPict="0">
                <anchor moveWithCells="1">
                  <from>
                    <xdr:col>12</xdr:col>
                    <xdr:colOff>180975</xdr:colOff>
                    <xdr:row>172</xdr:row>
                    <xdr:rowOff>419100</xdr:rowOff>
                  </from>
                  <to>
                    <xdr:col>12</xdr:col>
                    <xdr:colOff>419100</xdr:colOff>
                    <xdr:row>172</xdr:row>
                    <xdr:rowOff>609600</xdr:rowOff>
                  </to>
                </anchor>
              </controlPr>
            </control>
          </mc:Choice>
        </mc:AlternateContent>
        <mc:AlternateContent xmlns:mc="http://schemas.openxmlformats.org/markup-compatibility/2006">
          <mc:Choice Requires="x14">
            <control shapeId="286877" r:id="rId438" name="Option Button 184477">
              <controlPr defaultSize="0" autoFill="0" autoLine="0" autoPict="0">
                <anchor moveWithCells="1">
                  <from>
                    <xdr:col>13</xdr:col>
                    <xdr:colOff>152400</xdr:colOff>
                    <xdr:row>172</xdr:row>
                    <xdr:rowOff>419100</xdr:rowOff>
                  </from>
                  <to>
                    <xdr:col>13</xdr:col>
                    <xdr:colOff>390525</xdr:colOff>
                    <xdr:row>172</xdr:row>
                    <xdr:rowOff>609600</xdr:rowOff>
                  </to>
                </anchor>
              </controlPr>
            </control>
          </mc:Choice>
        </mc:AlternateContent>
        <mc:AlternateContent xmlns:mc="http://schemas.openxmlformats.org/markup-compatibility/2006">
          <mc:Choice Requires="x14">
            <control shapeId="286878" r:id="rId439" name="Option Button 184478">
              <controlPr defaultSize="0" autoFill="0" autoLine="0" autoPict="0">
                <anchor moveWithCells="1">
                  <from>
                    <xdr:col>14</xdr:col>
                    <xdr:colOff>152400</xdr:colOff>
                    <xdr:row>172</xdr:row>
                    <xdr:rowOff>419100</xdr:rowOff>
                  </from>
                  <to>
                    <xdr:col>14</xdr:col>
                    <xdr:colOff>390525</xdr:colOff>
                    <xdr:row>172</xdr:row>
                    <xdr:rowOff>609600</xdr:rowOff>
                  </to>
                </anchor>
              </controlPr>
            </control>
          </mc:Choice>
        </mc:AlternateContent>
        <mc:AlternateContent xmlns:mc="http://schemas.openxmlformats.org/markup-compatibility/2006">
          <mc:Choice Requires="x14">
            <control shapeId="286879" r:id="rId440" name="Option Button 184479">
              <controlPr defaultSize="0" autoFill="0" autoLine="0" autoPict="0">
                <anchor moveWithCells="1">
                  <from>
                    <xdr:col>15</xdr:col>
                    <xdr:colOff>152400</xdr:colOff>
                    <xdr:row>172</xdr:row>
                    <xdr:rowOff>419100</xdr:rowOff>
                  </from>
                  <to>
                    <xdr:col>15</xdr:col>
                    <xdr:colOff>390525</xdr:colOff>
                    <xdr:row>172</xdr:row>
                    <xdr:rowOff>609600</xdr:rowOff>
                  </to>
                </anchor>
              </controlPr>
            </control>
          </mc:Choice>
        </mc:AlternateContent>
        <mc:AlternateContent xmlns:mc="http://schemas.openxmlformats.org/markup-compatibility/2006">
          <mc:Choice Requires="x14">
            <control shapeId="286880" r:id="rId441" name="Option Button 184480">
              <controlPr defaultSize="0" autoFill="0" autoLine="0" autoPict="0">
                <anchor moveWithCells="1">
                  <from>
                    <xdr:col>16</xdr:col>
                    <xdr:colOff>152400</xdr:colOff>
                    <xdr:row>172</xdr:row>
                    <xdr:rowOff>419100</xdr:rowOff>
                  </from>
                  <to>
                    <xdr:col>16</xdr:col>
                    <xdr:colOff>390525</xdr:colOff>
                    <xdr:row>172</xdr:row>
                    <xdr:rowOff>609600</xdr:rowOff>
                  </to>
                </anchor>
              </controlPr>
            </control>
          </mc:Choice>
        </mc:AlternateContent>
        <mc:AlternateContent xmlns:mc="http://schemas.openxmlformats.org/markup-compatibility/2006">
          <mc:Choice Requires="x14">
            <control shapeId="286881" r:id="rId442" name="Group Box 184481">
              <controlPr defaultSize="0" autoFill="0" autoPict="0">
                <anchor moveWithCells="1">
                  <from>
                    <xdr:col>12</xdr:col>
                    <xdr:colOff>0</xdr:colOff>
                    <xdr:row>173</xdr:row>
                    <xdr:rowOff>0</xdr:rowOff>
                  </from>
                  <to>
                    <xdr:col>17</xdr:col>
                    <xdr:colOff>0</xdr:colOff>
                    <xdr:row>174</xdr:row>
                    <xdr:rowOff>0</xdr:rowOff>
                  </to>
                </anchor>
              </controlPr>
            </control>
          </mc:Choice>
        </mc:AlternateContent>
        <mc:AlternateContent xmlns:mc="http://schemas.openxmlformats.org/markup-compatibility/2006">
          <mc:Choice Requires="x14">
            <control shapeId="286882" r:id="rId443" name="Option Button 184482">
              <controlPr defaultSize="0" autoFill="0" autoLine="0" autoPict="0">
                <anchor moveWithCells="1">
                  <from>
                    <xdr:col>12</xdr:col>
                    <xdr:colOff>180975</xdr:colOff>
                    <xdr:row>173</xdr:row>
                    <xdr:rowOff>419100</xdr:rowOff>
                  </from>
                  <to>
                    <xdr:col>12</xdr:col>
                    <xdr:colOff>419100</xdr:colOff>
                    <xdr:row>173</xdr:row>
                    <xdr:rowOff>609600</xdr:rowOff>
                  </to>
                </anchor>
              </controlPr>
            </control>
          </mc:Choice>
        </mc:AlternateContent>
        <mc:AlternateContent xmlns:mc="http://schemas.openxmlformats.org/markup-compatibility/2006">
          <mc:Choice Requires="x14">
            <control shapeId="286883" r:id="rId444" name="Option Button 184483">
              <controlPr defaultSize="0" autoFill="0" autoLine="0" autoPict="0">
                <anchor moveWithCells="1">
                  <from>
                    <xdr:col>13</xdr:col>
                    <xdr:colOff>152400</xdr:colOff>
                    <xdr:row>173</xdr:row>
                    <xdr:rowOff>419100</xdr:rowOff>
                  </from>
                  <to>
                    <xdr:col>13</xdr:col>
                    <xdr:colOff>390525</xdr:colOff>
                    <xdr:row>173</xdr:row>
                    <xdr:rowOff>609600</xdr:rowOff>
                  </to>
                </anchor>
              </controlPr>
            </control>
          </mc:Choice>
        </mc:AlternateContent>
        <mc:AlternateContent xmlns:mc="http://schemas.openxmlformats.org/markup-compatibility/2006">
          <mc:Choice Requires="x14">
            <control shapeId="286884" r:id="rId445" name="Option Button 184484">
              <controlPr defaultSize="0" autoFill="0" autoLine="0" autoPict="0">
                <anchor moveWithCells="1">
                  <from>
                    <xdr:col>14</xdr:col>
                    <xdr:colOff>152400</xdr:colOff>
                    <xdr:row>173</xdr:row>
                    <xdr:rowOff>419100</xdr:rowOff>
                  </from>
                  <to>
                    <xdr:col>14</xdr:col>
                    <xdr:colOff>390525</xdr:colOff>
                    <xdr:row>173</xdr:row>
                    <xdr:rowOff>609600</xdr:rowOff>
                  </to>
                </anchor>
              </controlPr>
            </control>
          </mc:Choice>
        </mc:AlternateContent>
        <mc:AlternateContent xmlns:mc="http://schemas.openxmlformats.org/markup-compatibility/2006">
          <mc:Choice Requires="x14">
            <control shapeId="286885" r:id="rId446" name="Option Button 184485">
              <controlPr defaultSize="0" autoFill="0" autoLine="0" autoPict="0">
                <anchor moveWithCells="1">
                  <from>
                    <xdr:col>15</xdr:col>
                    <xdr:colOff>152400</xdr:colOff>
                    <xdr:row>173</xdr:row>
                    <xdr:rowOff>419100</xdr:rowOff>
                  </from>
                  <to>
                    <xdr:col>15</xdr:col>
                    <xdr:colOff>390525</xdr:colOff>
                    <xdr:row>173</xdr:row>
                    <xdr:rowOff>609600</xdr:rowOff>
                  </to>
                </anchor>
              </controlPr>
            </control>
          </mc:Choice>
        </mc:AlternateContent>
        <mc:AlternateContent xmlns:mc="http://schemas.openxmlformats.org/markup-compatibility/2006">
          <mc:Choice Requires="x14">
            <control shapeId="286886" r:id="rId447" name="Option Button 184486">
              <controlPr defaultSize="0" autoFill="0" autoLine="0" autoPict="0">
                <anchor moveWithCells="1">
                  <from>
                    <xdr:col>16</xdr:col>
                    <xdr:colOff>152400</xdr:colOff>
                    <xdr:row>173</xdr:row>
                    <xdr:rowOff>419100</xdr:rowOff>
                  </from>
                  <to>
                    <xdr:col>16</xdr:col>
                    <xdr:colOff>390525</xdr:colOff>
                    <xdr:row>173</xdr:row>
                    <xdr:rowOff>609600</xdr:rowOff>
                  </to>
                </anchor>
              </controlPr>
            </control>
          </mc:Choice>
        </mc:AlternateContent>
        <mc:AlternateContent xmlns:mc="http://schemas.openxmlformats.org/markup-compatibility/2006">
          <mc:Choice Requires="x14">
            <control shapeId="286887" r:id="rId448" name="Group Box 184487">
              <controlPr defaultSize="0" autoFill="0" autoPict="0">
                <anchor moveWithCells="1">
                  <from>
                    <xdr:col>12</xdr:col>
                    <xdr:colOff>0</xdr:colOff>
                    <xdr:row>174</xdr:row>
                    <xdr:rowOff>0</xdr:rowOff>
                  </from>
                  <to>
                    <xdr:col>17</xdr:col>
                    <xdr:colOff>0</xdr:colOff>
                    <xdr:row>175</xdr:row>
                    <xdr:rowOff>0</xdr:rowOff>
                  </to>
                </anchor>
              </controlPr>
            </control>
          </mc:Choice>
        </mc:AlternateContent>
        <mc:AlternateContent xmlns:mc="http://schemas.openxmlformats.org/markup-compatibility/2006">
          <mc:Choice Requires="x14">
            <control shapeId="286888" r:id="rId449" name="Option Button 184488">
              <controlPr defaultSize="0" autoFill="0" autoLine="0" autoPict="0">
                <anchor moveWithCells="1">
                  <from>
                    <xdr:col>12</xdr:col>
                    <xdr:colOff>180975</xdr:colOff>
                    <xdr:row>174</xdr:row>
                    <xdr:rowOff>419100</xdr:rowOff>
                  </from>
                  <to>
                    <xdr:col>12</xdr:col>
                    <xdr:colOff>419100</xdr:colOff>
                    <xdr:row>174</xdr:row>
                    <xdr:rowOff>609600</xdr:rowOff>
                  </to>
                </anchor>
              </controlPr>
            </control>
          </mc:Choice>
        </mc:AlternateContent>
        <mc:AlternateContent xmlns:mc="http://schemas.openxmlformats.org/markup-compatibility/2006">
          <mc:Choice Requires="x14">
            <control shapeId="286889" r:id="rId450" name="Option Button 184489">
              <controlPr defaultSize="0" autoFill="0" autoLine="0" autoPict="0">
                <anchor moveWithCells="1">
                  <from>
                    <xdr:col>13</xdr:col>
                    <xdr:colOff>152400</xdr:colOff>
                    <xdr:row>174</xdr:row>
                    <xdr:rowOff>419100</xdr:rowOff>
                  </from>
                  <to>
                    <xdr:col>13</xdr:col>
                    <xdr:colOff>390525</xdr:colOff>
                    <xdr:row>174</xdr:row>
                    <xdr:rowOff>609600</xdr:rowOff>
                  </to>
                </anchor>
              </controlPr>
            </control>
          </mc:Choice>
        </mc:AlternateContent>
        <mc:AlternateContent xmlns:mc="http://schemas.openxmlformats.org/markup-compatibility/2006">
          <mc:Choice Requires="x14">
            <control shapeId="286890" r:id="rId451" name="Option Button 184490">
              <controlPr defaultSize="0" autoFill="0" autoLine="0" autoPict="0">
                <anchor moveWithCells="1">
                  <from>
                    <xdr:col>14</xdr:col>
                    <xdr:colOff>152400</xdr:colOff>
                    <xdr:row>174</xdr:row>
                    <xdr:rowOff>419100</xdr:rowOff>
                  </from>
                  <to>
                    <xdr:col>14</xdr:col>
                    <xdr:colOff>390525</xdr:colOff>
                    <xdr:row>174</xdr:row>
                    <xdr:rowOff>609600</xdr:rowOff>
                  </to>
                </anchor>
              </controlPr>
            </control>
          </mc:Choice>
        </mc:AlternateContent>
        <mc:AlternateContent xmlns:mc="http://schemas.openxmlformats.org/markup-compatibility/2006">
          <mc:Choice Requires="x14">
            <control shapeId="286891" r:id="rId452" name="Option Button 184491">
              <controlPr defaultSize="0" autoFill="0" autoLine="0" autoPict="0">
                <anchor moveWithCells="1">
                  <from>
                    <xdr:col>15</xdr:col>
                    <xdr:colOff>152400</xdr:colOff>
                    <xdr:row>174</xdr:row>
                    <xdr:rowOff>419100</xdr:rowOff>
                  </from>
                  <to>
                    <xdr:col>15</xdr:col>
                    <xdr:colOff>390525</xdr:colOff>
                    <xdr:row>174</xdr:row>
                    <xdr:rowOff>609600</xdr:rowOff>
                  </to>
                </anchor>
              </controlPr>
            </control>
          </mc:Choice>
        </mc:AlternateContent>
        <mc:AlternateContent xmlns:mc="http://schemas.openxmlformats.org/markup-compatibility/2006">
          <mc:Choice Requires="x14">
            <control shapeId="286892" r:id="rId453" name="Option Button 184492">
              <controlPr defaultSize="0" autoFill="0" autoLine="0" autoPict="0">
                <anchor moveWithCells="1">
                  <from>
                    <xdr:col>16</xdr:col>
                    <xdr:colOff>152400</xdr:colOff>
                    <xdr:row>174</xdr:row>
                    <xdr:rowOff>419100</xdr:rowOff>
                  </from>
                  <to>
                    <xdr:col>16</xdr:col>
                    <xdr:colOff>390525</xdr:colOff>
                    <xdr:row>174</xdr:row>
                    <xdr:rowOff>609600</xdr:rowOff>
                  </to>
                </anchor>
              </controlPr>
            </control>
          </mc:Choice>
        </mc:AlternateContent>
        <mc:AlternateContent xmlns:mc="http://schemas.openxmlformats.org/markup-compatibility/2006">
          <mc:Choice Requires="x14">
            <control shapeId="286893" r:id="rId454" name="Group Box 184493">
              <controlPr defaultSize="0" autoFill="0" autoPict="0">
                <anchor moveWithCells="1">
                  <from>
                    <xdr:col>12</xdr:col>
                    <xdr:colOff>0</xdr:colOff>
                    <xdr:row>175</xdr:row>
                    <xdr:rowOff>0</xdr:rowOff>
                  </from>
                  <to>
                    <xdr:col>17</xdr:col>
                    <xdr:colOff>0</xdr:colOff>
                    <xdr:row>176</xdr:row>
                    <xdr:rowOff>0</xdr:rowOff>
                  </to>
                </anchor>
              </controlPr>
            </control>
          </mc:Choice>
        </mc:AlternateContent>
        <mc:AlternateContent xmlns:mc="http://schemas.openxmlformats.org/markup-compatibility/2006">
          <mc:Choice Requires="x14">
            <control shapeId="286894" r:id="rId455" name="Option Button 184494">
              <controlPr defaultSize="0" autoFill="0" autoLine="0" autoPict="0">
                <anchor moveWithCells="1">
                  <from>
                    <xdr:col>12</xdr:col>
                    <xdr:colOff>180975</xdr:colOff>
                    <xdr:row>175</xdr:row>
                    <xdr:rowOff>419100</xdr:rowOff>
                  </from>
                  <to>
                    <xdr:col>12</xdr:col>
                    <xdr:colOff>419100</xdr:colOff>
                    <xdr:row>175</xdr:row>
                    <xdr:rowOff>609600</xdr:rowOff>
                  </to>
                </anchor>
              </controlPr>
            </control>
          </mc:Choice>
        </mc:AlternateContent>
        <mc:AlternateContent xmlns:mc="http://schemas.openxmlformats.org/markup-compatibility/2006">
          <mc:Choice Requires="x14">
            <control shapeId="286895" r:id="rId456" name="Option Button 184495">
              <controlPr defaultSize="0" autoFill="0" autoLine="0" autoPict="0">
                <anchor moveWithCells="1">
                  <from>
                    <xdr:col>13</xdr:col>
                    <xdr:colOff>152400</xdr:colOff>
                    <xdr:row>175</xdr:row>
                    <xdr:rowOff>419100</xdr:rowOff>
                  </from>
                  <to>
                    <xdr:col>13</xdr:col>
                    <xdr:colOff>390525</xdr:colOff>
                    <xdr:row>175</xdr:row>
                    <xdr:rowOff>609600</xdr:rowOff>
                  </to>
                </anchor>
              </controlPr>
            </control>
          </mc:Choice>
        </mc:AlternateContent>
        <mc:AlternateContent xmlns:mc="http://schemas.openxmlformats.org/markup-compatibility/2006">
          <mc:Choice Requires="x14">
            <control shapeId="286896" r:id="rId457" name="Option Button 184496">
              <controlPr defaultSize="0" autoFill="0" autoLine="0" autoPict="0">
                <anchor moveWithCells="1">
                  <from>
                    <xdr:col>14</xdr:col>
                    <xdr:colOff>152400</xdr:colOff>
                    <xdr:row>175</xdr:row>
                    <xdr:rowOff>419100</xdr:rowOff>
                  </from>
                  <to>
                    <xdr:col>14</xdr:col>
                    <xdr:colOff>390525</xdr:colOff>
                    <xdr:row>175</xdr:row>
                    <xdr:rowOff>609600</xdr:rowOff>
                  </to>
                </anchor>
              </controlPr>
            </control>
          </mc:Choice>
        </mc:AlternateContent>
        <mc:AlternateContent xmlns:mc="http://schemas.openxmlformats.org/markup-compatibility/2006">
          <mc:Choice Requires="x14">
            <control shapeId="286897" r:id="rId458" name="Option Button 184497">
              <controlPr defaultSize="0" autoFill="0" autoLine="0" autoPict="0">
                <anchor moveWithCells="1">
                  <from>
                    <xdr:col>15</xdr:col>
                    <xdr:colOff>152400</xdr:colOff>
                    <xdr:row>175</xdr:row>
                    <xdr:rowOff>419100</xdr:rowOff>
                  </from>
                  <to>
                    <xdr:col>15</xdr:col>
                    <xdr:colOff>390525</xdr:colOff>
                    <xdr:row>175</xdr:row>
                    <xdr:rowOff>609600</xdr:rowOff>
                  </to>
                </anchor>
              </controlPr>
            </control>
          </mc:Choice>
        </mc:AlternateContent>
        <mc:AlternateContent xmlns:mc="http://schemas.openxmlformats.org/markup-compatibility/2006">
          <mc:Choice Requires="x14">
            <control shapeId="286898" r:id="rId459" name="Option Button 184498">
              <controlPr defaultSize="0" autoFill="0" autoLine="0" autoPict="0">
                <anchor moveWithCells="1">
                  <from>
                    <xdr:col>16</xdr:col>
                    <xdr:colOff>152400</xdr:colOff>
                    <xdr:row>175</xdr:row>
                    <xdr:rowOff>419100</xdr:rowOff>
                  </from>
                  <to>
                    <xdr:col>16</xdr:col>
                    <xdr:colOff>390525</xdr:colOff>
                    <xdr:row>175</xdr:row>
                    <xdr:rowOff>609600</xdr:rowOff>
                  </to>
                </anchor>
              </controlPr>
            </control>
          </mc:Choice>
        </mc:AlternateContent>
        <mc:AlternateContent xmlns:mc="http://schemas.openxmlformats.org/markup-compatibility/2006">
          <mc:Choice Requires="x14">
            <control shapeId="286899" r:id="rId460" name="Group Box 184499">
              <controlPr defaultSize="0" autoFill="0" autoPict="0">
                <anchor moveWithCells="1">
                  <from>
                    <xdr:col>12</xdr:col>
                    <xdr:colOff>0</xdr:colOff>
                    <xdr:row>176</xdr:row>
                    <xdr:rowOff>0</xdr:rowOff>
                  </from>
                  <to>
                    <xdr:col>17</xdr:col>
                    <xdr:colOff>0</xdr:colOff>
                    <xdr:row>177</xdr:row>
                    <xdr:rowOff>0</xdr:rowOff>
                  </to>
                </anchor>
              </controlPr>
            </control>
          </mc:Choice>
        </mc:AlternateContent>
        <mc:AlternateContent xmlns:mc="http://schemas.openxmlformats.org/markup-compatibility/2006">
          <mc:Choice Requires="x14">
            <control shapeId="286900" r:id="rId461" name="Option Button 184500">
              <controlPr defaultSize="0" autoFill="0" autoLine="0" autoPict="0">
                <anchor moveWithCells="1">
                  <from>
                    <xdr:col>12</xdr:col>
                    <xdr:colOff>180975</xdr:colOff>
                    <xdr:row>176</xdr:row>
                    <xdr:rowOff>419100</xdr:rowOff>
                  </from>
                  <to>
                    <xdr:col>12</xdr:col>
                    <xdr:colOff>419100</xdr:colOff>
                    <xdr:row>176</xdr:row>
                    <xdr:rowOff>609600</xdr:rowOff>
                  </to>
                </anchor>
              </controlPr>
            </control>
          </mc:Choice>
        </mc:AlternateContent>
        <mc:AlternateContent xmlns:mc="http://schemas.openxmlformats.org/markup-compatibility/2006">
          <mc:Choice Requires="x14">
            <control shapeId="286901" r:id="rId462" name="Option Button 184501">
              <controlPr defaultSize="0" autoFill="0" autoLine="0" autoPict="0">
                <anchor moveWithCells="1">
                  <from>
                    <xdr:col>13</xdr:col>
                    <xdr:colOff>152400</xdr:colOff>
                    <xdr:row>176</xdr:row>
                    <xdr:rowOff>419100</xdr:rowOff>
                  </from>
                  <to>
                    <xdr:col>13</xdr:col>
                    <xdr:colOff>390525</xdr:colOff>
                    <xdr:row>176</xdr:row>
                    <xdr:rowOff>609600</xdr:rowOff>
                  </to>
                </anchor>
              </controlPr>
            </control>
          </mc:Choice>
        </mc:AlternateContent>
        <mc:AlternateContent xmlns:mc="http://schemas.openxmlformats.org/markup-compatibility/2006">
          <mc:Choice Requires="x14">
            <control shapeId="286902" r:id="rId463" name="Option Button 184502">
              <controlPr defaultSize="0" autoFill="0" autoLine="0" autoPict="0">
                <anchor moveWithCells="1">
                  <from>
                    <xdr:col>14</xdr:col>
                    <xdr:colOff>152400</xdr:colOff>
                    <xdr:row>176</xdr:row>
                    <xdr:rowOff>419100</xdr:rowOff>
                  </from>
                  <to>
                    <xdr:col>14</xdr:col>
                    <xdr:colOff>390525</xdr:colOff>
                    <xdr:row>176</xdr:row>
                    <xdr:rowOff>609600</xdr:rowOff>
                  </to>
                </anchor>
              </controlPr>
            </control>
          </mc:Choice>
        </mc:AlternateContent>
        <mc:AlternateContent xmlns:mc="http://schemas.openxmlformats.org/markup-compatibility/2006">
          <mc:Choice Requires="x14">
            <control shapeId="286903" r:id="rId464" name="Option Button 184503">
              <controlPr defaultSize="0" autoFill="0" autoLine="0" autoPict="0">
                <anchor moveWithCells="1">
                  <from>
                    <xdr:col>15</xdr:col>
                    <xdr:colOff>152400</xdr:colOff>
                    <xdr:row>176</xdr:row>
                    <xdr:rowOff>419100</xdr:rowOff>
                  </from>
                  <to>
                    <xdr:col>15</xdr:col>
                    <xdr:colOff>390525</xdr:colOff>
                    <xdr:row>176</xdr:row>
                    <xdr:rowOff>609600</xdr:rowOff>
                  </to>
                </anchor>
              </controlPr>
            </control>
          </mc:Choice>
        </mc:AlternateContent>
        <mc:AlternateContent xmlns:mc="http://schemas.openxmlformats.org/markup-compatibility/2006">
          <mc:Choice Requires="x14">
            <control shapeId="286904" r:id="rId465" name="Option Button 184504">
              <controlPr defaultSize="0" autoFill="0" autoLine="0" autoPict="0">
                <anchor moveWithCells="1">
                  <from>
                    <xdr:col>16</xdr:col>
                    <xdr:colOff>152400</xdr:colOff>
                    <xdr:row>176</xdr:row>
                    <xdr:rowOff>419100</xdr:rowOff>
                  </from>
                  <to>
                    <xdr:col>16</xdr:col>
                    <xdr:colOff>390525</xdr:colOff>
                    <xdr:row>176</xdr:row>
                    <xdr:rowOff>609600</xdr:rowOff>
                  </to>
                </anchor>
              </controlPr>
            </control>
          </mc:Choice>
        </mc:AlternateContent>
        <mc:AlternateContent xmlns:mc="http://schemas.openxmlformats.org/markup-compatibility/2006">
          <mc:Choice Requires="x14">
            <control shapeId="286936" r:id="rId466" name="Option Button 184536">
              <controlPr defaultSize="0" autoFill="0" autoLine="0" autoPict="0">
                <anchor moveWithCells="1">
                  <from>
                    <xdr:col>12</xdr:col>
                    <xdr:colOff>180975</xdr:colOff>
                    <xdr:row>177</xdr:row>
                    <xdr:rowOff>419100</xdr:rowOff>
                  </from>
                  <to>
                    <xdr:col>12</xdr:col>
                    <xdr:colOff>419100</xdr:colOff>
                    <xdr:row>177</xdr:row>
                    <xdr:rowOff>609600</xdr:rowOff>
                  </to>
                </anchor>
              </controlPr>
            </control>
          </mc:Choice>
        </mc:AlternateContent>
        <mc:AlternateContent xmlns:mc="http://schemas.openxmlformats.org/markup-compatibility/2006">
          <mc:Choice Requires="x14">
            <control shapeId="286937" r:id="rId467" name="Option Button 184537">
              <controlPr defaultSize="0" autoFill="0" autoLine="0" autoPict="0">
                <anchor moveWithCells="1">
                  <from>
                    <xdr:col>13</xdr:col>
                    <xdr:colOff>152400</xdr:colOff>
                    <xdr:row>177</xdr:row>
                    <xdr:rowOff>419100</xdr:rowOff>
                  </from>
                  <to>
                    <xdr:col>13</xdr:col>
                    <xdr:colOff>390525</xdr:colOff>
                    <xdr:row>177</xdr:row>
                    <xdr:rowOff>609600</xdr:rowOff>
                  </to>
                </anchor>
              </controlPr>
            </control>
          </mc:Choice>
        </mc:AlternateContent>
        <mc:AlternateContent xmlns:mc="http://schemas.openxmlformats.org/markup-compatibility/2006">
          <mc:Choice Requires="x14">
            <control shapeId="286938" r:id="rId468" name="Option Button 184538">
              <controlPr defaultSize="0" autoFill="0" autoLine="0" autoPict="0">
                <anchor moveWithCells="1">
                  <from>
                    <xdr:col>14</xdr:col>
                    <xdr:colOff>152400</xdr:colOff>
                    <xdr:row>177</xdr:row>
                    <xdr:rowOff>419100</xdr:rowOff>
                  </from>
                  <to>
                    <xdr:col>14</xdr:col>
                    <xdr:colOff>390525</xdr:colOff>
                    <xdr:row>177</xdr:row>
                    <xdr:rowOff>609600</xdr:rowOff>
                  </to>
                </anchor>
              </controlPr>
            </control>
          </mc:Choice>
        </mc:AlternateContent>
        <mc:AlternateContent xmlns:mc="http://schemas.openxmlformats.org/markup-compatibility/2006">
          <mc:Choice Requires="x14">
            <control shapeId="286939" r:id="rId469" name="Option Button 184539">
              <controlPr defaultSize="0" autoFill="0" autoLine="0" autoPict="0">
                <anchor moveWithCells="1">
                  <from>
                    <xdr:col>15</xdr:col>
                    <xdr:colOff>152400</xdr:colOff>
                    <xdr:row>177</xdr:row>
                    <xdr:rowOff>419100</xdr:rowOff>
                  </from>
                  <to>
                    <xdr:col>15</xdr:col>
                    <xdr:colOff>390525</xdr:colOff>
                    <xdr:row>177</xdr:row>
                    <xdr:rowOff>609600</xdr:rowOff>
                  </to>
                </anchor>
              </controlPr>
            </control>
          </mc:Choice>
        </mc:AlternateContent>
        <mc:AlternateContent xmlns:mc="http://schemas.openxmlformats.org/markup-compatibility/2006">
          <mc:Choice Requires="x14">
            <control shapeId="286940" r:id="rId470" name="Option Button 184540">
              <controlPr defaultSize="0" autoFill="0" autoLine="0" autoPict="0">
                <anchor moveWithCells="1">
                  <from>
                    <xdr:col>16</xdr:col>
                    <xdr:colOff>152400</xdr:colOff>
                    <xdr:row>177</xdr:row>
                    <xdr:rowOff>419100</xdr:rowOff>
                  </from>
                  <to>
                    <xdr:col>16</xdr:col>
                    <xdr:colOff>390525</xdr:colOff>
                    <xdr:row>177</xdr:row>
                    <xdr:rowOff>609600</xdr:rowOff>
                  </to>
                </anchor>
              </controlPr>
            </control>
          </mc:Choice>
        </mc:AlternateContent>
        <mc:AlternateContent xmlns:mc="http://schemas.openxmlformats.org/markup-compatibility/2006">
          <mc:Choice Requires="x14">
            <control shapeId="286947" r:id="rId471" name="Group Box 184547">
              <controlPr defaultSize="0" autoFill="0" autoPict="0">
                <anchor moveWithCells="1">
                  <from>
                    <xdr:col>12</xdr:col>
                    <xdr:colOff>0</xdr:colOff>
                    <xdr:row>75</xdr:row>
                    <xdr:rowOff>0</xdr:rowOff>
                  </from>
                  <to>
                    <xdr:col>16</xdr:col>
                    <xdr:colOff>638175</xdr:colOff>
                    <xdr:row>123</xdr:row>
                    <xdr:rowOff>0</xdr:rowOff>
                  </to>
                </anchor>
              </controlPr>
            </control>
          </mc:Choice>
        </mc:AlternateContent>
        <mc:AlternateContent xmlns:mc="http://schemas.openxmlformats.org/markup-compatibility/2006">
          <mc:Choice Requires="x14">
            <control shapeId="286948" r:id="rId472" name="Option Button 184548">
              <controlPr defaultSize="0" autoFill="0" autoLine="0" autoPict="0">
                <anchor moveWithCells="1">
                  <from>
                    <xdr:col>12</xdr:col>
                    <xdr:colOff>180975</xdr:colOff>
                    <xdr:row>77</xdr:row>
                    <xdr:rowOff>38100</xdr:rowOff>
                  </from>
                  <to>
                    <xdr:col>12</xdr:col>
                    <xdr:colOff>419100</xdr:colOff>
                    <xdr:row>85</xdr:row>
                    <xdr:rowOff>180975</xdr:rowOff>
                  </to>
                </anchor>
              </controlPr>
            </control>
          </mc:Choice>
        </mc:AlternateContent>
        <mc:AlternateContent xmlns:mc="http://schemas.openxmlformats.org/markup-compatibility/2006">
          <mc:Choice Requires="x14">
            <control shapeId="286949" r:id="rId473" name="Option Button 184549">
              <controlPr defaultSize="0" autoFill="0" autoLine="0" autoPict="0">
                <anchor moveWithCells="1">
                  <from>
                    <xdr:col>13</xdr:col>
                    <xdr:colOff>152400</xdr:colOff>
                    <xdr:row>77</xdr:row>
                    <xdr:rowOff>38100</xdr:rowOff>
                  </from>
                  <to>
                    <xdr:col>13</xdr:col>
                    <xdr:colOff>390525</xdr:colOff>
                    <xdr:row>85</xdr:row>
                    <xdr:rowOff>180975</xdr:rowOff>
                  </to>
                </anchor>
              </controlPr>
            </control>
          </mc:Choice>
        </mc:AlternateContent>
        <mc:AlternateContent xmlns:mc="http://schemas.openxmlformats.org/markup-compatibility/2006">
          <mc:Choice Requires="x14">
            <control shapeId="286950" r:id="rId474" name="Option Button 184550">
              <controlPr defaultSize="0" autoFill="0" autoLine="0" autoPict="0">
                <anchor moveWithCells="1">
                  <from>
                    <xdr:col>14</xdr:col>
                    <xdr:colOff>152400</xdr:colOff>
                    <xdr:row>77</xdr:row>
                    <xdr:rowOff>38100</xdr:rowOff>
                  </from>
                  <to>
                    <xdr:col>14</xdr:col>
                    <xdr:colOff>390525</xdr:colOff>
                    <xdr:row>85</xdr:row>
                    <xdr:rowOff>180975</xdr:rowOff>
                  </to>
                </anchor>
              </controlPr>
            </control>
          </mc:Choice>
        </mc:AlternateContent>
        <mc:AlternateContent xmlns:mc="http://schemas.openxmlformats.org/markup-compatibility/2006">
          <mc:Choice Requires="x14">
            <control shapeId="286951" r:id="rId475" name="Option Button 184551">
              <controlPr defaultSize="0" autoFill="0" autoLine="0" autoPict="0">
                <anchor moveWithCells="1">
                  <from>
                    <xdr:col>15</xdr:col>
                    <xdr:colOff>152400</xdr:colOff>
                    <xdr:row>77</xdr:row>
                    <xdr:rowOff>38100</xdr:rowOff>
                  </from>
                  <to>
                    <xdr:col>15</xdr:col>
                    <xdr:colOff>390525</xdr:colOff>
                    <xdr:row>85</xdr:row>
                    <xdr:rowOff>180975</xdr:rowOff>
                  </to>
                </anchor>
              </controlPr>
            </control>
          </mc:Choice>
        </mc:AlternateContent>
        <mc:AlternateContent xmlns:mc="http://schemas.openxmlformats.org/markup-compatibility/2006">
          <mc:Choice Requires="x14">
            <control shapeId="286952" r:id="rId476" name="Option Button 184552">
              <controlPr defaultSize="0" autoFill="0" autoLine="0" autoPict="0">
                <anchor moveWithCells="1">
                  <from>
                    <xdr:col>16</xdr:col>
                    <xdr:colOff>152400</xdr:colOff>
                    <xdr:row>77</xdr:row>
                    <xdr:rowOff>38100</xdr:rowOff>
                  </from>
                  <to>
                    <xdr:col>16</xdr:col>
                    <xdr:colOff>390525</xdr:colOff>
                    <xdr:row>85</xdr:row>
                    <xdr:rowOff>180975</xdr:rowOff>
                  </to>
                </anchor>
              </controlPr>
            </control>
          </mc:Choice>
        </mc:AlternateContent>
        <mc:AlternateContent xmlns:mc="http://schemas.openxmlformats.org/markup-compatibility/2006">
          <mc:Choice Requires="x14">
            <control shapeId="286953" r:id="rId477" name="Group Box 184553">
              <controlPr defaultSize="0" autoFill="0" autoPict="0">
                <anchor moveWithCells="1">
                  <from>
                    <xdr:col>12</xdr:col>
                    <xdr:colOff>0</xdr:colOff>
                    <xdr:row>135</xdr:row>
                    <xdr:rowOff>0</xdr:rowOff>
                  </from>
                  <to>
                    <xdr:col>16</xdr:col>
                    <xdr:colOff>638175</xdr:colOff>
                    <xdr:row>158</xdr:row>
                    <xdr:rowOff>9525</xdr:rowOff>
                  </to>
                </anchor>
              </controlPr>
            </control>
          </mc:Choice>
        </mc:AlternateContent>
        <mc:AlternateContent xmlns:mc="http://schemas.openxmlformats.org/markup-compatibility/2006">
          <mc:Choice Requires="x14">
            <control shapeId="286954" r:id="rId478" name="Option Button 184554">
              <controlPr defaultSize="0" autoFill="0" autoLine="0" autoPict="0">
                <anchor moveWithCells="1">
                  <from>
                    <xdr:col>12</xdr:col>
                    <xdr:colOff>180975</xdr:colOff>
                    <xdr:row>137</xdr:row>
                    <xdr:rowOff>38100</xdr:rowOff>
                  </from>
                  <to>
                    <xdr:col>12</xdr:col>
                    <xdr:colOff>419100</xdr:colOff>
                    <xdr:row>141</xdr:row>
                    <xdr:rowOff>38100</xdr:rowOff>
                  </to>
                </anchor>
              </controlPr>
            </control>
          </mc:Choice>
        </mc:AlternateContent>
        <mc:AlternateContent xmlns:mc="http://schemas.openxmlformats.org/markup-compatibility/2006">
          <mc:Choice Requires="x14">
            <control shapeId="286955" r:id="rId479" name="Option Button 184555">
              <controlPr defaultSize="0" autoFill="0" autoLine="0" autoPict="0">
                <anchor moveWithCells="1">
                  <from>
                    <xdr:col>13</xdr:col>
                    <xdr:colOff>152400</xdr:colOff>
                    <xdr:row>137</xdr:row>
                    <xdr:rowOff>38100</xdr:rowOff>
                  </from>
                  <to>
                    <xdr:col>13</xdr:col>
                    <xdr:colOff>390525</xdr:colOff>
                    <xdr:row>141</xdr:row>
                    <xdr:rowOff>38100</xdr:rowOff>
                  </to>
                </anchor>
              </controlPr>
            </control>
          </mc:Choice>
        </mc:AlternateContent>
        <mc:AlternateContent xmlns:mc="http://schemas.openxmlformats.org/markup-compatibility/2006">
          <mc:Choice Requires="x14">
            <control shapeId="286956" r:id="rId480" name="Option Button 184556">
              <controlPr defaultSize="0" autoFill="0" autoLine="0" autoPict="0">
                <anchor moveWithCells="1">
                  <from>
                    <xdr:col>14</xdr:col>
                    <xdr:colOff>152400</xdr:colOff>
                    <xdr:row>137</xdr:row>
                    <xdr:rowOff>38100</xdr:rowOff>
                  </from>
                  <to>
                    <xdr:col>14</xdr:col>
                    <xdr:colOff>390525</xdr:colOff>
                    <xdr:row>141</xdr:row>
                    <xdr:rowOff>38100</xdr:rowOff>
                  </to>
                </anchor>
              </controlPr>
            </control>
          </mc:Choice>
        </mc:AlternateContent>
        <mc:AlternateContent xmlns:mc="http://schemas.openxmlformats.org/markup-compatibility/2006">
          <mc:Choice Requires="x14">
            <control shapeId="286957" r:id="rId481" name="Option Button 184557">
              <controlPr defaultSize="0" autoFill="0" autoLine="0" autoPict="0">
                <anchor moveWithCells="1">
                  <from>
                    <xdr:col>15</xdr:col>
                    <xdr:colOff>152400</xdr:colOff>
                    <xdr:row>137</xdr:row>
                    <xdr:rowOff>38100</xdr:rowOff>
                  </from>
                  <to>
                    <xdr:col>15</xdr:col>
                    <xdr:colOff>390525</xdr:colOff>
                    <xdr:row>141</xdr:row>
                    <xdr:rowOff>38100</xdr:rowOff>
                  </to>
                </anchor>
              </controlPr>
            </control>
          </mc:Choice>
        </mc:AlternateContent>
        <mc:AlternateContent xmlns:mc="http://schemas.openxmlformats.org/markup-compatibility/2006">
          <mc:Choice Requires="x14">
            <control shapeId="286958" r:id="rId482" name="Option Button 184558">
              <controlPr defaultSize="0" autoFill="0" autoLine="0" autoPict="0">
                <anchor moveWithCells="1">
                  <from>
                    <xdr:col>16</xdr:col>
                    <xdr:colOff>152400</xdr:colOff>
                    <xdr:row>137</xdr:row>
                    <xdr:rowOff>38100</xdr:rowOff>
                  </from>
                  <to>
                    <xdr:col>16</xdr:col>
                    <xdr:colOff>390525</xdr:colOff>
                    <xdr:row>141</xdr:row>
                    <xdr:rowOff>38100</xdr:rowOff>
                  </to>
                </anchor>
              </controlPr>
            </control>
          </mc:Choice>
        </mc:AlternateContent>
        <mc:AlternateContent xmlns:mc="http://schemas.openxmlformats.org/markup-compatibility/2006">
          <mc:Choice Requires="x14">
            <control shapeId="319418" r:id="rId483" name="Group Box 206778">
              <controlPr defaultSize="0" autoFill="0" autoPict="0">
                <anchor moveWithCells="1">
                  <from>
                    <xdr:col>12</xdr:col>
                    <xdr:colOff>0</xdr:colOff>
                    <xdr:row>178</xdr:row>
                    <xdr:rowOff>0</xdr:rowOff>
                  </from>
                  <to>
                    <xdr:col>17</xdr:col>
                    <xdr:colOff>0</xdr:colOff>
                    <xdr:row>179</xdr:row>
                    <xdr:rowOff>0</xdr:rowOff>
                  </to>
                </anchor>
              </controlPr>
            </control>
          </mc:Choice>
        </mc:AlternateContent>
        <mc:AlternateContent xmlns:mc="http://schemas.openxmlformats.org/markup-compatibility/2006">
          <mc:Choice Requires="x14">
            <control shapeId="319419" r:id="rId484" name="Option Button 206779">
              <controlPr defaultSize="0" autoFill="0" autoLine="0" autoPict="0">
                <anchor moveWithCells="1">
                  <from>
                    <xdr:col>12</xdr:col>
                    <xdr:colOff>180975</xdr:colOff>
                    <xdr:row>178</xdr:row>
                    <xdr:rowOff>419100</xdr:rowOff>
                  </from>
                  <to>
                    <xdr:col>12</xdr:col>
                    <xdr:colOff>419100</xdr:colOff>
                    <xdr:row>178</xdr:row>
                    <xdr:rowOff>609600</xdr:rowOff>
                  </to>
                </anchor>
              </controlPr>
            </control>
          </mc:Choice>
        </mc:AlternateContent>
        <mc:AlternateContent xmlns:mc="http://schemas.openxmlformats.org/markup-compatibility/2006">
          <mc:Choice Requires="x14">
            <control shapeId="319420" r:id="rId485" name="Option Button 206780">
              <controlPr defaultSize="0" autoFill="0" autoLine="0" autoPict="0">
                <anchor moveWithCells="1">
                  <from>
                    <xdr:col>13</xdr:col>
                    <xdr:colOff>152400</xdr:colOff>
                    <xdr:row>178</xdr:row>
                    <xdr:rowOff>419100</xdr:rowOff>
                  </from>
                  <to>
                    <xdr:col>13</xdr:col>
                    <xdr:colOff>390525</xdr:colOff>
                    <xdr:row>178</xdr:row>
                    <xdr:rowOff>609600</xdr:rowOff>
                  </to>
                </anchor>
              </controlPr>
            </control>
          </mc:Choice>
        </mc:AlternateContent>
        <mc:AlternateContent xmlns:mc="http://schemas.openxmlformats.org/markup-compatibility/2006">
          <mc:Choice Requires="x14">
            <control shapeId="319421" r:id="rId486" name="Option Button 206781">
              <controlPr defaultSize="0" autoFill="0" autoLine="0" autoPict="0">
                <anchor moveWithCells="1">
                  <from>
                    <xdr:col>14</xdr:col>
                    <xdr:colOff>152400</xdr:colOff>
                    <xdr:row>178</xdr:row>
                    <xdr:rowOff>419100</xdr:rowOff>
                  </from>
                  <to>
                    <xdr:col>14</xdr:col>
                    <xdr:colOff>390525</xdr:colOff>
                    <xdr:row>178</xdr:row>
                    <xdr:rowOff>609600</xdr:rowOff>
                  </to>
                </anchor>
              </controlPr>
            </control>
          </mc:Choice>
        </mc:AlternateContent>
        <mc:AlternateContent xmlns:mc="http://schemas.openxmlformats.org/markup-compatibility/2006">
          <mc:Choice Requires="x14">
            <control shapeId="319422" r:id="rId487" name="Option Button 206782">
              <controlPr defaultSize="0" autoFill="0" autoLine="0" autoPict="0">
                <anchor moveWithCells="1">
                  <from>
                    <xdr:col>15</xdr:col>
                    <xdr:colOff>152400</xdr:colOff>
                    <xdr:row>178</xdr:row>
                    <xdr:rowOff>419100</xdr:rowOff>
                  </from>
                  <to>
                    <xdr:col>15</xdr:col>
                    <xdr:colOff>390525</xdr:colOff>
                    <xdr:row>178</xdr:row>
                    <xdr:rowOff>609600</xdr:rowOff>
                  </to>
                </anchor>
              </controlPr>
            </control>
          </mc:Choice>
        </mc:AlternateContent>
        <mc:AlternateContent xmlns:mc="http://schemas.openxmlformats.org/markup-compatibility/2006">
          <mc:Choice Requires="x14">
            <control shapeId="319423" r:id="rId488" name="Option Button 206783">
              <controlPr defaultSize="0" autoFill="0" autoLine="0" autoPict="0">
                <anchor moveWithCells="1">
                  <from>
                    <xdr:col>16</xdr:col>
                    <xdr:colOff>152400</xdr:colOff>
                    <xdr:row>178</xdr:row>
                    <xdr:rowOff>419100</xdr:rowOff>
                  </from>
                  <to>
                    <xdr:col>16</xdr:col>
                    <xdr:colOff>390525</xdr:colOff>
                    <xdr:row>178</xdr:row>
                    <xdr:rowOff>609600</xdr:rowOff>
                  </to>
                </anchor>
              </controlPr>
            </control>
          </mc:Choice>
        </mc:AlternateContent>
        <mc:AlternateContent xmlns:mc="http://schemas.openxmlformats.org/markup-compatibility/2006">
          <mc:Choice Requires="x14">
            <control shapeId="407691" r:id="rId489" name="Group Box 263307">
              <controlPr defaultSize="0" autoFill="0" autoPict="0">
                <anchor moveWithCells="1">
                  <from>
                    <xdr:col>19</xdr:col>
                    <xdr:colOff>0</xdr:colOff>
                    <xdr:row>187</xdr:row>
                    <xdr:rowOff>0</xdr:rowOff>
                  </from>
                  <to>
                    <xdr:col>24</xdr:col>
                    <xdr:colOff>0</xdr:colOff>
                    <xdr:row>189</xdr:row>
                    <xdr:rowOff>0</xdr:rowOff>
                  </to>
                </anchor>
              </controlPr>
            </control>
          </mc:Choice>
        </mc:AlternateContent>
        <mc:AlternateContent xmlns:mc="http://schemas.openxmlformats.org/markup-compatibility/2006">
          <mc:Choice Requires="x14">
            <control shapeId="407692" r:id="rId490" name="Option Button 263308">
              <controlPr defaultSize="0" autoFill="0" autoLine="0" autoPict="0">
                <anchor moveWithCells="1">
                  <from>
                    <xdr:col>19</xdr:col>
                    <xdr:colOff>66675</xdr:colOff>
                    <xdr:row>187</xdr:row>
                    <xdr:rowOff>200025</xdr:rowOff>
                  </from>
                  <to>
                    <xdr:col>20</xdr:col>
                    <xdr:colOff>9525</xdr:colOff>
                    <xdr:row>188</xdr:row>
                    <xdr:rowOff>9525</xdr:rowOff>
                  </to>
                </anchor>
              </controlPr>
            </control>
          </mc:Choice>
        </mc:AlternateContent>
        <mc:AlternateContent xmlns:mc="http://schemas.openxmlformats.org/markup-compatibility/2006">
          <mc:Choice Requires="x14">
            <control shapeId="407693" r:id="rId491" name="Option Button 263309">
              <controlPr defaultSize="0" autoFill="0" autoLine="0" autoPict="0">
                <anchor moveWithCells="1">
                  <from>
                    <xdr:col>20</xdr:col>
                    <xdr:colOff>38100</xdr:colOff>
                    <xdr:row>187</xdr:row>
                    <xdr:rowOff>200025</xdr:rowOff>
                  </from>
                  <to>
                    <xdr:col>20</xdr:col>
                    <xdr:colOff>276225</xdr:colOff>
                    <xdr:row>188</xdr:row>
                    <xdr:rowOff>9525</xdr:rowOff>
                  </to>
                </anchor>
              </controlPr>
            </control>
          </mc:Choice>
        </mc:AlternateContent>
        <mc:AlternateContent xmlns:mc="http://schemas.openxmlformats.org/markup-compatibility/2006">
          <mc:Choice Requires="x14">
            <control shapeId="407694" r:id="rId492" name="Option Button 263310">
              <controlPr defaultSize="0" autoFill="0" autoLine="0" autoPict="0">
                <anchor moveWithCells="1">
                  <from>
                    <xdr:col>21</xdr:col>
                    <xdr:colOff>38100</xdr:colOff>
                    <xdr:row>187</xdr:row>
                    <xdr:rowOff>200025</xdr:rowOff>
                  </from>
                  <to>
                    <xdr:col>21</xdr:col>
                    <xdr:colOff>276225</xdr:colOff>
                    <xdr:row>188</xdr:row>
                    <xdr:rowOff>9525</xdr:rowOff>
                  </to>
                </anchor>
              </controlPr>
            </control>
          </mc:Choice>
        </mc:AlternateContent>
        <mc:AlternateContent xmlns:mc="http://schemas.openxmlformats.org/markup-compatibility/2006">
          <mc:Choice Requires="x14">
            <control shapeId="407695" r:id="rId493" name="Option Button 263311">
              <controlPr defaultSize="0" autoFill="0" autoLine="0" autoPict="0">
                <anchor moveWithCells="1">
                  <from>
                    <xdr:col>22</xdr:col>
                    <xdr:colOff>28575</xdr:colOff>
                    <xdr:row>187</xdr:row>
                    <xdr:rowOff>219075</xdr:rowOff>
                  </from>
                  <to>
                    <xdr:col>22</xdr:col>
                    <xdr:colOff>276225</xdr:colOff>
                    <xdr:row>188</xdr:row>
                    <xdr:rowOff>28575</xdr:rowOff>
                  </to>
                </anchor>
              </controlPr>
            </control>
          </mc:Choice>
        </mc:AlternateContent>
        <mc:AlternateContent xmlns:mc="http://schemas.openxmlformats.org/markup-compatibility/2006">
          <mc:Choice Requires="x14">
            <control shapeId="407696" r:id="rId494" name="Option Button 263312">
              <controlPr defaultSize="0" autoFill="0" autoLine="0" autoPict="0">
                <anchor moveWithCells="1">
                  <from>
                    <xdr:col>23</xdr:col>
                    <xdr:colOff>47625</xdr:colOff>
                    <xdr:row>187</xdr:row>
                    <xdr:rowOff>190500</xdr:rowOff>
                  </from>
                  <to>
                    <xdr:col>23</xdr:col>
                    <xdr:colOff>285750</xdr:colOff>
                    <xdr:row>188</xdr:row>
                    <xdr:rowOff>9525</xdr:rowOff>
                  </to>
                </anchor>
              </controlPr>
            </control>
          </mc:Choice>
        </mc:AlternateContent>
        <mc:AlternateContent xmlns:mc="http://schemas.openxmlformats.org/markup-compatibility/2006">
          <mc:Choice Requires="x14">
            <control shapeId="411763" r:id="rId495" name="Group Box 265331">
              <controlPr defaultSize="0" autoFill="0" autoPict="0">
                <anchor moveWithCells="1">
                  <from>
                    <xdr:col>19</xdr:col>
                    <xdr:colOff>0</xdr:colOff>
                    <xdr:row>189</xdr:row>
                    <xdr:rowOff>0</xdr:rowOff>
                  </from>
                  <to>
                    <xdr:col>24</xdr:col>
                    <xdr:colOff>0</xdr:colOff>
                    <xdr:row>191</xdr:row>
                    <xdr:rowOff>0</xdr:rowOff>
                  </to>
                </anchor>
              </controlPr>
            </control>
          </mc:Choice>
        </mc:AlternateContent>
        <mc:AlternateContent xmlns:mc="http://schemas.openxmlformats.org/markup-compatibility/2006">
          <mc:Choice Requires="x14">
            <control shapeId="411764" r:id="rId496" name="Option Button 265332">
              <controlPr defaultSize="0" autoFill="0" autoLine="0" autoPict="0">
                <anchor moveWithCells="1">
                  <from>
                    <xdr:col>19</xdr:col>
                    <xdr:colOff>66675</xdr:colOff>
                    <xdr:row>189</xdr:row>
                    <xdr:rowOff>200025</xdr:rowOff>
                  </from>
                  <to>
                    <xdr:col>20</xdr:col>
                    <xdr:colOff>9525</xdr:colOff>
                    <xdr:row>190</xdr:row>
                    <xdr:rowOff>9525</xdr:rowOff>
                  </to>
                </anchor>
              </controlPr>
            </control>
          </mc:Choice>
        </mc:AlternateContent>
        <mc:AlternateContent xmlns:mc="http://schemas.openxmlformats.org/markup-compatibility/2006">
          <mc:Choice Requires="x14">
            <control shapeId="411765" r:id="rId497" name="Option Button 265333">
              <controlPr defaultSize="0" autoFill="0" autoLine="0" autoPict="0">
                <anchor moveWithCells="1">
                  <from>
                    <xdr:col>20</xdr:col>
                    <xdr:colOff>38100</xdr:colOff>
                    <xdr:row>189</xdr:row>
                    <xdr:rowOff>200025</xdr:rowOff>
                  </from>
                  <to>
                    <xdr:col>20</xdr:col>
                    <xdr:colOff>276225</xdr:colOff>
                    <xdr:row>190</xdr:row>
                    <xdr:rowOff>9525</xdr:rowOff>
                  </to>
                </anchor>
              </controlPr>
            </control>
          </mc:Choice>
        </mc:AlternateContent>
        <mc:AlternateContent xmlns:mc="http://schemas.openxmlformats.org/markup-compatibility/2006">
          <mc:Choice Requires="x14">
            <control shapeId="411766" r:id="rId498" name="Option Button 265334">
              <controlPr defaultSize="0" autoFill="0" autoLine="0" autoPict="0">
                <anchor moveWithCells="1">
                  <from>
                    <xdr:col>21</xdr:col>
                    <xdr:colOff>38100</xdr:colOff>
                    <xdr:row>189</xdr:row>
                    <xdr:rowOff>200025</xdr:rowOff>
                  </from>
                  <to>
                    <xdr:col>21</xdr:col>
                    <xdr:colOff>276225</xdr:colOff>
                    <xdr:row>190</xdr:row>
                    <xdr:rowOff>9525</xdr:rowOff>
                  </to>
                </anchor>
              </controlPr>
            </control>
          </mc:Choice>
        </mc:AlternateContent>
        <mc:AlternateContent xmlns:mc="http://schemas.openxmlformats.org/markup-compatibility/2006">
          <mc:Choice Requires="x14">
            <control shapeId="411767" r:id="rId499" name="Option Button 265335">
              <controlPr defaultSize="0" autoFill="0" autoLine="0" autoPict="0">
                <anchor moveWithCells="1">
                  <from>
                    <xdr:col>22</xdr:col>
                    <xdr:colOff>28575</xdr:colOff>
                    <xdr:row>189</xdr:row>
                    <xdr:rowOff>219075</xdr:rowOff>
                  </from>
                  <to>
                    <xdr:col>22</xdr:col>
                    <xdr:colOff>276225</xdr:colOff>
                    <xdr:row>190</xdr:row>
                    <xdr:rowOff>28575</xdr:rowOff>
                  </to>
                </anchor>
              </controlPr>
            </control>
          </mc:Choice>
        </mc:AlternateContent>
        <mc:AlternateContent xmlns:mc="http://schemas.openxmlformats.org/markup-compatibility/2006">
          <mc:Choice Requires="x14">
            <control shapeId="411768" r:id="rId500" name="Option Button 265336">
              <controlPr defaultSize="0" autoFill="0" autoLine="0" autoPict="0">
                <anchor moveWithCells="1">
                  <from>
                    <xdr:col>23</xdr:col>
                    <xdr:colOff>47625</xdr:colOff>
                    <xdr:row>189</xdr:row>
                    <xdr:rowOff>190500</xdr:rowOff>
                  </from>
                  <to>
                    <xdr:col>23</xdr:col>
                    <xdr:colOff>285750</xdr:colOff>
                    <xdr:row>190</xdr:row>
                    <xdr:rowOff>9525</xdr:rowOff>
                  </to>
                </anchor>
              </controlPr>
            </control>
          </mc:Choice>
        </mc:AlternateContent>
        <mc:AlternateContent xmlns:mc="http://schemas.openxmlformats.org/markup-compatibility/2006">
          <mc:Choice Requires="x14">
            <control shapeId="411769" r:id="rId501" name="Group Box 265337">
              <controlPr defaultSize="0" autoFill="0" autoPict="0">
                <anchor moveWithCells="1">
                  <from>
                    <xdr:col>19</xdr:col>
                    <xdr:colOff>0</xdr:colOff>
                    <xdr:row>191</xdr:row>
                    <xdr:rowOff>0</xdr:rowOff>
                  </from>
                  <to>
                    <xdr:col>24</xdr:col>
                    <xdr:colOff>0</xdr:colOff>
                    <xdr:row>193</xdr:row>
                    <xdr:rowOff>0</xdr:rowOff>
                  </to>
                </anchor>
              </controlPr>
            </control>
          </mc:Choice>
        </mc:AlternateContent>
        <mc:AlternateContent xmlns:mc="http://schemas.openxmlformats.org/markup-compatibility/2006">
          <mc:Choice Requires="x14">
            <control shapeId="411770" r:id="rId502" name="Option Button 265338">
              <controlPr defaultSize="0" autoFill="0" autoLine="0" autoPict="0">
                <anchor moveWithCells="1">
                  <from>
                    <xdr:col>19</xdr:col>
                    <xdr:colOff>66675</xdr:colOff>
                    <xdr:row>191</xdr:row>
                    <xdr:rowOff>200025</xdr:rowOff>
                  </from>
                  <to>
                    <xdr:col>20</xdr:col>
                    <xdr:colOff>9525</xdr:colOff>
                    <xdr:row>192</xdr:row>
                    <xdr:rowOff>9525</xdr:rowOff>
                  </to>
                </anchor>
              </controlPr>
            </control>
          </mc:Choice>
        </mc:AlternateContent>
        <mc:AlternateContent xmlns:mc="http://schemas.openxmlformats.org/markup-compatibility/2006">
          <mc:Choice Requires="x14">
            <control shapeId="411771" r:id="rId503" name="Option Button 265339">
              <controlPr defaultSize="0" autoFill="0" autoLine="0" autoPict="0">
                <anchor moveWithCells="1">
                  <from>
                    <xdr:col>20</xdr:col>
                    <xdr:colOff>38100</xdr:colOff>
                    <xdr:row>191</xdr:row>
                    <xdr:rowOff>200025</xdr:rowOff>
                  </from>
                  <to>
                    <xdr:col>20</xdr:col>
                    <xdr:colOff>276225</xdr:colOff>
                    <xdr:row>192</xdr:row>
                    <xdr:rowOff>9525</xdr:rowOff>
                  </to>
                </anchor>
              </controlPr>
            </control>
          </mc:Choice>
        </mc:AlternateContent>
        <mc:AlternateContent xmlns:mc="http://schemas.openxmlformats.org/markup-compatibility/2006">
          <mc:Choice Requires="x14">
            <control shapeId="411772" r:id="rId504" name="Option Button 265340">
              <controlPr defaultSize="0" autoFill="0" autoLine="0" autoPict="0">
                <anchor moveWithCells="1">
                  <from>
                    <xdr:col>21</xdr:col>
                    <xdr:colOff>38100</xdr:colOff>
                    <xdr:row>191</xdr:row>
                    <xdr:rowOff>200025</xdr:rowOff>
                  </from>
                  <to>
                    <xdr:col>21</xdr:col>
                    <xdr:colOff>276225</xdr:colOff>
                    <xdr:row>192</xdr:row>
                    <xdr:rowOff>9525</xdr:rowOff>
                  </to>
                </anchor>
              </controlPr>
            </control>
          </mc:Choice>
        </mc:AlternateContent>
        <mc:AlternateContent xmlns:mc="http://schemas.openxmlformats.org/markup-compatibility/2006">
          <mc:Choice Requires="x14">
            <control shapeId="411773" r:id="rId505" name="Option Button 265341">
              <controlPr defaultSize="0" autoFill="0" autoLine="0" autoPict="0">
                <anchor moveWithCells="1">
                  <from>
                    <xdr:col>22</xdr:col>
                    <xdr:colOff>28575</xdr:colOff>
                    <xdr:row>191</xdr:row>
                    <xdr:rowOff>219075</xdr:rowOff>
                  </from>
                  <to>
                    <xdr:col>22</xdr:col>
                    <xdr:colOff>276225</xdr:colOff>
                    <xdr:row>192</xdr:row>
                    <xdr:rowOff>28575</xdr:rowOff>
                  </to>
                </anchor>
              </controlPr>
            </control>
          </mc:Choice>
        </mc:AlternateContent>
        <mc:AlternateContent xmlns:mc="http://schemas.openxmlformats.org/markup-compatibility/2006">
          <mc:Choice Requires="x14">
            <control shapeId="411774" r:id="rId506" name="Option Button 265342">
              <controlPr defaultSize="0" autoFill="0" autoLine="0" autoPict="0">
                <anchor moveWithCells="1">
                  <from>
                    <xdr:col>23</xdr:col>
                    <xdr:colOff>47625</xdr:colOff>
                    <xdr:row>191</xdr:row>
                    <xdr:rowOff>190500</xdr:rowOff>
                  </from>
                  <to>
                    <xdr:col>23</xdr:col>
                    <xdr:colOff>285750</xdr:colOff>
                    <xdr:row>192</xdr:row>
                    <xdr:rowOff>9525</xdr:rowOff>
                  </to>
                </anchor>
              </controlPr>
            </control>
          </mc:Choice>
        </mc:AlternateContent>
        <mc:AlternateContent xmlns:mc="http://schemas.openxmlformats.org/markup-compatibility/2006">
          <mc:Choice Requires="x14">
            <control shapeId="411775" r:id="rId507" name="Group Box 265343">
              <controlPr defaultSize="0" autoFill="0" autoPict="0">
                <anchor moveWithCells="1">
                  <from>
                    <xdr:col>19</xdr:col>
                    <xdr:colOff>0</xdr:colOff>
                    <xdr:row>193</xdr:row>
                    <xdr:rowOff>0</xdr:rowOff>
                  </from>
                  <to>
                    <xdr:col>24</xdr:col>
                    <xdr:colOff>0</xdr:colOff>
                    <xdr:row>195</xdr:row>
                    <xdr:rowOff>0</xdr:rowOff>
                  </to>
                </anchor>
              </controlPr>
            </control>
          </mc:Choice>
        </mc:AlternateContent>
        <mc:AlternateContent xmlns:mc="http://schemas.openxmlformats.org/markup-compatibility/2006">
          <mc:Choice Requires="x14">
            <control shapeId="411776" r:id="rId508" name="Option Button 265344">
              <controlPr defaultSize="0" autoFill="0" autoLine="0" autoPict="0">
                <anchor moveWithCells="1">
                  <from>
                    <xdr:col>19</xdr:col>
                    <xdr:colOff>66675</xdr:colOff>
                    <xdr:row>193</xdr:row>
                    <xdr:rowOff>200025</xdr:rowOff>
                  </from>
                  <to>
                    <xdr:col>20</xdr:col>
                    <xdr:colOff>9525</xdr:colOff>
                    <xdr:row>194</xdr:row>
                    <xdr:rowOff>9525</xdr:rowOff>
                  </to>
                </anchor>
              </controlPr>
            </control>
          </mc:Choice>
        </mc:AlternateContent>
        <mc:AlternateContent xmlns:mc="http://schemas.openxmlformats.org/markup-compatibility/2006">
          <mc:Choice Requires="x14">
            <control shapeId="411777" r:id="rId509" name="Option Button 265345">
              <controlPr defaultSize="0" autoFill="0" autoLine="0" autoPict="0">
                <anchor moveWithCells="1">
                  <from>
                    <xdr:col>20</xdr:col>
                    <xdr:colOff>38100</xdr:colOff>
                    <xdr:row>193</xdr:row>
                    <xdr:rowOff>200025</xdr:rowOff>
                  </from>
                  <to>
                    <xdr:col>20</xdr:col>
                    <xdr:colOff>276225</xdr:colOff>
                    <xdr:row>194</xdr:row>
                    <xdr:rowOff>9525</xdr:rowOff>
                  </to>
                </anchor>
              </controlPr>
            </control>
          </mc:Choice>
        </mc:AlternateContent>
        <mc:AlternateContent xmlns:mc="http://schemas.openxmlformats.org/markup-compatibility/2006">
          <mc:Choice Requires="x14">
            <control shapeId="411778" r:id="rId510" name="Option Button 265346">
              <controlPr defaultSize="0" autoFill="0" autoLine="0" autoPict="0">
                <anchor moveWithCells="1">
                  <from>
                    <xdr:col>21</xdr:col>
                    <xdr:colOff>38100</xdr:colOff>
                    <xdr:row>193</xdr:row>
                    <xdr:rowOff>200025</xdr:rowOff>
                  </from>
                  <to>
                    <xdr:col>21</xdr:col>
                    <xdr:colOff>276225</xdr:colOff>
                    <xdr:row>194</xdr:row>
                    <xdr:rowOff>9525</xdr:rowOff>
                  </to>
                </anchor>
              </controlPr>
            </control>
          </mc:Choice>
        </mc:AlternateContent>
        <mc:AlternateContent xmlns:mc="http://schemas.openxmlformats.org/markup-compatibility/2006">
          <mc:Choice Requires="x14">
            <control shapeId="411779" r:id="rId511" name="Option Button 265347">
              <controlPr defaultSize="0" autoFill="0" autoLine="0" autoPict="0">
                <anchor moveWithCells="1">
                  <from>
                    <xdr:col>22</xdr:col>
                    <xdr:colOff>28575</xdr:colOff>
                    <xdr:row>193</xdr:row>
                    <xdr:rowOff>219075</xdr:rowOff>
                  </from>
                  <to>
                    <xdr:col>22</xdr:col>
                    <xdr:colOff>276225</xdr:colOff>
                    <xdr:row>194</xdr:row>
                    <xdr:rowOff>28575</xdr:rowOff>
                  </to>
                </anchor>
              </controlPr>
            </control>
          </mc:Choice>
        </mc:AlternateContent>
        <mc:AlternateContent xmlns:mc="http://schemas.openxmlformats.org/markup-compatibility/2006">
          <mc:Choice Requires="x14">
            <control shapeId="411780" r:id="rId512" name="Option Button 265348">
              <controlPr defaultSize="0" autoFill="0" autoLine="0" autoPict="0">
                <anchor moveWithCells="1">
                  <from>
                    <xdr:col>23</xdr:col>
                    <xdr:colOff>47625</xdr:colOff>
                    <xdr:row>193</xdr:row>
                    <xdr:rowOff>190500</xdr:rowOff>
                  </from>
                  <to>
                    <xdr:col>23</xdr:col>
                    <xdr:colOff>285750</xdr:colOff>
                    <xdr:row>194</xdr:row>
                    <xdr:rowOff>9525</xdr:rowOff>
                  </to>
                </anchor>
              </controlPr>
            </control>
          </mc:Choice>
        </mc:AlternateContent>
        <mc:AlternateContent xmlns:mc="http://schemas.openxmlformats.org/markup-compatibility/2006">
          <mc:Choice Requires="x14">
            <control shapeId="471598" r:id="rId513" name="Group Box 305710">
              <controlPr defaultSize="0" autoFill="0" autoPict="0">
                <anchor moveWithCells="1">
                  <from>
                    <xdr:col>12</xdr:col>
                    <xdr:colOff>0</xdr:colOff>
                    <xdr:row>177</xdr:row>
                    <xdr:rowOff>0</xdr:rowOff>
                  </from>
                  <to>
                    <xdr:col>17</xdr:col>
                    <xdr:colOff>0</xdr:colOff>
                    <xdr:row>178</xdr:row>
                    <xdr:rowOff>0</xdr:rowOff>
                  </to>
                </anchor>
              </controlPr>
            </control>
          </mc:Choice>
        </mc:AlternateContent>
        <mc:AlternateContent xmlns:mc="http://schemas.openxmlformats.org/markup-compatibility/2006">
          <mc:Choice Requires="x14">
            <control shapeId="602430" r:id="rId514" name="Group Box 394558">
              <controlPr defaultSize="0" autoFill="0" autoPict="0">
                <anchor moveWithCells="1">
                  <from>
                    <xdr:col>11</xdr:col>
                    <xdr:colOff>0</xdr:colOff>
                    <xdr:row>226</xdr:row>
                    <xdr:rowOff>9525</xdr:rowOff>
                  </from>
                  <to>
                    <xdr:col>16</xdr:col>
                    <xdr:colOff>0</xdr:colOff>
                    <xdr:row>226</xdr:row>
                    <xdr:rowOff>381000</xdr:rowOff>
                  </to>
                </anchor>
              </controlPr>
            </control>
          </mc:Choice>
        </mc:AlternateContent>
        <mc:AlternateContent xmlns:mc="http://schemas.openxmlformats.org/markup-compatibility/2006">
          <mc:Choice Requires="x14">
            <control shapeId="602431" r:id="rId515" name="Option Button 394559">
              <controlPr defaultSize="0" autoFill="0" autoLine="0" autoPict="0">
                <anchor moveWithCells="1">
                  <from>
                    <xdr:col>11</xdr:col>
                    <xdr:colOff>200025</xdr:colOff>
                    <xdr:row>226</xdr:row>
                    <xdr:rowOff>114300</xdr:rowOff>
                  </from>
                  <to>
                    <xdr:col>11</xdr:col>
                    <xdr:colOff>438150</xdr:colOff>
                    <xdr:row>226</xdr:row>
                    <xdr:rowOff>295275</xdr:rowOff>
                  </to>
                </anchor>
              </controlPr>
            </control>
          </mc:Choice>
        </mc:AlternateContent>
        <mc:AlternateContent xmlns:mc="http://schemas.openxmlformats.org/markup-compatibility/2006">
          <mc:Choice Requires="x14">
            <control shapeId="602432" r:id="rId516" name="Option Button 394560">
              <controlPr defaultSize="0" autoFill="0" autoLine="0" autoPict="0">
                <anchor moveWithCells="1">
                  <from>
                    <xdr:col>12</xdr:col>
                    <xdr:colOff>200025</xdr:colOff>
                    <xdr:row>226</xdr:row>
                    <xdr:rowOff>114300</xdr:rowOff>
                  </from>
                  <to>
                    <xdr:col>12</xdr:col>
                    <xdr:colOff>438150</xdr:colOff>
                    <xdr:row>226</xdr:row>
                    <xdr:rowOff>295275</xdr:rowOff>
                  </to>
                </anchor>
              </controlPr>
            </control>
          </mc:Choice>
        </mc:AlternateContent>
        <mc:AlternateContent xmlns:mc="http://schemas.openxmlformats.org/markup-compatibility/2006">
          <mc:Choice Requires="x14">
            <control shapeId="602433" r:id="rId517" name="Option Button 394561">
              <controlPr defaultSize="0" autoFill="0" autoLine="0" autoPict="0">
                <anchor moveWithCells="1">
                  <from>
                    <xdr:col>13</xdr:col>
                    <xdr:colOff>200025</xdr:colOff>
                    <xdr:row>226</xdr:row>
                    <xdr:rowOff>114300</xdr:rowOff>
                  </from>
                  <to>
                    <xdr:col>13</xdr:col>
                    <xdr:colOff>438150</xdr:colOff>
                    <xdr:row>226</xdr:row>
                    <xdr:rowOff>295275</xdr:rowOff>
                  </to>
                </anchor>
              </controlPr>
            </control>
          </mc:Choice>
        </mc:AlternateContent>
        <mc:AlternateContent xmlns:mc="http://schemas.openxmlformats.org/markup-compatibility/2006">
          <mc:Choice Requires="x14">
            <control shapeId="602434" r:id="rId518" name="Option Button 394562">
              <controlPr defaultSize="0" autoFill="0" autoLine="0" autoPict="0">
                <anchor moveWithCells="1">
                  <from>
                    <xdr:col>14</xdr:col>
                    <xdr:colOff>200025</xdr:colOff>
                    <xdr:row>226</xdr:row>
                    <xdr:rowOff>114300</xdr:rowOff>
                  </from>
                  <to>
                    <xdr:col>14</xdr:col>
                    <xdr:colOff>438150</xdr:colOff>
                    <xdr:row>226</xdr:row>
                    <xdr:rowOff>295275</xdr:rowOff>
                  </to>
                </anchor>
              </controlPr>
            </control>
          </mc:Choice>
        </mc:AlternateContent>
        <mc:AlternateContent xmlns:mc="http://schemas.openxmlformats.org/markup-compatibility/2006">
          <mc:Choice Requires="x14">
            <control shapeId="602435" r:id="rId519" name="Group Box 394563">
              <controlPr defaultSize="0" autoFill="0" autoPict="0">
                <anchor moveWithCells="1">
                  <from>
                    <xdr:col>11</xdr:col>
                    <xdr:colOff>0</xdr:colOff>
                    <xdr:row>209</xdr:row>
                    <xdr:rowOff>171450</xdr:rowOff>
                  </from>
                  <to>
                    <xdr:col>16</xdr:col>
                    <xdr:colOff>0</xdr:colOff>
                    <xdr:row>210</xdr:row>
                    <xdr:rowOff>381000</xdr:rowOff>
                  </to>
                </anchor>
              </controlPr>
            </control>
          </mc:Choice>
        </mc:AlternateContent>
        <mc:AlternateContent xmlns:mc="http://schemas.openxmlformats.org/markup-compatibility/2006">
          <mc:Choice Requires="x14">
            <control shapeId="602436" r:id="rId520" name="Option Button 394564">
              <controlPr defaultSize="0" autoFill="0" autoLine="0" autoPict="0">
                <anchor moveWithCells="1">
                  <from>
                    <xdr:col>11</xdr:col>
                    <xdr:colOff>200025</xdr:colOff>
                    <xdr:row>210</xdr:row>
                    <xdr:rowOff>104775</xdr:rowOff>
                  </from>
                  <to>
                    <xdr:col>11</xdr:col>
                    <xdr:colOff>438150</xdr:colOff>
                    <xdr:row>210</xdr:row>
                    <xdr:rowOff>285750</xdr:rowOff>
                  </to>
                </anchor>
              </controlPr>
            </control>
          </mc:Choice>
        </mc:AlternateContent>
        <mc:AlternateContent xmlns:mc="http://schemas.openxmlformats.org/markup-compatibility/2006">
          <mc:Choice Requires="x14">
            <control shapeId="602437" r:id="rId521" name="Option Button 394565">
              <controlPr defaultSize="0" autoFill="0" autoLine="0" autoPict="0">
                <anchor moveWithCells="1">
                  <from>
                    <xdr:col>12</xdr:col>
                    <xdr:colOff>200025</xdr:colOff>
                    <xdr:row>210</xdr:row>
                    <xdr:rowOff>104775</xdr:rowOff>
                  </from>
                  <to>
                    <xdr:col>12</xdr:col>
                    <xdr:colOff>438150</xdr:colOff>
                    <xdr:row>210</xdr:row>
                    <xdr:rowOff>285750</xdr:rowOff>
                  </to>
                </anchor>
              </controlPr>
            </control>
          </mc:Choice>
        </mc:AlternateContent>
        <mc:AlternateContent xmlns:mc="http://schemas.openxmlformats.org/markup-compatibility/2006">
          <mc:Choice Requires="x14">
            <control shapeId="602438" r:id="rId522" name="Option Button 394566">
              <controlPr defaultSize="0" autoFill="0" autoLine="0" autoPict="0">
                <anchor moveWithCells="1">
                  <from>
                    <xdr:col>13</xdr:col>
                    <xdr:colOff>200025</xdr:colOff>
                    <xdr:row>210</xdr:row>
                    <xdr:rowOff>104775</xdr:rowOff>
                  </from>
                  <to>
                    <xdr:col>13</xdr:col>
                    <xdr:colOff>438150</xdr:colOff>
                    <xdr:row>210</xdr:row>
                    <xdr:rowOff>285750</xdr:rowOff>
                  </to>
                </anchor>
              </controlPr>
            </control>
          </mc:Choice>
        </mc:AlternateContent>
        <mc:AlternateContent xmlns:mc="http://schemas.openxmlformats.org/markup-compatibility/2006">
          <mc:Choice Requires="x14">
            <control shapeId="602439" r:id="rId523" name="Option Button 394567">
              <controlPr defaultSize="0" autoFill="0" autoLine="0" autoPict="0">
                <anchor moveWithCells="1">
                  <from>
                    <xdr:col>14</xdr:col>
                    <xdr:colOff>200025</xdr:colOff>
                    <xdr:row>210</xdr:row>
                    <xdr:rowOff>104775</xdr:rowOff>
                  </from>
                  <to>
                    <xdr:col>14</xdr:col>
                    <xdr:colOff>438150</xdr:colOff>
                    <xdr:row>210</xdr:row>
                    <xdr:rowOff>285750</xdr:rowOff>
                  </to>
                </anchor>
              </controlPr>
            </control>
          </mc:Choice>
        </mc:AlternateContent>
        <mc:AlternateContent xmlns:mc="http://schemas.openxmlformats.org/markup-compatibility/2006">
          <mc:Choice Requires="x14">
            <control shapeId="602440" r:id="rId524" name="Group Box 394568">
              <controlPr defaultSize="0" autoFill="0" autoPict="0">
                <anchor moveWithCells="1">
                  <from>
                    <xdr:col>11</xdr:col>
                    <xdr:colOff>0</xdr:colOff>
                    <xdr:row>210</xdr:row>
                    <xdr:rowOff>381000</xdr:rowOff>
                  </from>
                  <to>
                    <xdr:col>16</xdr:col>
                    <xdr:colOff>0</xdr:colOff>
                    <xdr:row>211</xdr:row>
                    <xdr:rowOff>381000</xdr:rowOff>
                  </to>
                </anchor>
              </controlPr>
            </control>
          </mc:Choice>
        </mc:AlternateContent>
        <mc:AlternateContent xmlns:mc="http://schemas.openxmlformats.org/markup-compatibility/2006">
          <mc:Choice Requires="x14">
            <control shapeId="602441" r:id="rId525" name="Option Button 394569">
              <controlPr defaultSize="0" autoFill="0" autoLine="0" autoPict="0">
                <anchor moveWithCells="1">
                  <from>
                    <xdr:col>11</xdr:col>
                    <xdr:colOff>200025</xdr:colOff>
                    <xdr:row>211</xdr:row>
                    <xdr:rowOff>104775</xdr:rowOff>
                  </from>
                  <to>
                    <xdr:col>11</xdr:col>
                    <xdr:colOff>438150</xdr:colOff>
                    <xdr:row>211</xdr:row>
                    <xdr:rowOff>285750</xdr:rowOff>
                  </to>
                </anchor>
              </controlPr>
            </control>
          </mc:Choice>
        </mc:AlternateContent>
        <mc:AlternateContent xmlns:mc="http://schemas.openxmlformats.org/markup-compatibility/2006">
          <mc:Choice Requires="x14">
            <control shapeId="602442" r:id="rId526" name="Option Button 394570">
              <controlPr defaultSize="0" autoFill="0" autoLine="0" autoPict="0">
                <anchor moveWithCells="1">
                  <from>
                    <xdr:col>12</xdr:col>
                    <xdr:colOff>200025</xdr:colOff>
                    <xdr:row>211</xdr:row>
                    <xdr:rowOff>104775</xdr:rowOff>
                  </from>
                  <to>
                    <xdr:col>12</xdr:col>
                    <xdr:colOff>438150</xdr:colOff>
                    <xdr:row>211</xdr:row>
                    <xdr:rowOff>285750</xdr:rowOff>
                  </to>
                </anchor>
              </controlPr>
            </control>
          </mc:Choice>
        </mc:AlternateContent>
        <mc:AlternateContent xmlns:mc="http://schemas.openxmlformats.org/markup-compatibility/2006">
          <mc:Choice Requires="x14">
            <control shapeId="602443" r:id="rId527" name="Option Button 394571">
              <controlPr defaultSize="0" autoFill="0" autoLine="0" autoPict="0">
                <anchor moveWithCells="1">
                  <from>
                    <xdr:col>13</xdr:col>
                    <xdr:colOff>200025</xdr:colOff>
                    <xdr:row>211</xdr:row>
                    <xdr:rowOff>104775</xdr:rowOff>
                  </from>
                  <to>
                    <xdr:col>13</xdr:col>
                    <xdr:colOff>438150</xdr:colOff>
                    <xdr:row>211</xdr:row>
                    <xdr:rowOff>285750</xdr:rowOff>
                  </to>
                </anchor>
              </controlPr>
            </control>
          </mc:Choice>
        </mc:AlternateContent>
        <mc:AlternateContent xmlns:mc="http://schemas.openxmlformats.org/markup-compatibility/2006">
          <mc:Choice Requires="x14">
            <control shapeId="602444" r:id="rId528" name="Option Button 394572">
              <controlPr defaultSize="0" autoFill="0" autoLine="0" autoPict="0">
                <anchor moveWithCells="1">
                  <from>
                    <xdr:col>14</xdr:col>
                    <xdr:colOff>200025</xdr:colOff>
                    <xdr:row>211</xdr:row>
                    <xdr:rowOff>104775</xdr:rowOff>
                  </from>
                  <to>
                    <xdr:col>14</xdr:col>
                    <xdr:colOff>438150</xdr:colOff>
                    <xdr:row>211</xdr:row>
                    <xdr:rowOff>285750</xdr:rowOff>
                  </to>
                </anchor>
              </controlPr>
            </control>
          </mc:Choice>
        </mc:AlternateContent>
        <mc:AlternateContent xmlns:mc="http://schemas.openxmlformats.org/markup-compatibility/2006">
          <mc:Choice Requires="x14">
            <control shapeId="602445" r:id="rId529" name="Group Box 394573">
              <controlPr defaultSize="0" autoFill="0" autoPict="0">
                <anchor moveWithCells="1">
                  <from>
                    <xdr:col>11</xdr:col>
                    <xdr:colOff>0</xdr:colOff>
                    <xdr:row>211</xdr:row>
                    <xdr:rowOff>381000</xdr:rowOff>
                  </from>
                  <to>
                    <xdr:col>16</xdr:col>
                    <xdr:colOff>0</xdr:colOff>
                    <xdr:row>212</xdr:row>
                    <xdr:rowOff>381000</xdr:rowOff>
                  </to>
                </anchor>
              </controlPr>
            </control>
          </mc:Choice>
        </mc:AlternateContent>
        <mc:AlternateContent xmlns:mc="http://schemas.openxmlformats.org/markup-compatibility/2006">
          <mc:Choice Requires="x14">
            <control shapeId="602446" r:id="rId530" name="Option Button 394574">
              <controlPr defaultSize="0" autoFill="0" autoLine="0" autoPict="0">
                <anchor moveWithCells="1">
                  <from>
                    <xdr:col>11</xdr:col>
                    <xdr:colOff>200025</xdr:colOff>
                    <xdr:row>212</xdr:row>
                    <xdr:rowOff>104775</xdr:rowOff>
                  </from>
                  <to>
                    <xdr:col>11</xdr:col>
                    <xdr:colOff>438150</xdr:colOff>
                    <xdr:row>212</xdr:row>
                    <xdr:rowOff>285750</xdr:rowOff>
                  </to>
                </anchor>
              </controlPr>
            </control>
          </mc:Choice>
        </mc:AlternateContent>
        <mc:AlternateContent xmlns:mc="http://schemas.openxmlformats.org/markup-compatibility/2006">
          <mc:Choice Requires="x14">
            <control shapeId="602447" r:id="rId531" name="Option Button 394575">
              <controlPr defaultSize="0" autoFill="0" autoLine="0" autoPict="0">
                <anchor moveWithCells="1">
                  <from>
                    <xdr:col>12</xdr:col>
                    <xdr:colOff>200025</xdr:colOff>
                    <xdr:row>212</xdr:row>
                    <xdr:rowOff>104775</xdr:rowOff>
                  </from>
                  <to>
                    <xdr:col>12</xdr:col>
                    <xdr:colOff>438150</xdr:colOff>
                    <xdr:row>212</xdr:row>
                    <xdr:rowOff>285750</xdr:rowOff>
                  </to>
                </anchor>
              </controlPr>
            </control>
          </mc:Choice>
        </mc:AlternateContent>
        <mc:AlternateContent xmlns:mc="http://schemas.openxmlformats.org/markup-compatibility/2006">
          <mc:Choice Requires="x14">
            <control shapeId="602448" r:id="rId532" name="Option Button 394576">
              <controlPr defaultSize="0" autoFill="0" autoLine="0" autoPict="0">
                <anchor moveWithCells="1">
                  <from>
                    <xdr:col>13</xdr:col>
                    <xdr:colOff>200025</xdr:colOff>
                    <xdr:row>212</xdr:row>
                    <xdr:rowOff>104775</xdr:rowOff>
                  </from>
                  <to>
                    <xdr:col>13</xdr:col>
                    <xdr:colOff>438150</xdr:colOff>
                    <xdr:row>212</xdr:row>
                    <xdr:rowOff>285750</xdr:rowOff>
                  </to>
                </anchor>
              </controlPr>
            </control>
          </mc:Choice>
        </mc:AlternateContent>
        <mc:AlternateContent xmlns:mc="http://schemas.openxmlformats.org/markup-compatibility/2006">
          <mc:Choice Requires="x14">
            <control shapeId="602449" r:id="rId533" name="Option Button 394577">
              <controlPr defaultSize="0" autoFill="0" autoLine="0" autoPict="0">
                <anchor moveWithCells="1">
                  <from>
                    <xdr:col>14</xdr:col>
                    <xdr:colOff>200025</xdr:colOff>
                    <xdr:row>212</xdr:row>
                    <xdr:rowOff>104775</xdr:rowOff>
                  </from>
                  <to>
                    <xdr:col>14</xdr:col>
                    <xdr:colOff>438150</xdr:colOff>
                    <xdr:row>212</xdr:row>
                    <xdr:rowOff>285750</xdr:rowOff>
                  </to>
                </anchor>
              </controlPr>
            </control>
          </mc:Choice>
        </mc:AlternateContent>
        <mc:AlternateContent xmlns:mc="http://schemas.openxmlformats.org/markup-compatibility/2006">
          <mc:Choice Requires="x14">
            <control shapeId="602450" r:id="rId534" name="Group Box 394578">
              <controlPr defaultSize="0" autoFill="0" autoPict="0">
                <anchor moveWithCells="1">
                  <from>
                    <xdr:col>11</xdr:col>
                    <xdr:colOff>0</xdr:colOff>
                    <xdr:row>212</xdr:row>
                    <xdr:rowOff>381000</xdr:rowOff>
                  </from>
                  <to>
                    <xdr:col>16</xdr:col>
                    <xdr:colOff>0</xdr:colOff>
                    <xdr:row>213</xdr:row>
                    <xdr:rowOff>381000</xdr:rowOff>
                  </to>
                </anchor>
              </controlPr>
            </control>
          </mc:Choice>
        </mc:AlternateContent>
        <mc:AlternateContent xmlns:mc="http://schemas.openxmlformats.org/markup-compatibility/2006">
          <mc:Choice Requires="x14">
            <control shapeId="602451" r:id="rId535" name="Option Button 394579">
              <controlPr defaultSize="0" autoFill="0" autoLine="0" autoPict="0">
                <anchor moveWithCells="1">
                  <from>
                    <xdr:col>11</xdr:col>
                    <xdr:colOff>200025</xdr:colOff>
                    <xdr:row>213</xdr:row>
                    <xdr:rowOff>104775</xdr:rowOff>
                  </from>
                  <to>
                    <xdr:col>11</xdr:col>
                    <xdr:colOff>438150</xdr:colOff>
                    <xdr:row>213</xdr:row>
                    <xdr:rowOff>285750</xdr:rowOff>
                  </to>
                </anchor>
              </controlPr>
            </control>
          </mc:Choice>
        </mc:AlternateContent>
        <mc:AlternateContent xmlns:mc="http://schemas.openxmlformats.org/markup-compatibility/2006">
          <mc:Choice Requires="x14">
            <control shapeId="602452" r:id="rId536" name="Option Button 394580">
              <controlPr defaultSize="0" autoFill="0" autoLine="0" autoPict="0">
                <anchor moveWithCells="1">
                  <from>
                    <xdr:col>12</xdr:col>
                    <xdr:colOff>200025</xdr:colOff>
                    <xdr:row>213</xdr:row>
                    <xdr:rowOff>104775</xdr:rowOff>
                  </from>
                  <to>
                    <xdr:col>12</xdr:col>
                    <xdr:colOff>438150</xdr:colOff>
                    <xdr:row>213</xdr:row>
                    <xdr:rowOff>285750</xdr:rowOff>
                  </to>
                </anchor>
              </controlPr>
            </control>
          </mc:Choice>
        </mc:AlternateContent>
        <mc:AlternateContent xmlns:mc="http://schemas.openxmlformats.org/markup-compatibility/2006">
          <mc:Choice Requires="x14">
            <control shapeId="602453" r:id="rId537" name="Option Button 394581">
              <controlPr defaultSize="0" autoFill="0" autoLine="0" autoPict="0">
                <anchor moveWithCells="1">
                  <from>
                    <xdr:col>13</xdr:col>
                    <xdr:colOff>200025</xdr:colOff>
                    <xdr:row>213</xdr:row>
                    <xdr:rowOff>104775</xdr:rowOff>
                  </from>
                  <to>
                    <xdr:col>13</xdr:col>
                    <xdr:colOff>438150</xdr:colOff>
                    <xdr:row>213</xdr:row>
                    <xdr:rowOff>285750</xdr:rowOff>
                  </to>
                </anchor>
              </controlPr>
            </control>
          </mc:Choice>
        </mc:AlternateContent>
        <mc:AlternateContent xmlns:mc="http://schemas.openxmlformats.org/markup-compatibility/2006">
          <mc:Choice Requires="x14">
            <control shapeId="602454" r:id="rId538" name="Option Button 394582">
              <controlPr defaultSize="0" autoFill="0" autoLine="0" autoPict="0">
                <anchor moveWithCells="1">
                  <from>
                    <xdr:col>14</xdr:col>
                    <xdr:colOff>200025</xdr:colOff>
                    <xdr:row>213</xdr:row>
                    <xdr:rowOff>104775</xdr:rowOff>
                  </from>
                  <to>
                    <xdr:col>14</xdr:col>
                    <xdr:colOff>438150</xdr:colOff>
                    <xdr:row>213</xdr:row>
                    <xdr:rowOff>285750</xdr:rowOff>
                  </to>
                </anchor>
              </controlPr>
            </control>
          </mc:Choice>
        </mc:AlternateContent>
        <mc:AlternateContent xmlns:mc="http://schemas.openxmlformats.org/markup-compatibility/2006">
          <mc:Choice Requires="x14">
            <control shapeId="602455" r:id="rId539" name="Group Box 394583">
              <controlPr defaultSize="0" autoFill="0" autoPict="0">
                <anchor moveWithCells="1">
                  <from>
                    <xdr:col>11</xdr:col>
                    <xdr:colOff>0</xdr:colOff>
                    <xdr:row>214</xdr:row>
                    <xdr:rowOff>171450</xdr:rowOff>
                  </from>
                  <to>
                    <xdr:col>16</xdr:col>
                    <xdr:colOff>0</xdr:colOff>
                    <xdr:row>215</xdr:row>
                    <xdr:rowOff>381000</xdr:rowOff>
                  </to>
                </anchor>
              </controlPr>
            </control>
          </mc:Choice>
        </mc:AlternateContent>
        <mc:AlternateContent xmlns:mc="http://schemas.openxmlformats.org/markup-compatibility/2006">
          <mc:Choice Requires="x14">
            <control shapeId="602456" r:id="rId540" name="Option Button 394584">
              <controlPr defaultSize="0" autoFill="0" autoLine="0" autoPict="0">
                <anchor moveWithCells="1">
                  <from>
                    <xdr:col>11</xdr:col>
                    <xdr:colOff>200025</xdr:colOff>
                    <xdr:row>215</xdr:row>
                    <xdr:rowOff>114300</xdr:rowOff>
                  </from>
                  <to>
                    <xdr:col>11</xdr:col>
                    <xdr:colOff>438150</xdr:colOff>
                    <xdr:row>215</xdr:row>
                    <xdr:rowOff>295275</xdr:rowOff>
                  </to>
                </anchor>
              </controlPr>
            </control>
          </mc:Choice>
        </mc:AlternateContent>
        <mc:AlternateContent xmlns:mc="http://schemas.openxmlformats.org/markup-compatibility/2006">
          <mc:Choice Requires="x14">
            <control shapeId="602457" r:id="rId541" name="Option Button 394585">
              <controlPr defaultSize="0" autoFill="0" autoLine="0" autoPict="0">
                <anchor moveWithCells="1">
                  <from>
                    <xdr:col>12</xdr:col>
                    <xdr:colOff>200025</xdr:colOff>
                    <xdr:row>215</xdr:row>
                    <xdr:rowOff>114300</xdr:rowOff>
                  </from>
                  <to>
                    <xdr:col>12</xdr:col>
                    <xdr:colOff>438150</xdr:colOff>
                    <xdr:row>215</xdr:row>
                    <xdr:rowOff>295275</xdr:rowOff>
                  </to>
                </anchor>
              </controlPr>
            </control>
          </mc:Choice>
        </mc:AlternateContent>
        <mc:AlternateContent xmlns:mc="http://schemas.openxmlformats.org/markup-compatibility/2006">
          <mc:Choice Requires="x14">
            <control shapeId="602458" r:id="rId542" name="Option Button 394586">
              <controlPr defaultSize="0" autoFill="0" autoLine="0" autoPict="0">
                <anchor moveWithCells="1">
                  <from>
                    <xdr:col>13</xdr:col>
                    <xdr:colOff>200025</xdr:colOff>
                    <xdr:row>215</xdr:row>
                    <xdr:rowOff>114300</xdr:rowOff>
                  </from>
                  <to>
                    <xdr:col>13</xdr:col>
                    <xdr:colOff>438150</xdr:colOff>
                    <xdr:row>215</xdr:row>
                    <xdr:rowOff>295275</xdr:rowOff>
                  </to>
                </anchor>
              </controlPr>
            </control>
          </mc:Choice>
        </mc:AlternateContent>
        <mc:AlternateContent xmlns:mc="http://schemas.openxmlformats.org/markup-compatibility/2006">
          <mc:Choice Requires="x14">
            <control shapeId="602459" r:id="rId543" name="Option Button 394587">
              <controlPr defaultSize="0" autoFill="0" autoLine="0" autoPict="0">
                <anchor moveWithCells="1">
                  <from>
                    <xdr:col>14</xdr:col>
                    <xdr:colOff>200025</xdr:colOff>
                    <xdr:row>215</xdr:row>
                    <xdr:rowOff>114300</xdr:rowOff>
                  </from>
                  <to>
                    <xdr:col>14</xdr:col>
                    <xdr:colOff>438150</xdr:colOff>
                    <xdr:row>215</xdr:row>
                    <xdr:rowOff>295275</xdr:rowOff>
                  </to>
                </anchor>
              </controlPr>
            </control>
          </mc:Choice>
        </mc:AlternateContent>
        <mc:AlternateContent xmlns:mc="http://schemas.openxmlformats.org/markup-compatibility/2006">
          <mc:Choice Requires="x14">
            <control shapeId="602460" r:id="rId544" name="Group Box 394588">
              <controlPr defaultSize="0" autoFill="0" autoPict="0">
                <anchor moveWithCells="1">
                  <from>
                    <xdr:col>11</xdr:col>
                    <xdr:colOff>0</xdr:colOff>
                    <xdr:row>215</xdr:row>
                    <xdr:rowOff>381000</xdr:rowOff>
                  </from>
                  <to>
                    <xdr:col>16</xdr:col>
                    <xdr:colOff>0</xdr:colOff>
                    <xdr:row>216</xdr:row>
                    <xdr:rowOff>381000</xdr:rowOff>
                  </to>
                </anchor>
              </controlPr>
            </control>
          </mc:Choice>
        </mc:AlternateContent>
        <mc:AlternateContent xmlns:mc="http://schemas.openxmlformats.org/markup-compatibility/2006">
          <mc:Choice Requires="x14">
            <control shapeId="602461" r:id="rId545" name="Option Button 394589">
              <controlPr defaultSize="0" autoFill="0" autoLine="0" autoPict="0">
                <anchor moveWithCells="1">
                  <from>
                    <xdr:col>11</xdr:col>
                    <xdr:colOff>200025</xdr:colOff>
                    <xdr:row>216</xdr:row>
                    <xdr:rowOff>114300</xdr:rowOff>
                  </from>
                  <to>
                    <xdr:col>11</xdr:col>
                    <xdr:colOff>438150</xdr:colOff>
                    <xdr:row>216</xdr:row>
                    <xdr:rowOff>295275</xdr:rowOff>
                  </to>
                </anchor>
              </controlPr>
            </control>
          </mc:Choice>
        </mc:AlternateContent>
        <mc:AlternateContent xmlns:mc="http://schemas.openxmlformats.org/markup-compatibility/2006">
          <mc:Choice Requires="x14">
            <control shapeId="602462" r:id="rId546" name="Option Button 394590">
              <controlPr defaultSize="0" autoFill="0" autoLine="0" autoPict="0">
                <anchor moveWithCells="1">
                  <from>
                    <xdr:col>12</xdr:col>
                    <xdr:colOff>200025</xdr:colOff>
                    <xdr:row>216</xdr:row>
                    <xdr:rowOff>114300</xdr:rowOff>
                  </from>
                  <to>
                    <xdr:col>12</xdr:col>
                    <xdr:colOff>438150</xdr:colOff>
                    <xdr:row>216</xdr:row>
                    <xdr:rowOff>295275</xdr:rowOff>
                  </to>
                </anchor>
              </controlPr>
            </control>
          </mc:Choice>
        </mc:AlternateContent>
        <mc:AlternateContent xmlns:mc="http://schemas.openxmlformats.org/markup-compatibility/2006">
          <mc:Choice Requires="x14">
            <control shapeId="602463" r:id="rId547" name="Option Button 394591">
              <controlPr defaultSize="0" autoFill="0" autoLine="0" autoPict="0">
                <anchor moveWithCells="1">
                  <from>
                    <xdr:col>13</xdr:col>
                    <xdr:colOff>200025</xdr:colOff>
                    <xdr:row>216</xdr:row>
                    <xdr:rowOff>114300</xdr:rowOff>
                  </from>
                  <to>
                    <xdr:col>13</xdr:col>
                    <xdr:colOff>438150</xdr:colOff>
                    <xdr:row>216</xdr:row>
                    <xdr:rowOff>295275</xdr:rowOff>
                  </to>
                </anchor>
              </controlPr>
            </control>
          </mc:Choice>
        </mc:AlternateContent>
        <mc:AlternateContent xmlns:mc="http://schemas.openxmlformats.org/markup-compatibility/2006">
          <mc:Choice Requires="x14">
            <control shapeId="602464" r:id="rId548" name="Option Button 394592">
              <controlPr defaultSize="0" autoFill="0" autoLine="0" autoPict="0">
                <anchor moveWithCells="1">
                  <from>
                    <xdr:col>14</xdr:col>
                    <xdr:colOff>200025</xdr:colOff>
                    <xdr:row>216</xdr:row>
                    <xdr:rowOff>114300</xdr:rowOff>
                  </from>
                  <to>
                    <xdr:col>14</xdr:col>
                    <xdr:colOff>438150</xdr:colOff>
                    <xdr:row>216</xdr:row>
                    <xdr:rowOff>295275</xdr:rowOff>
                  </to>
                </anchor>
              </controlPr>
            </control>
          </mc:Choice>
        </mc:AlternateContent>
        <mc:AlternateContent xmlns:mc="http://schemas.openxmlformats.org/markup-compatibility/2006">
          <mc:Choice Requires="x14">
            <control shapeId="602465" r:id="rId549" name="Group Box 394593">
              <controlPr defaultSize="0" autoFill="0" autoPict="0">
                <anchor moveWithCells="1">
                  <from>
                    <xdr:col>11</xdr:col>
                    <xdr:colOff>0</xdr:colOff>
                    <xdr:row>220</xdr:row>
                    <xdr:rowOff>171450</xdr:rowOff>
                  </from>
                  <to>
                    <xdr:col>16</xdr:col>
                    <xdr:colOff>0</xdr:colOff>
                    <xdr:row>222</xdr:row>
                    <xdr:rowOff>9525</xdr:rowOff>
                  </to>
                </anchor>
              </controlPr>
            </control>
          </mc:Choice>
        </mc:AlternateContent>
        <mc:AlternateContent xmlns:mc="http://schemas.openxmlformats.org/markup-compatibility/2006">
          <mc:Choice Requires="x14">
            <control shapeId="602466" r:id="rId550" name="Option Button 394594">
              <controlPr defaultSize="0" autoFill="0" autoLine="0" autoPict="0">
                <anchor moveWithCells="1">
                  <from>
                    <xdr:col>11</xdr:col>
                    <xdr:colOff>200025</xdr:colOff>
                    <xdr:row>221</xdr:row>
                    <xdr:rowOff>104775</xdr:rowOff>
                  </from>
                  <to>
                    <xdr:col>11</xdr:col>
                    <xdr:colOff>438150</xdr:colOff>
                    <xdr:row>221</xdr:row>
                    <xdr:rowOff>295275</xdr:rowOff>
                  </to>
                </anchor>
              </controlPr>
            </control>
          </mc:Choice>
        </mc:AlternateContent>
        <mc:AlternateContent xmlns:mc="http://schemas.openxmlformats.org/markup-compatibility/2006">
          <mc:Choice Requires="x14">
            <control shapeId="602467" r:id="rId551" name="Option Button 394595">
              <controlPr defaultSize="0" autoFill="0" autoLine="0" autoPict="0">
                <anchor moveWithCells="1">
                  <from>
                    <xdr:col>12</xdr:col>
                    <xdr:colOff>200025</xdr:colOff>
                    <xdr:row>221</xdr:row>
                    <xdr:rowOff>104775</xdr:rowOff>
                  </from>
                  <to>
                    <xdr:col>12</xdr:col>
                    <xdr:colOff>438150</xdr:colOff>
                    <xdr:row>221</xdr:row>
                    <xdr:rowOff>295275</xdr:rowOff>
                  </to>
                </anchor>
              </controlPr>
            </control>
          </mc:Choice>
        </mc:AlternateContent>
        <mc:AlternateContent xmlns:mc="http://schemas.openxmlformats.org/markup-compatibility/2006">
          <mc:Choice Requires="x14">
            <control shapeId="602468" r:id="rId552" name="Option Button 394596">
              <controlPr defaultSize="0" autoFill="0" autoLine="0" autoPict="0">
                <anchor moveWithCells="1">
                  <from>
                    <xdr:col>13</xdr:col>
                    <xdr:colOff>200025</xdr:colOff>
                    <xdr:row>221</xdr:row>
                    <xdr:rowOff>104775</xdr:rowOff>
                  </from>
                  <to>
                    <xdr:col>13</xdr:col>
                    <xdr:colOff>438150</xdr:colOff>
                    <xdr:row>221</xdr:row>
                    <xdr:rowOff>295275</xdr:rowOff>
                  </to>
                </anchor>
              </controlPr>
            </control>
          </mc:Choice>
        </mc:AlternateContent>
        <mc:AlternateContent xmlns:mc="http://schemas.openxmlformats.org/markup-compatibility/2006">
          <mc:Choice Requires="x14">
            <control shapeId="602469" r:id="rId553" name="Option Button 394597">
              <controlPr defaultSize="0" autoFill="0" autoLine="0" autoPict="0">
                <anchor moveWithCells="1">
                  <from>
                    <xdr:col>14</xdr:col>
                    <xdr:colOff>200025</xdr:colOff>
                    <xdr:row>221</xdr:row>
                    <xdr:rowOff>104775</xdr:rowOff>
                  </from>
                  <to>
                    <xdr:col>14</xdr:col>
                    <xdr:colOff>438150</xdr:colOff>
                    <xdr:row>221</xdr:row>
                    <xdr:rowOff>295275</xdr:rowOff>
                  </to>
                </anchor>
              </controlPr>
            </control>
          </mc:Choice>
        </mc:AlternateContent>
        <mc:AlternateContent xmlns:mc="http://schemas.openxmlformats.org/markup-compatibility/2006">
          <mc:Choice Requires="x14">
            <control shapeId="602470" r:id="rId554" name="Group Box 394598">
              <controlPr defaultSize="0" autoFill="0" autoPict="0">
                <anchor moveWithCells="1">
                  <from>
                    <xdr:col>11</xdr:col>
                    <xdr:colOff>0</xdr:colOff>
                    <xdr:row>221</xdr:row>
                    <xdr:rowOff>381000</xdr:rowOff>
                  </from>
                  <to>
                    <xdr:col>16</xdr:col>
                    <xdr:colOff>0</xdr:colOff>
                    <xdr:row>222</xdr:row>
                    <xdr:rowOff>381000</xdr:rowOff>
                  </to>
                </anchor>
              </controlPr>
            </control>
          </mc:Choice>
        </mc:AlternateContent>
        <mc:AlternateContent xmlns:mc="http://schemas.openxmlformats.org/markup-compatibility/2006">
          <mc:Choice Requires="x14">
            <control shapeId="602471" r:id="rId555" name="Option Button 394599">
              <controlPr defaultSize="0" autoFill="0" autoLine="0" autoPict="0">
                <anchor moveWithCells="1">
                  <from>
                    <xdr:col>11</xdr:col>
                    <xdr:colOff>200025</xdr:colOff>
                    <xdr:row>222</xdr:row>
                    <xdr:rowOff>104775</xdr:rowOff>
                  </from>
                  <to>
                    <xdr:col>11</xdr:col>
                    <xdr:colOff>438150</xdr:colOff>
                    <xdr:row>222</xdr:row>
                    <xdr:rowOff>285750</xdr:rowOff>
                  </to>
                </anchor>
              </controlPr>
            </control>
          </mc:Choice>
        </mc:AlternateContent>
        <mc:AlternateContent xmlns:mc="http://schemas.openxmlformats.org/markup-compatibility/2006">
          <mc:Choice Requires="x14">
            <control shapeId="602472" r:id="rId556" name="Option Button 394600">
              <controlPr defaultSize="0" autoFill="0" autoLine="0" autoPict="0">
                <anchor moveWithCells="1">
                  <from>
                    <xdr:col>12</xdr:col>
                    <xdr:colOff>200025</xdr:colOff>
                    <xdr:row>222</xdr:row>
                    <xdr:rowOff>104775</xdr:rowOff>
                  </from>
                  <to>
                    <xdr:col>12</xdr:col>
                    <xdr:colOff>438150</xdr:colOff>
                    <xdr:row>222</xdr:row>
                    <xdr:rowOff>285750</xdr:rowOff>
                  </to>
                </anchor>
              </controlPr>
            </control>
          </mc:Choice>
        </mc:AlternateContent>
        <mc:AlternateContent xmlns:mc="http://schemas.openxmlformats.org/markup-compatibility/2006">
          <mc:Choice Requires="x14">
            <control shapeId="602473" r:id="rId557" name="Option Button 394601">
              <controlPr defaultSize="0" autoFill="0" autoLine="0" autoPict="0">
                <anchor moveWithCells="1">
                  <from>
                    <xdr:col>13</xdr:col>
                    <xdr:colOff>200025</xdr:colOff>
                    <xdr:row>222</xdr:row>
                    <xdr:rowOff>104775</xdr:rowOff>
                  </from>
                  <to>
                    <xdr:col>13</xdr:col>
                    <xdr:colOff>438150</xdr:colOff>
                    <xdr:row>222</xdr:row>
                    <xdr:rowOff>285750</xdr:rowOff>
                  </to>
                </anchor>
              </controlPr>
            </control>
          </mc:Choice>
        </mc:AlternateContent>
        <mc:AlternateContent xmlns:mc="http://schemas.openxmlformats.org/markup-compatibility/2006">
          <mc:Choice Requires="x14">
            <control shapeId="602474" r:id="rId558" name="Option Button 394602">
              <controlPr defaultSize="0" autoFill="0" autoLine="0" autoPict="0">
                <anchor moveWithCells="1">
                  <from>
                    <xdr:col>14</xdr:col>
                    <xdr:colOff>200025</xdr:colOff>
                    <xdr:row>222</xdr:row>
                    <xdr:rowOff>104775</xdr:rowOff>
                  </from>
                  <to>
                    <xdr:col>14</xdr:col>
                    <xdr:colOff>438150</xdr:colOff>
                    <xdr:row>222</xdr:row>
                    <xdr:rowOff>285750</xdr:rowOff>
                  </to>
                </anchor>
              </controlPr>
            </control>
          </mc:Choice>
        </mc:AlternateContent>
        <mc:AlternateContent xmlns:mc="http://schemas.openxmlformats.org/markup-compatibility/2006">
          <mc:Choice Requires="x14">
            <control shapeId="602475" r:id="rId559" name="Group Box 394603">
              <controlPr defaultSize="0" autoFill="0" autoPict="0">
                <anchor moveWithCells="1">
                  <from>
                    <xdr:col>11</xdr:col>
                    <xdr:colOff>0</xdr:colOff>
                    <xdr:row>222</xdr:row>
                    <xdr:rowOff>381000</xdr:rowOff>
                  </from>
                  <to>
                    <xdr:col>16</xdr:col>
                    <xdr:colOff>0</xdr:colOff>
                    <xdr:row>223</xdr:row>
                    <xdr:rowOff>381000</xdr:rowOff>
                  </to>
                </anchor>
              </controlPr>
            </control>
          </mc:Choice>
        </mc:AlternateContent>
        <mc:AlternateContent xmlns:mc="http://schemas.openxmlformats.org/markup-compatibility/2006">
          <mc:Choice Requires="x14">
            <control shapeId="602476" r:id="rId560" name="Option Button 394604">
              <controlPr defaultSize="0" autoFill="0" autoLine="0" autoPict="0">
                <anchor moveWithCells="1">
                  <from>
                    <xdr:col>11</xdr:col>
                    <xdr:colOff>200025</xdr:colOff>
                    <xdr:row>223</xdr:row>
                    <xdr:rowOff>104775</xdr:rowOff>
                  </from>
                  <to>
                    <xdr:col>11</xdr:col>
                    <xdr:colOff>438150</xdr:colOff>
                    <xdr:row>223</xdr:row>
                    <xdr:rowOff>285750</xdr:rowOff>
                  </to>
                </anchor>
              </controlPr>
            </control>
          </mc:Choice>
        </mc:AlternateContent>
        <mc:AlternateContent xmlns:mc="http://schemas.openxmlformats.org/markup-compatibility/2006">
          <mc:Choice Requires="x14">
            <control shapeId="602477" r:id="rId561" name="Option Button 394605">
              <controlPr defaultSize="0" autoFill="0" autoLine="0" autoPict="0">
                <anchor moveWithCells="1">
                  <from>
                    <xdr:col>12</xdr:col>
                    <xdr:colOff>200025</xdr:colOff>
                    <xdr:row>223</xdr:row>
                    <xdr:rowOff>104775</xdr:rowOff>
                  </from>
                  <to>
                    <xdr:col>12</xdr:col>
                    <xdr:colOff>438150</xdr:colOff>
                    <xdr:row>223</xdr:row>
                    <xdr:rowOff>285750</xdr:rowOff>
                  </to>
                </anchor>
              </controlPr>
            </control>
          </mc:Choice>
        </mc:AlternateContent>
        <mc:AlternateContent xmlns:mc="http://schemas.openxmlformats.org/markup-compatibility/2006">
          <mc:Choice Requires="x14">
            <control shapeId="602478" r:id="rId562" name="Option Button 394606">
              <controlPr defaultSize="0" autoFill="0" autoLine="0" autoPict="0">
                <anchor moveWithCells="1">
                  <from>
                    <xdr:col>13</xdr:col>
                    <xdr:colOff>200025</xdr:colOff>
                    <xdr:row>223</xdr:row>
                    <xdr:rowOff>104775</xdr:rowOff>
                  </from>
                  <to>
                    <xdr:col>13</xdr:col>
                    <xdr:colOff>438150</xdr:colOff>
                    <xdr:row>223</xdr:row>
                    <xdr:rowOff>285750</xdr:rowOff>
                  </to>
                </anchor>
              </controlPr>
            </control>
          </mc:Choice>
        </mc:AlternateContent>
        <mc:AlternateContent xmlns:mc="http://schemas.openxmlformats.org/markup-compatibility/2006">
          <mc:Choice Requires="x14">
            <control shapeId="602479" r:id="rId563" name="Option Button 394607">
              <controlPr defaultSize="0" autoFill="0" autoLine="0" autoPict="0">
                <anchor moveWithCells="1">
                  <from>
                    <xdr:col>14</xdr:col>
                    <xdr:colOff>200025</xdr:colOff>
                    <xdr:row>223</xdr:row>
                    <xdr:rowOff>104775</xdr:rowOff>
                  </from>
                  <to>
                    <xdr:col>14</xdr:col>
                    <xdr:colOff>438150</xdr:colOff>
                    <xdr:row>223</xdr:row>
                    <xdr:rowOff>285750</xdr:rowOff>
                  </to>
                </anchor>
              </controlPr>
            </control>
          </mc:Choice>
        </mc:AlternateContent>
        <mc:AlternateContent xmlns:mc="http://schemas.openxmlformats.org/markup-compatibility/2006">
          <mc:Choice Requires="x14">
            <control shapeId="602480" r:id="rId564" name="Group Box 394608">
              <controlPr defaultSize="0" autoFill="0" autoPict="0">
                <anchor moveWithCells="1">
                  <from>
                    <xdr:col>11</xdr:col>
                    <xdr:colOff>0</xdr:colOff>
                    <xdr:row>227</xdr:row>
                    <xdr:rowOff>9525</xdr:rowOff>
                  </from>
                  <to>
                    <xdr:col>16</xdr:col>
                    <xdr:colOff>0</xdr:colOff>
                    <xdr:row>227</xdr:row>
                    <xdr:rowOff>381000</xdr:rowOff>
                  </to>
                </anchor>
              </controlPr>
            </control>
          </mc:Choice>
        </mc:AlternateContent>
        <mc:AlternateContent xmlns:mc="http://schemas.openxmlformats.org/markup-compatibility/2006">
          <mc:Choice Requires="x14">
            <control shapeId="602481" r:id="rId565" name="Option Button 394609">
              <controlPr defaultSize="0" autoFill="0" autoLine="0" autoPict="0">
                <anchor moveWithCells="1">
                  <from>
                    <xdr:col>11</xdr:col>
                    <xdr:colOff>200025</xdr:colOff>
                    <xdr:row>227</xdr:row>
                    <xdr:rowOff>114300</xdr:rowOff>
                  </from>
                  <to>
                    <xdr:col>11</xdr:col>
                    <xdr:colOff>438150</xdr:colOff>
                    <xdr:row>227</xdr:row>
                    <xdr:rowOff>295275</xdr:rowOff>
                  </to>
                </anchor>
              </controlPr>
            </control>
          </mc:Choice>
        </mc:AlternateContent>
        <mc:AlternateContent xmlns:mc="http://schemas.openxmlformats.org/markup-compatibility/2006">
          <mc:Choice Requires="x14">
            <control shapeId="602482" r:id="rId566" name="Option Button 394610">
              <controlPr defaultSize="0" autoFill="0" autoLine="0" autoPict="0">
                <anchor moveWithCells="1">
                  <from>
                    <xdr:col>12</xdr:col>
                    <xdr:colOff>200025</xdr:colOff>
                    <xdr:row>227</xdr:row>
                    <xdr:rowOff>114300</xdr:rowOff>
                  </from>
                  <to>
                    <xdr:col>12</xdr:col>
                    <xdr:colOff>438150</xdr:colOff>
                    <xdr:row>227</xdr:row>
                    <xdr:rowOff>295275</xdr:rowOff>
                  </to>
                </anchor>
              </controlPr>
            </control>
          </mc:Choice>
        </mc:AlternateContent>
        <mc:AlternateContent xmlns:mc="http://schemas.openxmlformats.org/markup-compatibility/2006">
          <mc:Choice Requires="x14">
            <control shapeId="602483" r:id="rId567" name="Option Button 394611">
              <controlPr defaultSize="0" autoFill="0" autoLine="0" autoPict="0">
                <anchor moveWithCells="1">
                  <from>
                    <xdr:col>13</xdr:col>
                    <xdr:colOff>200025</xdr:colOff>
                    <xdr:row>227</xdr:row>
                    <xdr:rowOff>114300</xdr:rowOff>
                  </from>
                  <to>
                    <xdr:col>13</xdr:col>
                    <xdr:colOff>438150</xdr:colOff>
                    <xdr:row>227</xdr:row>
                    <xdr:rowOff>295275</xdr:rowOff>
                  </to>
                </anchor>
              </controlPr>
            </control>
          </mc:Choice>
        </mc:AlternateContent>
        <mc:AlternateContent xmlns:mc="http://schemas.openxmlformats.org/markup-compatibility/2006">
          <mc:Choice Requires="x14">
            <control shapeId="602484" r:id="rId568" name="Option Button 394612">
              <controlPr defaultSize="0" autoFill="0" autoLine="0" autoPict="0">
                <anchor moveWithCells="1">
                  <from>
                    <xdr:col>14</xdr:col>
                    <xdr:colOff>200025</xdr:colOff>
                    <xdr:row>227</xdr:row>
                    <xdr:rowOff>114300</xdr:rowOff>
                  </from>
                  <to>
                    <xdr:col>14</xdr:col>
                    <xdr:colOff>438150</xdr:colOff>
                    <xdr:row>227</xdr:row>
                    <xdr:rowOff>295275</xdr:rowOff>
                  </to>
                </anchor>
              </controlPr>
            </control>
          </mc:Choice>
        </mc:AlternateContent>
        <mc:AlternateContent xmlns:mc="http://schemas.openxmlformats.org/markup-compatibility/2006">
          <mc:Choice Requires="x14">
            <control shapeId="602485" r:id="rId569" name="Group Box 394613">
              <controlPr defaultSize="0" autoFill="0" autoPict="0">
                <anchor moveWithCells="1">
                  <from>
                    <xdr:col>11</xdr:col>
                    <xdr:colOff>0</xdr:colOff>
                    <xdr:row>229</xdr:row>
                    <xdr:rowOff>9525</xdr:rowOff>
                  </from>
                  <to>
                    <xdr:col>16</xdr:col>
                    <xdr:colOff>0</xdr:colOff>
                    <xdr:row>229</xdr:row>
                    <xdr:rowOff>381000</xdr:rowOff>
                  </to>
                </anchor>
              </controlPr>
            </control>
          </mc:Choice>
        </mc:AlternateContent>
        <mc:AlternateContent xmlns:mc="http://schemas.openxmlformats.org/markup-compatibility/2006">
          <mc:Choice Requires="x14">
            <control shapeId="602486" r:id="rId570" name="Option Button 394614">
              <controlPr defaultSize="0" autoFill="0" autoLine="0" autoPict="0">
                <anchor moveWithCells="1">
                  <from>
                    <xdr:col>11</xdr:col>
                    <xdr:colOff>200025</xdr:colOff>
                    <xdr:row>229</xdr:row>
                    <xdr:rowOff>114300</xdr:rowOff>
                  </from>
                  <to>
                    <xdr:col>11</xdr:col>
                    <xdr:colOff>438150</xdr:colOff>
                    <xdr:row>229</xdr:row>
                    <xdr:rowOff>295275</xdr:rowOff>
                  </to>
                </anchor>
              </controlPr>
            </control>
          </mc:Choice>
        </mc:AlternateContent>
        <mc:AlternateContent xmlns:mc="http://schemas.openxmlformats.org/markup-compatibility/2006">
          <mc:Choice Requires="x14">
            <control shapeId="602487" r:id="rId571" name="Option Button 394615">
              <controlPr defaultSize="0" autoFill="0" autoLine="0" autoPict="0">
                <anchor moveWithCells="1">
                  <from>
                    <xdr:col>12</xdr:col>
                    <xdr:colOff>200025</xdr:colOff>
                    <xdr:row>229</xdr:row>
                    <xdr:rowOff>114300</xdr:rowOff>
                  </from>
                  <to>
                    <xdr:col>12</xdr:col>
                    <xdr:colOff>438150</xdr:colOff>
                    <xdr:row>229</xdr:row>
                    <xdr:rowOff>295275</xdr:rowOff>
                  </to>
                </anchor>
              </controlPr>
            </control>
          </mc:Choice>
        </mc:AlternateContent>
        <mc:AlternateContent xmlns:mc="http://schemas.openxmlformats.org/markup-compatibility/2006">
          <mc:Choice Requires="x14">
            <control shapeId="602488" r:id="rId572" name="Option Button 394616">
              <controlPr defaultSize="0" autoFill="0" autoLine="0" autoPict="0">
                <anchor moveWithCells="1">
                  <from>
                    <xdr:col>13</xdr:col>
                    <xdr:colOff>200025</xdr:colOff>
                    <xdr:row>229</xdr:row>
                    <xdr:rowOff>114300</xdr:rowOff>
                  </from>
                  <to>
                    <xdr:col>13</xdr:col>
                    <xdr:colOff>438150</xdr:colOff>
                    <xdr:row>229</xdr:row>
                    <xdr:rowOff>295275</xdr:rowOff>
                  </to>
                </anchor>
              </controlPr>
            </control>
          </mc:Choice>
        </mc:AlternateContent>
        <mc:AlternateContent xmlns:mc="http://schemas.openxmlformats.org/markup-compatibility/2006">
          <mc:Choice Requires="x14">
            <control shapeId="602489" r:id="rId573" name="Option Button 394617">
              <controlPr defaultSize="0" autoFill="0" autoLine="0" autoPict="0">
                <anchor moveWithCells="1">
                  <from>
                    <xdr:col>14</xdr:col>
                    <xdr:colOff>200025</xdr:colOff>
                    <xdr:row>229</xdr:row>
                    <xdr:rowOff>114300</xdr:rowOff>
                  </from>
                  <to>
                    <xdr:col>14</xdr:col>
                    <xdr:colOff>438150</xdr:colOff>
                    <xdr:row>229</xdr:row>
                    <xdr:rowOff>295275</xdr:rowOff>
                  </to>
                </anchor>
              </controlPr>
            </control>
          </mc:Choice>
        </mc:AlternateContent>
        <mc:AlternateContent xmlns:mc="http://schemas.openxmlformats.org/markup-compatibility/2006">
          <mc:Choice Requires="x14">
            <control shapeId="602490" r:id="rId574" name="Group Box 394618">
              <controlPr defaultSize="0" autoFill="0" autoPict="0">
                <anchor moveWithCells="1">
                  <from>
                    <xdr:col>11</xdr:col>
                    <xdr:colOff>0</xdr:colOff>
                    <xdr:row>216</xdr:row>
                    <xdr:rowOff>381000</xdr:rowOff>
                  </from>
                  <to>
                    <xdr:col>16</xdr:col>
                    <xdr:colOff>0</xdr:colOff>
                    <xdr:row>217</xdr:row>
                    <xdr:rowOff>381000</xdr:rowOff>
                  </to>
                </anchor>
              </controlPr>
            </control>
          </mc:Choice>
        </mc:AlternateContent>
        <mc:AlternateContent xmlns:mc="http://schemas.openxmlformats.org/markup-compatibility/2006">
          <mc:Choice Requires="x14">
            <control shapeId="602491" r:id="rId575" name="Option Button 394619">
              <controlPr defaultSize="0" autoFill="0" autoLine="0" autoPict="0">
                <anchor moveWithCells="1">
                  <from>
                    <xdr:col>11</xdr:col>
                    <xdr:colOff>200025</xdr:colOff>
                    <xdr:row>217</xdr:row>
                    <xdr:rowOff>114300</xdr:rowOff>
                  </from>
                  <to>
                    <xdr:col>11</xdr:col>
                    <xdr:colOff>438150</xdr:colOff>
                    <xdr:row>217</xdr:row>
                    <xdr:rowOff>295275</xdr:rowOff>
                  </to>
                </anchor>
              </controlPr>
            </control>
          </mc:Choice>
        </mc:AlternateContent>
        <mc:AlternateContent xmlns:mc="http://schemas.openxmlformats.org/markup-compatibility/2006">
          <mc:Choice Requires="x14">
            <control shapeId="602492" r:id="rId576" name="Option Button 394620">
              <controlPr defaultSize="0" autoFill="0" autoLine="0" autoPict="0">
                <anchor moveWithCells="1">
                  <from>
                    <xdr:col>12</xdr:col>
                    <xdr:colOff>200025</xdr:colOff>
                    <xdr:row>217</xdr:row>
                    <xdr:rowOff>114300</xdr:rowOff>
                  </from>
                  <to>
                    <xdr:col>12</xdr:col>
                    <xdr:colOff>438150</xdr:colOff>
                    <xdr:row>217</xdr:row>
                    <xdr:rowOff>295275</xdr:rowOff>
                  </to>
                </anchor>
              </controlPr>
            </control>
          </mc:Choice>
        </mc:AlternateContent>
        <mc:AlternateContent xmlns:mc="http://schemas.openxmlformats.org/markup-compatibility/2006">
          <mc:Choice Requires="x14">
            <control shapeId="602493" r:id="rId577" name="Option Button 394621">
              <controlPr defaultSize="0" autoFill="0" autoLine="0" autoPict="0">
                <anchor moveWithCells="1">
                  <from>
                    <xdr:col>13</xdr:col>
                    <xdr:colOff>200025</xdr:colOff>
                    <xdr:row>217</xdr:row>
                    <xdr:rowOff>114300</xdr:rowOff>
                  </from>
                  <to>
                    <xdr:col>13</xdr:col>
                    <xdr:colOff>438150</xdr:colOff>
                    <xdr:row>217</xdr:row>
                    <xdr:rowOff>295275</xdr:rowOff>
                  </to>
                </anchor>
              </controlPr>
            </control>
          </mc:Choice>
        </mc:AlternateContent>
        <mc:AlternateContent xmlns:mc="http://schemas.openxmlformats.org/markup-compatibility/2006">
          <mc:Choice Requires="x14">
            <control shapeId="602494" r:id="rId578" name="Option Button 394622">
              <controlPr defaultSize="0" autoFill="0" autoLine="0" autoPict="0">
                <anchor moveWithCells="1">
                  <from>
                    <xdr:col>14</xdr:col>
                    <xdr:colOff>200025</xdr:colOff>
                    <xdr:row>217</xdr:row>
                    <xdr:rowOff>114300</xdr:rowOff>
                  </from>
                  <to>
                    <xdr:col>14</xdr:col>
                    <xdr:colOff>438150</xdr:colOff>
                    <xdr:row>217</xdr:row>
                    <xdr:rowOff>295275</xdr:rowOff>
                  </to>
                </anchor>
              </controlPr>
            </control>
          </mc:Choice>
        </mc:AlternateContent>
        <mc:AlternateContent xmlns:mc="http://schemas.openxmlformats.org/markup-compatibility/2006">
          <mc:Choice Requires="x14">
            <control shapeId="602495" r:id="rId579" name="Group Box 394623">
              <controlPr defaultSize="0" autoFill="0" autoPict="0">
                <anchor moveWithCells="1">
                  <from>
                    <xdr:col>11</xdr:col>
                    <xdr:colOff>0</xdr:colOff>
                    <xdr:row>217</xdr:row>
                    <xdr:rowOff>381000</xdr:rowOff>
                  </from>
                  <to>
                    <xdr:col>16</xdr:col>
                    <xdr:colOff>0</xdr:colOff>
                    <xdr:row>218</xdr:row>
                    <xdr:rowOff>381000</xdr:rowOff>
                  </to>
                </anchor>
              </controlPr>
            </control>
          </mc:Choice>
        </mc:AlternateContent>
        <mc:AlternateContent xmlns:mc="http://schemas.openxmlformats.org/markup-compatibility/2006">
          <mc:Choice Requires="x14">
            <control shapeId="602496" r:id="rId580" name="Option Button 394624">
              <controlPr defaultSize="0" autoFill="0" autoLine="0" autoPict="0">
                <anchor moveWithCells="1">
                  <from>
                    <xdr:col>11</xdr:col>
                    <xdr:colOff>200025</xdr:colOff>
                    <xdr:row>218</xdr:row>
                    <xdr:rowOff>114300</xdr:rowOff>
                  </from>
                  <to>
                    <xdr:col>11</xdr:col>
                    <xdr:colOff>438150</xdr:colOff>
                    <xdr:row>218</xdr:row>
                    <xdr:rowOff>295275</xdr:rowOff>
                  </to>
                </anchor>
              </controlPr>
            </control>
          </mc:Choice>
        </mc:AlternateContent>
        <mc:AlternateContent xmlns:mc="http://schemas.openxmlformats.org/markup-compatibility/2006">
          <mc:Choice Requires="x14">
            <control shapeId="602497" r:id="rId581" name="Option Button 394625">
              <controlPr defaultSize="0" autoFill="0" autoLine="0" autoPict="0">
                <anchor moveWithCells="1">
                  <from>
                    <xdr:col>12</xdr:col>
                    <xdr:colOff>200025</xdr:colOff>
                    <xdr:row>218</xdr:row>
                    <xdr:rowOff>114300</xdr:rowOff>
                  </from>
                  <to>
                    <xdr:col>12</xdr:col>
                    <xdr:colOff>438150</xdr:colOff>
                    <xdr:row>218</xdr:row>
                    <xdr:rowOff>295275</xdr:rowOff>
                  </to>
                </anchor>
              </controlPr>
            </control>
          </mc:Choice>
        </mc:AlternateContent>
        <mc:AlternateContent xmlns:mc="http://schemas.openxmlformats.org/markup-compatibility/2006">
          <mc:Choice Requires="x14">
            <control shapeId="602498" r:id="rId582" name="Option Button 394626">
              <controlPr defaultSize="0" autoFill="0" autoLine="0" autoPict="0">
                <anchor moveWithCells="1">
                  <from>
                    <xdr:col>13</xdr:col>
                    <xdr:colOff>200025</xdr:colOff>
                    <xdr:row>218</xdr:row>
                    <xdr:rowOff>114300</xdr:rowOff>
                  </from>
                  <to>
                    <xdr:col>13</xdr:col>
                    <xdr:colOff>438150</xdr:colOff>
                    <xdr:row>218</xdr:row>
                    <xdr:rowOff>295275</xdr:rowOff>
                  </to>
                </anchor>
              </controlPr>
            </control>
          </mc:Choice>
        </mc:AlternateContent>
        <mc:AlternateContent xmlns:mc="http://schemas.openxmlformats.org/markup-compatibility/2006">
          <mc:Choice Requires="x14">
            <control shapeId="602499" r:id="rId583" name="Option Button 394627">
              <controlPr defaultSize="0" autoFill="0" autoLine="0" autoPict="0">
                <anchor moveWithCells="1">
                  <from>
                    <xdr:col>14</xdr:col>
                    <xdr:colOff>200025</xdr:colOff>
                    <xdr:row>218</xdr:row>
                    <xdr:rowOff>114300</xdr:rowOff>
                  </from>
                  <to>
                    <xdr:col>14</xdr:col>
                    <xdr:colOff>438150</xdr:colOff>
                    <xdr:row>218</xdr:row>
                    <xdr:rowOff>295275</xdr:rowOff>
                  </to>
                </anchor>
              </controlPr>
            </control>
          </mc:Choice>
        </mc:AlternateContent>
        <mc:AlternateContent xmlns:mc="http://schemas.openxmlformats.org/markup-compatibility/2006">
          <mc:Choice Requires="x14">
            <control shapeId="602500" r:id="rId584" name="Option Button 394628">
              <controlPr defaultSize="0" autoFill="0" autoLine="0" autoPict="0">
                <anchor moveWithCells="1">
                  <from>
                    <xdr:col>15</xdr:col>
                    <xdr:colOff>200025</xdr:colOff>
                    <xdr:row>226</xdr:row>
                    <xdr:rowOff>114300</xdr:rowOff>
                  </from>
                  <to>
                    <xdr:col>15</xdr:col>
                    <xdr:colOff>438150</xdr:colOff>
                    <xdr:row>226</xdr:row>
                    <xdr:rowOff>295275</xdr:rowOff>
                  </to>
                </anchor>
              </controlPr>
            </control>
          </mc:Choice>
        </mc:AlternateContent>
        <mc:AlternateContent xmlns:mc="http://schemas.openxmlformats.org/markup-compatibility/2006">
          <mc:Choice Requires="x14">
            <control shapeId="602501" r:id="rId585" name="Option Button 394629">
              <controlPr defaultSize="0" autoFill="0" autoLine="0" autoPict="0">
                <anchor moveWithCells="1">
                  <from>
                    <xdr:col>15</xdr:col>
                    <xdr:colOff>200025</xdr:colOff>
                    <xdr:row>210</xdr:row>
                    <xdr:rowOff>104775</xdr:rowOff>
                  </from>
                  <to>
                    <xdr:col>15</xdr:col>
                    <xdr:colOff>438150</xdr:colOff>
                    <xdr:row>210</xdr:row>
                    <xdr:rowOff>285750</xdr:rowOff>
                  </to>
                </anchor>
              </controlPr>
            </control>
          </mc:Choice>
        </mc:AlternateContent>
        <mc:AlternateContent xmlns:mc="http://schemas.openxmlformats.org/markup-compatibility/2006">
          <mc:Choice Requires="x14">
            <control shapeId="602502" r:id="rId586" name="Option Button 394630">
              <controlPr defaultSize="0" autoFill="0" autoLine="0" autoPict="0">
                <anchor moveWithCells="1">
                  <from>
                    <xdr:col>15</xdr:col>
                    <xdr:colOff>200025</xdr:colOff>
                    <xdr:row>211</xdr:row>
                    <xdr:rowOff>104775</xdr:rowOff>
                  </from>
                  <to>
                    <xdr:col>15</xdr:col>
                    <xdr:colOff>438150</xdr:colOff>
                    <xdr:row>211</xdr:row>
                    <xdr:rowOff>285750</xdr:rowOff>
                  </to>
                </anchor>
              </controlPr>
            </control>
          </mc:Choice>
        </mc:AlternateContent>
        <mc:AlternateContent xmlns:mc="http://schemas.openxmlformats.org/markup-compatibility/2006">
          <mc:Choice Requires="x14">
            <control shapeId="602503" r:id="rId587" name="Option Button 394631">
              <controlPr defaultSize="0" autoFill="0" autoLine="0" autoPict="0">
                <anchor moveWithCells="1">
                  <from>
                    <xdr:col>15</xdr:col>
                    <xdr:colOff>200025</xdr:colOff>
                    <xdr:row>212</xdr:row>
                    <xdr:rowOff>104775</xdr:rowOff>
                  </from>
                  <to>
                    <xdr:col>15</xdr:col>
                    <xdr:colOff>438150</xdr:colOff>
                    <xdr:row>212</xdr:row>
                    <xdr:rowOff>285750</xdr:rowOff>
                  </to>
                </anchor>
              </controlPr>
            </control>
          </mc:Choice>
        </mc:AlternateContent>
        <mc:AlternateContent xmlns:mc="http://schemas.openxmlformats.org/markup-compatibility/2006">
          <mc:Choice Requires="x14">
            <control shapeId="602504" r:id="rId588" name="Option Button 394632">
              <controlPr defaultSize="0" autoFill="0" autoLine="0" autoPict="0">
                <anchor moveWithCells="1">
                  <from>
                    <xdr:col>15</xdr:col>
                    <xdr:colOff>200025</xdr:colOff>
                    <xdr:row>213</xdr:row>
                    <xdr:rowOff>104775</xdr:rowOff>
                  </from>
                  <to>
                    <xdr:col>15</xdr:col>
                    <xdr:colOff>438150</xdr:colOff>
                    <xdr:row>213</xdr:row>
                    <xdr:rowOff>285750</xdr:rowOff>
                  </to>
                </anchor>
              </controlPr>
            </control>
          </mc:Choice>
        </mc:AlternateContent>
        <mc:AlternateContent xmlns:mc="http://schemas.openxmlformats.org/markup-compatibility/2006">
          <mc:Choice Requires="x14">
            <control shapeId="602505" r:id="rId589" name="Option Button 394633">
              <controlPr defaultSize="0" autoFill="0" autoLine="0" autoPict="0">
                <anchor moveWithCells="1">
                  <from>
                    <xdr:col>15</xdr:col>
                    <xdr:colOff>200025</xdr:colOff>
                    <xdr:row>215</xdr:row>
                    <xdr:rowOff>114300</xdr:rowOff>
                  </from>
                  <to>
                    <xdr:col>15</xdr:col>
                    <xdr:colOff>438150</xdr:colOff>
                    <xdr:row>215</xdr:row>
                    <xdr:rowOff>295275</xdr:rowOff>
                  </to>
                </anchor>
              </controlPr>
            </control>
          </mc:Choice>
        </mc:AlternateContent>
        <mc:AlternateContent xmlns:mc="http://schemas.openxmlformats.org/markup-compatibility/2006">
          <mc:Choice Requires="x14">
            <control shapeId="602506" r:id="rId590" name="Option Button 394634">
              <controlPr defaultSize="0" autoFill="0" autoLine="0" autoPict="0">
                <anchor moveWithCells="1">
                  <from>
                    <xdr:col>15</xdr:col>
                    <xdr:colOff>200025</xdr:colOff>
                    <xdr:row>216</xdr:row>
                    <xdr:rowOff>114300</xdr:rowOff>
                  </from>
                  <to>
                    <xdr:col>15</xdr:col>
                    <xdr:colOff>438150</xdr:colOff>
                    <xdr:row>216</xdr:row>
                    <xdr:rowOff>295275</xdr:rowOff>
                  </to>
                </anchor>
              </controlPr>
            </control>
          </mc:Choice>
        </mc:AlternateContent>
        <mc:AlternateContent xmlns:mc="http://schemas.openxmlformats.org/markup-compatibility/2006">
          <mc:Choice Requires="x14">
            <control shapeId="602507" r:id="rId591" name="Option Button 394635">
              <controlPr defaultSize="0" autoFill="0" autoLine="0" autoPict="0">
                <anchor moveWithCells="1">
                  <from>
                    <xdr:col>15</xdr:col>
                    <xdr:colOff>200025</xdr:colOff>
                    <xdr:row>221</xdr:row>
                    <xdr:rowOff>104775</xdr:rowOff>
                  </from>
                  <to>
                    <xdr:col>15</xdr:col>
                    <xdr:colOff>438150</xdr:colOff>
                    <xdr:row>221</xdr:row>
                    <xdr:rowOff>295275</xdr:rowOff>
                  </to>
                </anchor>
              </controlPr>
            </control>
          </mc:Choice>
        </mc:AlternateContent>
        <mc:AlternateContent xmlns:mc="http://schemas.openxmlformats.org/markup-compatibility/2006">
          <mc:Choice Requires="x14">
            <control shapeId="602508" r:id="rId592" name="Option Button 394636">
              <controlPr defaultSize="0" autoFill="0" autoLine="0" autoPict="0">
                <anchor moveWithCells="1">
                  <from>
                    <xdr:col>15</xdr:col>
                    <xdr:colOff>200025</xdr:colOff>
                    <xdr:row>222</xdr:row>
                    <xdr:rowOff>104775</xdr:rowOff>
                  </from>
                  <to>
                    <xdr:col>15</xdr:col>
                    <xdr:colOff>438150</xdr:colOff>
                    <xdr:row>222</xdr:row>
                    <xdr:rowOff>285750</xdr:rowOff>
                  </to>
                </anchor>
              </controlPr>
            </control>
          </mc:Choice>
        </mc:AlternateContent>
        <mc:AlternateContent xmlns:mc="http://schemas.openxmlformats.org/markup-compatibility/2006">
          <mc:Choice Requires="x14">
            <control shapeId="602509" r:id="rId593" name="Option Button 394637">
              <controlPr defaultSize="0" autoFill="0" autoLine="0" autoPict="0">
                <anchor moveWithCells="1">
                  <from>
                    <xdr:col>15</xdr:col>
                    <xdr:colOff>200025</xdr:colOff>
                    <xdr:row>223</xdr:row>
                    <xdr:rowOff>104775</xdr:rowOff>
                  </from>
                  <to>
                    <xdr:col>15</xdr:col>
                    <xdr:colOff>438150</xdr:colOff>
                    <xdr:row>223</xdr:row>
                    <xdr:rowOff>285750</xdr:rowOff>
                  </to>
                </anchor>
              </controlPr>
            </control>
          </mc:Choice>
        </mc:AlternateContent>
        <mc:AlternateContent xmlns:mc="http://schemas.openxmlformats.org/markup-compatibility/2006">
          <mc:Choice Requires="x14">
            <control shapeId="602510" r:id="rId594" name="Option Button 394638">
              <controlPr defaultSize="0" autoFill="0" autoLine="0" autoPict="0">
                <anchor moveWithCells="1">
                  <from>
                    <xdr:col>15</xdr:col>
                    <xdr:colOff>200025</xdr:colOff>
                    <xdr:row>227</xdr:row>
                    <xdr:rowOff>114300</xdr:rowOff>
                  </from>
                  <to>
                    <xdr:col>15</xdr:col>
                    <xdr:colOff>438150</xdr:colOff>
                    <xdr:row>227</xdr:row>
                    <xdr:rowOff>295275</xdr:rowOff>
                  </to>
                </anchor>
              </controlPr>
            </control>
          </mc:Choice>
        </mc:AlternateContent>
        <mc:AlternateContent xmlns:mc="http://schemas.openxmlformats.org/markup-compatibility/2006">
          <mc:Choice Requires="x14">
            <control shapeId="602511" r:id="rId595" name="Option Button 394639">
              <controlPr defaultSize="0" autoFill="0" autoLine="0" autoPict="0">
                <anchor moveWithCells="1">
                  <from>
                    <xdr:col>15</xdr:col>
                    <xdr:colOff>200025</xdr:colOff>
                    <xdr:row>229</xdr:row>
                    <xdr:rowOff>114300</xdr:rowOff>
                  </from>
                  <to>
                    <xdr:col>15</xdr:col>
                    <xdr:colOff>438150</xdr:colOff>
                    <xdr:row>229</xdr:row>
                    <xdr:rowOff>295275</xdr:rowOff>
                  </to>
                </anchor>
              </controlPr>
            </control>
          </mc:Choice>
        </mc:AlternateContent>
        <mc:AlternateContent xmlns:mc="http://schemas.openxmlformats.org/markup-compatibility/2006">
          <mc:Choice Requires="x14">
            <control shapeId="602512" r:id="rId596" name="Option Button 394640">
              <controlPr defaultSize="0" autoFill="0" autoLine="0" autoPict="0">
                <anchor moveWithCells="1">
                  <from>
                    <xdr:col>15</xdr:col>
                    <xdr:colOff>200025</xdr:colOff>
                    <xdr:row>217</xdr:row>
                    <xdr:rowOff>114300</xdr:rowOff>
                  </from>
                  <to>
                    <xdr:col>15</xdr:col>
                    <xdr:colOff>438150</xdr:colOff>
                    <xdr:row>217</xdr:row>
                    <xdr:rowOff>295275</xdr:rowOff>
                  </to>
                </anchor>
              </controlPr>
            </control>
          </mc:Choice>
        </mc:AlternateContent>
        <mc:AlternateContent xmlns:mc="http://schemas.openxmlformats.org/markup-compatibility/2006">
          <mc:Choice Requires="x14">
            <control shapeId="602513" r:id="rId597" name="Option Button 394641">
              <controlPr defaultSize="0" autoFill="0" autoLine="0" autoPict="0">
                <anchor moveWithCells="1">
                  <from>
                    <xdr:col>15</xdr:col>
                    <xdr:colOff>200025</xdr:colOff>
                    <xdr:row>218</xdr:row>
                    <xdr:rowOff>114300</xdr:rowOff>
                  </from>
                  <to>
                    <xdr:col>15</xdr:col>
                    <xdr:colOff>438150</xdr:colOff>
                    <xdr:row>218</xdr:row>
                    <xdr:rowOff>295275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61"/>
  <sheetViews>
    <sheetView showGridLines="0" view="pageBreakPreview" topLeftCell="A127" zoomScaleSheetLayoutView="100" workbookViewId="0">
      <selection activeCell="G133" sqref="G133"/>
    </sheetView>
  </sheetViews>
  <sheetFormatPr defaultRowHeight="15" x14ac:dyDescent="0.25"/>
  <cols>
    <col min="1" max="1" width="4" style="21" customWidth="1"/>
    <col min="2" max="4" width="6.140625" style="21" customWidth="1"/>
    <col min="5" max="5" width="14.42578125" style="21" customWidth="1"/>
    <col min="6" max="6" width="15.140625" style="21" customWidth="1"/>
    <col min="7" max="7" width="13.7109375" style="21" customWidth="1"/>
    <col min="8" max="10" width="15.7109375" style="21" customWidth="1"/>
    <col min="11" max="11" width="17.42578125" style="21" bestFit="1" customWidth="1"/>
    <col min="12" max="12" width="16.28515625" style="2521" bestFit="1" customWidth="1"/>
    <col min="13" max="13" width="0" style="21" hidden="1" customWidth="1"/>
    <col min="14" max="14" width="11.5703125" style="21" bestFit="1" customWidth="1"/>
    <col min="15" max="16384" width="9.140625" style="21"/>
  </cols>
  <sheetData>
    <row r="1" spans="1:15" x14ac:dyDescent="0.25">
      <c r="A1" s="1540"/>
      <c r="B1" s="1540" t="s">
        <v>298</v>
      </c>
      <c r="C1" s="1540"/>
      <c r="D1" s="1540"/>
      <c r="E1" s="1540"/>
      <c r="F1" s="1540"/>
      <c r="G1" s="1540"/>
      <c r="H1" s="1540"/>
      <c r="I1" s="1540"/>
      <c r="J1" s="1540"/>
    </row>
    <row r="2" spans="1:15" ht="24" customHeight="1" thickBot="1" x14ac:dyDescent="0.3">
      <c r="A2" s="1528"/>
      <c r="B2" s="1540"/>
      <c r="C2" s="1540"/>
      <c r="D2" s="1540"/>
      <c r="E2" s="1540"/>
      <c r="F2" s="1540"/>
      <c r="G2" s="1540"/>
      <c r="H2" s="1540"/>
      <c r="I2" s="1540"/>
      <c r="J2" s="1540"/>
    </row>
    <row r="3" spans="1:15" ht="21.75" customHeight="1" thickBot="1" x14ac:dyDescent="0.3">
      <c r="A3" s="3979" t="s">
        <v>204</v>
      </c>
      <c r="B3" s="3980"/>
      <c r="C3" s="3980"/>
      <c r="D3" s="3980"/>
      <c r="E3" s="3980"/>
      <c r="F3" s="3980"/>
      <c r="G3" s="3980"/>
      <c r="H3" s="3980"/>
      <c r="I3" s="3980"/>
      <c r="J3" s="3981"/>
    </row>
    <row r="4" spans="1:15" ht="17.45" customHeight="1" x14ac:dyDescent="0.25">
      <c r="A4" s="149"/>
      <c r="B4" s="149"/>
      <c r="C4" s="149"/>
      <c r="D4" s="149"/>
      <c r="E4" s="149"/>
      <c r="F4" s="149"/>
      <c r="G4" s="149"/>
      <c r="H4" s="149"/>
      <c r="I4" s="149"/>
      <c r="J4" s="149"/>
    </row>
    <row r="5" spans="1:15" ht="18.75" customHeight="1" x14ac:dyDescent="0.25">
      <c r="A5" s="456"/>
      <c r="B5" s="3982" t="s">
        <v>1782</v>
      </c>
      <c r="C5" s="3982"/>
      <c r="D5" s="3982"/>
      <c r="E5" s="3870"/>
      <c r="F5" s="3870"/>
      <c r="G5" s="468"/>
      <c r="H5" s="468"/>
      <c r="I5" s="468"/>
      <c r="J5" s="456"/>
    </row>
    <row r="6" spans="1:15" ht="15.75" customHeight="1" x14ac:dyDescent="0.25">
      <c r="A6" s="456"/>
      <c r="B6" s="3983" t="s">
        <v>300</v>
      </c>
      <c r="C6" s="3983"/>
      <c r="D6" s="3983"/>
      <c r="E6" s="570">
        <v>43368</v>
      </c>
      <c r="F6" s="571"/>
      <c r="G6" s="456"/>
      <c r="H6" s="456"/>
      <c r="I6" s="456"/>
      <c r="J6" s="456"/>
    </row>
    <row r="7" spans="1:15" ht="15.75" customHeight="1" x14ac:dyDescent="0.25">
      <c r="A7" s="456"/>
      <c r="B7" s="3745" t="s">
        <v>299</v>
      </c>
      <c r="C7" s="3745"/>
      <c r="D7" s="3745"/>
      <c r="E7" s="3745"/>
      <c r="F7" s="3745"/>
      <c r="G7" s="3745"/>
      <c r="H7" s="3745"/>
      <c r="I7" s="3745"/>
      <c r="J7" s="456"/>
    </row>
    <row r="8" spans="1:15" ht="14.25" customHeight="1" x14ac:dyDescent="0.25">
      <c r="A8" s="456"/>
      <c r="B8" s="3984" t="s">
        <v>205</v>
      </c>
      <c r="C8" s="3984"/>
      <c r="D8" s="3984"/>
      <c r="E8" s="3984" t="s">
        <v>206</v>
      </c>
      <c r="F8" s="3984"/>
      <c r="G8" s="456"/>
      <c r="H8" s="456"/>
      <c r="I8" s="456"/>
      <c r="J8" s="456"/>
    </row>
    <row r="9" spans="1:15" ht="18.75" customHeight="1" x14ac:dyDescent="0.25">
      <c r="A9" s="456"/>
      <c r="B9" s="3977"/>
      <c r="C9" s="3977"/>
      <c r="D9" s="3977"/>
      <c r="E9" s="3977"/>
      <c r="F9" s="3977"/>
      <c r="G9" s="456"/>
      <c r="H9" s="456"/>
      <c r="I9" s="456"/>
      <c r="J9" s="456"/>
    </row>
    <row r="10" spans="1:15" x14ac:dyDescent="0.25">
      <c r="A10" s="456"/>
      <c r="B10" s="3745" t="str">
        <f>+'FIP(PAP-01)'!P138</f>
        <v>Adi irawan saputra</v>
      </c>
      <c r="C10" s="3745"/>
      <c r="D10" s="3745"/>
      <c r="E10" s="3745" t="str">
        <f>+'FIP(PAP-01)'!P133</f>
        <v>AO Penjaminan I</v>
      </c>
      <c r="F10" s="3745"/>
      <c r="G10" s="456"/>
      <c r="H10" s="456"/>
      <c r="I10" s="456"/>
      <c r="J10" s="456"/>
    </row>
    <row r="11" spans="1:15" x14ac:dyDescent="0.35">
      <c r="A11" s="456"/>
      <c r="B11" s="3978" t="str">
        <f>+'FIP(PAP-01)'!U138</f>
        <v>Deni Ardian</v>
      </c>
      <c r="C11" s="3978"/>
      <c r="D11" s="3978"/>
      <c r="E11" s="3745" t="str">
        <f>+'FIP(PAP-01)'!U133</f>
        <v>AO Penjaminan II</v>
      </c>
      <c r="F11" s="3745"/>
      <c r="G11" s="456"/>
      <c r="H11" s="456"/>
      <c r="I11" s="456"/>
      <c r="J11" s="456"/>
    </row>
    <row r="12" spans="1:15" x14ac:dyDescent="0.25">
      <c r="A12" s="456"/>
      <c r="B12" s="456"/>
      <c r="C12" s="456"/>
      <c r="D12" s="456"/>
      <c r="E12" s="456"/>
      <c r="F12" s="456"/>
      <c r="G12" s="456"/>
      <c r="H12" s="456"/>
      <c r="I12" s="456"/>
      <c r="J12" s="456"/>
    </row>
    <row r="13" spans="1:15" x14ac:dyDescent="0.25">
      <c r="A13" s="456"/>
      <c r="B13" s="3745" t="s">
        <v>1783</v>
      </c>
      <c r="C13" s="3745"/>
      <c r="D13" s="3745"/>
      <c r="E13" s="3745"/>
      <c r="F13" s="3745"/>
      <c r="G13" s="3745"/>
      <c r="H13" s="3745"/>
      <c r="I13" s="3745"/>
      <c r="J13" s="456"/>
    </row>
    <row r="14" spans="1:15" x14ac:dyDescent="0.25">
      <c r="A14" s="456"/>
      <c r="B14" s="3745"/>
      <c r="C14" s="3745"/>
      <c r="D14" s="3745"/>
      <c r="E14" s="3745"/>
      <c r="F14" s="3745"/>
      <c r="G14" s="3745"/>
      <c r="H14" s="3745"/>
      <c r="I14" s="3745"/>
      <c r="J14" s="456"/>
    </row>
    <row r="15" spans="1:15" x14ac:dyDescent="0.25">
      <c r="A15" s="149"/>
      <c r="B15" s="149"/>
      <c r="C15" s="149"/>
      <c r="D15" s="149"/>
      <c r="E15" s="149"/>
      <c r="F15" s="149"/>
      <c r="G15" s="149"/>
      <c r="H15" s="149"/>
      <c r="I15" s="149"/>
      <c r="J15" s="149"/>
    </row>
    <row r="16" spans="1:15" ht="14.25" customHeight="1" x14ac:dyDescent="0.25">
      <c r="A16" s="1540"/>
      <c r="B16" s="148" t="s">
        <v>207</v>
      </c>
      <c r="C16" s="3690" t="s">
        <v>208</v>
      </c>
      <c r="D16" s="3690"/>
      <c r="E16" s="3690"/>
      <c r="F16" s="3690"/>
      <c r="G16" s="3690"/>
      <c r="H16" s="3690"/>
      <c r="I16" s="3690"/>
      <c r="J16" s="1540"/>
      <c r="O16" s="63"/>
    </row>
    <row r="17" spans="1:15" ht="24.75" customHeight="1" x14ac:dyDescent="0.25">
      <c r="A17" s="1540"/>
      <c r="B17" s="1518"/>
      <c r="C17" s="3971" t="s">
        <v>209</v>
      </c>
      <c r="D17" s="3971" t="s">
        <v>210</v>
      </c>
      <c r="E17" s="3974"/>
      <c r="F17" s="3971" t="s">
        <v>211</v>
      </c>
      <c r="G17" s="3974"/>
      <c r="H17" s="3068" t="s">
        <v>212</v>
      </c>
      <c r="I17" s="3068"/>
      <c r="J17" s="3068"/>
      <c r="K17" s="29"/>
      <c r="O17" s="63"/>
    </row>
    <row r="18" spans="1:15" x14ac:dyDescent="0.25">
      <c r="A18" s="1540"/>
      <c r="B18" s="1540"/>
      <c r="C18" s="3972"/>
      <c r="D18" s="3972"/>
      <c r="E18" s="3975"/>
      <c r="F18" s="3972"/>
      <c r="G18" s="3975"/>
      <c r="H18" s="1461" t="s">
        <v>435</v>
      </c>
      <c r="I18" s="1461" t="s">
        <v>436</v>
      </c>
      <c r="J18" s="1461" t="s">
        <v>66</v>
      </c>
      <c r="K18" s="29"/>
      <c r="O18" s="63"/>
    </row>
    <row r="19" spans="1:15" x14ac:dyDescent="0.25">
      <c r="A19" s="1540"/>
      <c r="B19" s="1540"/>
      <c r="C19" s="3973"/>
      <c r="D19" s="3973"/>
      <c r="E19" s="3976"/>
      <c r="F19" s="3973"/>
      <c r="G19" s="3976"/>
      <c r="H19" s="1461" t="s">
        <v>64</v>
      </c>
      <c r="I19" s="1461" t="s">
        <v>64</v>
      </c>
      <c r="J19" s="1461" t="s">
        <v>64</v>
      </c>
      <c r="K19" s="29"/>
      <c r="O19" s="63"/>
    </row>
    <row r="20" spans="1:15" ht="15" customHeight="1" x14ac:dyDescent="0.25">
      <c r="A20" s="1540"/>
      <c r="B20" s="1540"/>
      <c r="C20" s="3963" t="s">
        <v>975</v>
      </c>
      <c r="D20" s="3964"/>
      <c r="E20" s="3964"/>
      <c r="F20" s="3964"/>
      <c r="G20" s="3965"/>
      <c r="H20" s="1503"/>
      <c r="I20" s="1503"/>
      <c r="J20" s="1503"/>
      <c r="K20" s="29"/>
      <c r="O20" s="63"/>
    </row>
    <row r="21" spans="1:15" ht="14.25" customHeight="1" x14ac:dyDescent="0.25">
      <c r="A21" s="1540"/>
      <c r="B21" s="1540"/>
      <c r="C21" s="3452">
        <v>1</v>
      </c>
      <c r="D21" s="3961" t="s">
        <v>834</v>
      </c>
      <c r="E21" s="3961"/>
      <c r="F21" s="3967"/>
      <c r="G21" s="3968"/>
      <c r="H21" s="3949"/>
      <c r="I21" s="3949"/>
      <c r="J21" s="3949"/>
      <c r="K21" s="29"/>
      <c r="O21" s="63"/>
    </row>
    <row r="22" spans="1:15" ht="18.75" customHeight="1" x14ac:dyDescent="0.25">
      <c r="A22" s="1540"/>
      <c r="B22" s="1540"/>
      <c r="C22" s="3453"/>
      <c r="D22" s="3962"/>
      <c r="E22" s="3962"/>
      <c r="F22" s="3969"/>
      <c r="G22" s="3970"/>
      <c r="H22" s="3950"/>
      <c r="I22" s="3950"/>
      <c r="J22" s="3950"/>
      <c r="K22" s="29"/>
      <c r="O22" s="63"/>
    </row>
    <row r="23" spans="1:15" ht="16.5" customHeight="1" x14ac:dyDescent="0.25">
      <c r="A23" s="1540"/>
      <c r="B23" s="1540"/>
      <c r="C23" s="3453"/>
      <c r="D23" s="3962"/>
      <c r="E23" s="3962"/>
      <c r="F23" s="3969"/>
      <c r="G23" s="3970"/>
      <c r="H23" s="3950"/>
      <c r="I23" s="3950"/>
      <c r="J23" s="3950"/>
      <c r="K23" s="29"/>
      <c r="M23" s="21">
        <f>COUNTIF(H21:J26,"&gt;0")</f>
        <v>0</v>
      </c>
      <c r="N23" s="36"/>
      <c r="O23" s="63"/>
    </row>
    <row r="24" spans="1:15" ht="16.5" customHeight="1" x14ac:dyDescent="0.25">
      <c r="A24" s="1540"/>
      <c r="B24" s="1540"/>
      <c r="C24" s="3453"/>
      <c r="D24" s="3962"/>
      <c r="E24" s="3962"/>
      <c r="F24" s="3969"/>
      <c r="G24" s="3970"/>
      <c r="H24" s="3950"/>
      <c r="I24" s="3950"/>
      <c r="J24" s="3950"/>
      <c r="O24" s="63"/>
    </row>
    <row r="25" spans="1:15" ht="21.2" customHeight="1" x14ac:dyDescent="0.25">
      <c r="A25" s="1540"/>
      <c r="B25" s="1540"/>
      <c r="C25" s="3453"/>
      <c r="D25" s="3962"/>
      <c r="E25" s="3962"/>
      <c r="F25" s="3969"/>
      <c r="G25" s="3970"/>
      <c r="H25" s="3950"/>
      <c r="I25" s="3950"/>
      <c r="J25" s="3950"/>
      <c r="O25" s="63"/>
    </row>
    <row r="26" spans="1:15" ht="21.2" customHeight="1" x14ac:dyDescent="0.25">
      <c r="A26" s="1540"/>
      <c r="B26" s="1540"/>
      <c r="C26" s="3453"/>
      <c r="D26" s="3068" t="s">
        <v>976</v>
      </c>
      <c r="E26" s="3068"/>
      <c r="F26" s="2996"/>
      <c r="G26" s="2998"/>
      <c r="H26" s="3951"/>
      <c r="I26" s="3951"/>
      <c r="J26" s="3951"/>
      <c r="O26" s="63"/>
    </row>
    <row r="27" spans="1:15" ht="16.5" customHeight="1" x14ac:dyDescent="0.25">
      <c r="A27" s="1540"/>
      <c r="B27" s="1540"/>
      <c r="C27" s="3453"/>
      <c r="D27" s="3961" t="s">
        <v>835</v>
      </c>
      <c r="E27" s="3961"/>
      <c r="F27" s="3472"/>
      <c r="G27" s="3474"/>
      <c r="H27" s="3949"/>
      <c r="I27" s="3949"/>
      <c r="J27" s="3949"/>
      <c r="O27" s="63"/>
    </row>
    <row r="28" spans="1:15" ht="16.5" customHeight="1" x14ac:dyDescent="0.25">
      <c r="A28" s="1540"/>
      <c r="B28" s="1540"/>
      <c r="C28" s="3453"/>
      <c r="D28" s="3962"/>
      <c r="E28" s="3962"/>
      <c r="F28" s="3475"/>
      <c r="G28" s="3477"/>
      <c r="H28" s="3950"/>
      <c r="I28" s="3950"/>
      <c r="J28" s="3950"/>
      <c r="O28" s="63"/>
    </row>
    <row r="29" spans="1:15" ht="16.5" customHeight="1" x14ac:dyDescent="0.25">
      <c r="A29" s="1540"/>
      <c r="B29" s="1518"/>
      <c r="C29" s="3453"/>
      <c r="D29" s="3962"/>
      <c r="E29" s="3962"/>
      <c r="F29" s="3475"/>
      <c r="G29" s="3477"/>
      <c r="H29" s="3950"/>
      <c r="I29" s="3950"/>
      <c r="J29" s="3950"/>
      <c r="M29" s="21">
        <f>COUNTIF(H27:J32,"&gt;0")</f>
        <v>0</v>
      </c>
      <c r="O29" s="63"/>
    </row>
    <row r="30" spans="1:15" ht="18" customHeight="1" x14ac:dyDescent="0.25">
      <c r="A30" s="1540"/>
      <c r="B30" s="1518"/>
      <c r="C30" s="3453"/>
      <c r="D30" s="3962"/>
      <c r="E30" s="3962"/>
      <c r="F30" s="3475"/>
      <c r="G30" s="3477"/>
      <c r="H30" s="3950"/>
      <c r="I30" s="3950"/>
      <c r="J30" s="3950"/>
      <c r="O30" s="63"/>
    </row>
    <row r="31" spans="1:15" ht="16.5" customHeight="1" x14ac:dyDescent="0.25">
      <c r="A31" s="1540"/>
      <c r="B31" s="1540"/>
      <c r="C31" s="3453"/>
      <c r="D31" s="3962"/>
      <c r="E31" s="3962"/>
      <c r="F31" s="3475"/>
      <c r="G31" s="3477"/>
      <c r="H31" s="3950"/>
      <c r="I31" s="3950"/>
      <c r="J31" s="3950"/>
      <c r="O31" s="63"/>
    </row>
    <row r="32" spans="1:15" ht="15.75" customHeight="1" x14ac:dyDescent="0.25">
      <c r="A32" s="1540"/>
      <c r="B32" s="1540"/>
      <c r="C32" s="3454"/>
      <c r="D32" s="3067" t="s">
        <v>977</v>
      </c>
      <c r="E32" s="3000"/>
      <c r="F32" s="2996"/>
      <c r="G32" s="2998"/>
      <c r="H32" s="3951"/>
      <c r="I32" s="3951"/>
      <c r="J32" s="3951"/>
      <c r="O32" s="63"/>
    </row>
    <row r="33" spans="1:15" ht="16.5" customHeight="1" x14ac:dyDescent="0.25">
      <c r="A33" s="1540"/>
      <c r="B33" s="1540"/>
      <c r="C33" s="3930">
        <v>2</v>
      </c>
      <c r="D33" s="3961" t="s">
        <v>834</v>
      </c>
      <c r="E33" s="3961"/>
      <c r="F33" s="3472"/>
      <c r="G33" s="3474"/>
      <c r="H33" s="3949"/>
      <c r="I33" s="3949"/>
      <c r="J33" s="3949"/>
      <c r="O33" s="63"/>
    </row>
    <row r="34" spans="1:15" ht="16.5" customHeight="1" x14ac:dyDescent="0.25">
      <c r="A34" s="1540"/>
      <c r="B34" s="1540"/>
      <c r="C34" s="3966"/>
      <c r="D34" s="3472"/>
      <c r="E34" s="3474"/>
      <c r="F34" s="3475"/>
      <c r="G34" s="3477"/>
      <c r="H34" s="3950"/>
      <c r="I34" s="3950"/>
      <c r="J34" s="3950"/>
      <c r="M34" s="21">
        <f>COUNTIF(H33:J38,"&gt;0")</f>
        <v>0</v>
      </c>
      <c r="O34" s="63"/>
    </row>
    <row r="35" spans="1:15" ht="17.25" customHeight="1" x14ac:dyDescent="0.25">
      <c r="A35" s="1540"/>
      <c r="B35" s="1540"/>
      <c r="C35" s="3966"/>
      <c r="D35" s="3475"/>
      <c r="E35" s="3477"/>
      <c r="F35" s="3475"/>
      <c r="G35" s="3477"/>
      <c r="H35" s="3950"/>
      <c r="I35" s="3950"/>
      <c r="J35" s="3950"/>
      <c r="O35" s="63"/>
    </row>
    <row r="36" spans="1:15" ht="17.25" customHeight="1" x14ac:dyDescent="0.25">
      <c r="A36" s="1540"/>
      <c r="B36" s="1540"/>
      <c r="C36" s="3966"/>
      <c r="D36" s="3475"/>
      <c r="E36" s="3477"/>
      <c r="F36" s="3475"/>
      <c r="G36" s="3477"/>
      <c r="H36" s="3950"/>
      <c r="I36" s="3950"/>
      <c r="J36" s="3950"/>
      <c r="O36" s="63"/>
    </row>
    <row r="37" spans="1:15" ht="16.5" customHeight="1" x14ac:dyDescent="0.25">
      <c r="A37" s="1540"/>
      <c r="B37" s="1518"/>
      <c r="C37" s="3966"/>
      <c r="D37" s="3478"/>
      <c r="E37" s="3480"/>
      <c r="F37" s="3478"/>
      <c r="G37" s="3480"/>
      <c r="H37" s="3950"/>
      <c r="I37" s="3950"/>
      <c r="J37" s="3950"/>
      <c r="O37" s="63"/>
    </row>
    <row r="38" spans="1:15" ht="16.5" customHeight="1" x14ac:dyDescent="0.25">
      <c r="A38" s="1540"/>
      <c r="B38" s="1540"/>
      <c r="C38" s="3966"/>
      <c r="D38" s="3067" t="s">
        <v>976</v>
      </c>
      <c r="E38" s="3000"/>
      <c r="F38" s="2996"/>
      <c r="G38" s="2998"/>
      <c r="H38" s="3951"/>
      <c r="I38" s="3951"/>
      <c r="J38" s="3951"/>
      <c r="O38" s="63"/>
    </row>
    <row r="39" spans="1:15" ht="16.5" customHeight="1" x14ac:dyDescent="0.25">
      <c r="A39" s="1540"/>
      <c r="B39" s="1540"/>
      <c r="C39" s="3966"/>
      <c r="D39" s="3961" t="s">
        <v>835</v>
      </c>
      <c r="E39" s="3961"/>
      <c r="F39" s="3472"/>
      <c r="G39" s="3474"/>
      <c r="H39" s="3949"/>
      <c r="I39" s="3949"/>
      <c r="J39" s="3949"/>
      <c r="M39" s="21">
        <f>COUNTIF(H39:J45,"&gt;0")</f>
        <v>0</v>
      </c>
      <c r="O39" s="63"/>
    </row>
    <row r="40" spans="1:15" ht="16.5" customHeight="1" x14ac:dyDescent="0.25">
      <c r="A40" s="1540"/>
      <c r="B40" s="1540"/>
      <c r="C40" s="3966"/>
      <c r="D40" s="3804"/>
      <c r="E40" s="3810"/>
      <c r="F40" s="3475"/>
      <c r="G40" s="3477"/>
      <c r="H40" s="3950"/>
      <c r="I40" s="3950"/>
      <c r="J40" s="3950"/>
      <c r="O40" s="63"/>
    </row>
    <row r="41" spans="1:15" ht="16.5" customHeight="1" x14ac:dyDescent="0.25">
      <c r="A41" s="1540"/>
      <c r="B41" s="1540"/>
      <c r="C41" s="3966"/>
      <c r="D41" s="3806"/>
      <c r="E41" s="3927"/>
      <c r="F41" s="3475"/>
      <c r="G41" s="3477"/>
      <c r="H41" s="3950"/>
      <c r="I41" s="3950"/>
      <c r="J41" s="3950"/>
      <c r="O41" s="63"/>
    </row>
    <row r="42" spans="1:15" ht="16.5" customHeight="1" x14ac:dyDescent="0.25">
      <c r="A42" s="1540"/>
      <c r="B42" s="1540"/>
      <c r="C42" s="3966"/>
      <c r="D42" s="3806"/>
      <c r="E42" s="3927"/>
      <c r="F42" s="3475"/>
      <c r="G42" s="3477"/>
      <c r="H42" s="3950"/>
      <c r="I42" s="3950"/>
      <c r="J42" s="3950"/>
      <c r="O42" s="63"/>
    </row>
    <row r="43" spans="1:15" ht="16.5" customHeight="1" x14ac:dyDescent="0.25">
      <c r="A43" s="1540"/>
      <c r="B43" s="1540"/>
      <c r="C43" s="3966"/>
      <c r="D43" s="3807"/>
      <c r="E43" s="3928"/>
      <c r="F43" s="3478"/>
      <c r="G43" s="3480"/>
      <c r="H43" s="3950"/>
      <c r="I43" s="3950"/>
      <c r="J43" s="3950"/>
      <c r="O43" s="63"/>
    </row>
    <row r="44" spans="1:15" ht="16.5" customHeight="1" x14ac:dyDescent="0.25">
      <c r="A44" s="1540"/>
      <c r="B44" s="1540"/>
      <c r="C44" s="3932"/>
      <c r="D44" s="3067" t="s">
        <v>977</v>
      </c>
      <c r="E44" s="3000"/>
      <c r="F44" s="2996"/>
      <c r="G44" s="2998"/>
      <c r="H44" s="3950"/>
      <c r="I44" s="3950"/>
      <c r="J44" s="3950"/>
      <c r="O44" s="63"/>
    </row>
    <row r="45" spans="1:15" ht="16.5" customHeight="1" x14ac:dyDescent="0.25">
      <c r="A45" s="1540"/>
      <c r="B45" s="1540"/>
      <c r="C45" s="3963" t="s">
        <v>978</v>
      </c>
      <c r="D45" s="3964"/>
      <c r="E45" s="3964"/>
      <c r="F45" s="3964"/>
      <c r="G45" s="3965"/>
      <c r="H45" s="3951"/>
      <c r="I45" s="3951"/>
      <c r="J45" s="3951"/>
      <c r="O45" s="63"/>
    </row>
    <row r="46" spans="1:15" ht="16.5" customHeight="1" x14ac:dyDescent="0.25">
      <c r="A46" s="1540"/>
      <c r="B46" s="1540"/>
      <c r="C46" s="3452">
        <v>1</v>
      </c>
      <c r="D46" s="3961" t="s">
        <v>834</v>
      </c>
      <c r="E46" s="3961"/>
      <c r="F46" s="3472"/>
      <c r="G46" s="3474"/>
      <c r="H46" s="3949"/>
      <c r="I46" s="3949"/>
      <c r="J46" s="3949"/>
      <c r="O46" s="63"/>
    </row>
    <row r="47" spans="1:15" ht="16.5" customHeight="1" x14ac:dyDescent="0.25">
      <c r="A47" s="1540"/>
      <c r="B47" s="1540"/>
      <c r="C47" s="3453"/>
      <c r="D47" s="3806"/>
      <c r="E47" s="3927"/>
      <c r="F47" s="3475"/>
      <c r="G47" s="3477"/>
      <c r="H47" s="3950"/>
      <c r="I47" s="3950"/>
      <c r="J47" s="3950"/>
      <c r="M47" s="21">
        <f>COUNTIF(H46:J51,"&gt;0")</f>
        <v>0</v>
      </c>
      <c r="O47" s="63"/>
    </row>
    <row r="48" spans="1:15" ht="16.5" customHeight="1" x14ac:dyDescent="0.25">
      <c r="A48" s="1540"/>
      <c r="B48" s="1540"/>
      <c r="C48" s="3453"/>
      <c r="D48" s="3806"/>
      <c r="E48" s="3927"/>
      <c r="F48" s="3475"/>
      <c r="G48" s="3477"/>
      <c r="H48" s="3950"/>
      <c r="I48" s="3950"/>
      <c r="J48" s="3950"/>
      <c r="O48" s="63"/>
    </row>
    <row r="49" spans="1:15" ht="16.5" customHeight="1" x14ac:dyDescent="0.25">
      <c r="A49" s="1540"/>
      <c r="B49" s="1540"/>
      <c r="C49" s="3453"/>
      <c r="D49" s="3806"/>
      <c r="E49" s="3927"/>
      <c r="F49" s="3475"/>
      <c r="G49" s="3477"/>
      <c r="H49" s="3950"/>
      <c r="I49" s="3950"/>
      <c r="J49" s="3950"/>
      <c r="O49" s="63"/>
    </row>
    <row r="50" spans="1:15" ht="16.5" customHeight="1" x14ac:dyDescent="0.25">
      <c r="A50" s="1540"/>
      <c r="B50" s="1540"/>
      <c r="C50" s="3453"/>
      <c r="D50" s="3807"/>
      <c r="E50" s="3928"/>
      <c r="F50" s="3478"/>
      <c r="G50" s="3480"/>
      <c r="H50" s="3950"/>
      <c r="I50" s="3950"/>
      <c r="J50" s="3950"/>
      <c r="O50" s="63"/>
    </row>
    <row r="51" spans="1:15" ht="16.5" customHeight="1" x14ac:dyDescent="0.25">
      <c r="A51" s="1540"/>
      <c r="B51" s="1540"/>
      <c r="C51" s="3453"/>
      <c r="D51" s="3067" t="s">
        <v>976</v>
      </c>
      <c r="E51" s="3000"/>
      <c r="F51" s="2996"/>
      <c r="G51" s="2998"/>
      <c r="H51" s="3951"/>
      <c r="I51" s="3951"/>
      <c r="J51" s="3951"/>
      <c r="O51" s="63"/>
    </row>
    <row r="52" spans="1:15" ht="16.5" customHeight="1" x14ac:dyDescent="0.25">
      <c r="A52" s="1540"/>
      <c r="B52" s="1540"/>
      <c r="C52" s="3453"/>
      <c r="D52" s="3961" t="s">
        <v>835</v>
      </c>
      <c r="E52" s="3961"/>
      <c r="F52" s="3472"/>
      <c r="G52" s="3474"/>
      <c r="H52" s="3949"/>
      <c r="I52" s="3949"/>
      <c r="J52" s="3949"/>
      <c r="O52" s="63"/>
    </row>
    <row r="53" spans="1:15" ht="16.5" customHeight="1" x14ac:dyDescent="0.25">
      <c r="A53" s="1540"/>
      <c r="B53" s="1540"/>
      <c r="C53" s="3453"/>
      <c r="D53" s="3962"/>
      <c r="E53" s="3962"/>
      <c r="F53" s="3475"/>
      <c r="G53" s="3477"/>
      <c r="H53" s="3950"/>
      <c r="I53" s="3950"/>
      <c r="J53" s="3950"/>
      <c r="M53" s="21">
        <f>COUNTIF(H52:J57,"&gt;0")</f>
        <v>0</v>
      </c>
      <c r="O53" s="63"/>
    </row>
    <row r="54" spans="1:15" ht="16.5" customHeight="1" x14ac:dyDescent="0.25">
      <c r="A54" s="1540"/>
      <c r="B54" s="1540"/>
      <c r="C54" s="3453"/>
      <c r="D54" s="3962"/>
      <c r="E54" s="3962"/>
      <c r="F54" s="3475"/>
      <c r="G54" s="3477"/>
      <c r="H54" s="3950"/>
      <c r="I54" s="3950"/>
      <c r="J54" s="3950"/>
      <c r="O54" s="63"/>
    </row>
    <row r="55" spans="1:15" ht="16.5" customHeight="1" x14ac:dyDescent="0.25">
      <c r="A55" s="1540"/>
      <c r="B55" s="1540"/>
      <c r="C55" s="3453"/>
      <c r="D55" s="3962"/>
      <c r="E55" s="3962"/>
      <c r="F55" s="3475"/>
      <c r="G55" s="3477"/>
      <c r="H55" s="3950"/>
      <c r="I55" s="3950"/>
      <c r="J55" s="3950"/>
      <c r="O55" s="63"/>
    </row>
    <row r="56" spans="1:15" ht="16.5" customHeight="1" x14ac:dyDescent="0.25">
      <c r="A56" s="1540"/>
      <c r="B56" s="1540"/>
      <c r="C56" s="3453"/>
      <c r="D56" s="3962"/>
      <c r="E56" s="3962"/>
      <c r="F56" s="3478"/>
      <c r="G56" s="3480"/>
      <c r="H56" s="3950"/>
      <c r="I56" s="3950"/>
      <c r="J56" s="3950"/>
      <c r="O56" s="63"/>
    </row>
    <row r="57" spans="1:15" ht="16.5" customHeight="1" x14ac:dyDescent="0.25">
      <c r="A57" s="1540"/>
      <c r="B57" s="1540"/>
      <c r="C57" s="3454"/>
      <c r="D57" s="3067" t="s">
        <v>977</v>
      </c>
      <c r="E57" s="3000"/>
      <c r="F57" s="2996"/>
      <c r="G57" s="2998"/>
      <c r="H57" s="3951"/>
      <c r="I57" s="3951"/>
      <c r="J57" s="3951"/>
      <c r="O57" s="63"/>
    </row>
    <row r="58" spans="1:15" ht="16.5" customHeight="1" x14ac:dyDescent="0.25">
      <c r="A58" s="1540"/>
      <c r="B58" s="1540"/>
      <c r="C58" s="3452">
        <v>2</v>
      </c>
      <c r="D58" s="3961" t="s">
        <v>834</v>
      </c>
      <c r="E58" s="3961"/>
      <c r="F58" s="3472"/>
      <c r="G58" s="3474"/>
      <c r="H58" s="3949"/>
      <c r="I58" s="3949"/>
      <c r="J58" s="3949"/>
      <c r="O58" s="63"/>
    </row>
    <row r="59" spans="1:15" ht="16.5" customHeight="1" x14ac:dyDescent="0.25">
      <c r="A59" s="1540"/>
      <c r="B59" s="1540"/>
      <c r="C59" s="3453"/>
      <c r="D59" s="3472"/>
      <c r="E59" s="3474"/>
      <c r="F59" s="3475"/>
      <c r="G59" s="3477"/>
      <c r="H59" s="3950"/>
      <c r="I59" s="3950"/>
      <c r="J59" s="3950"/>
      <c r="M59" s="21">
        <f>COUNTIF(H58:J63,"&gt;0")</f>
        <v>0</v>
      </c>
      <c r="O59" s="63"/>
    </row>
    <row r="60" spans="1:15" ht="16.5" customHeight="1" x14ac:dyDescent="0.25">
      <c r="A60" s="1540"/>
      <c r="B60" s="1540"/>
      <c r="C60" s="3453"/>
      <c r="D60" s="3475"/>
      <c r="E60" s="3477"/>
      <c r="F60" s="3475"/>
      <c r="G60" s="3477"/>
      <c r="H60" s="3950"/>
      <c r="I60" s="3950"/>
      <c r="J60" s="3950"/>
      <c r="O60" s="63"/>
    </row>
    <row r="61" spans="1:15" ht="16.5" customHeight="1" x14ac:dyDescent="0.25">
      <c r="A61" s="1540"/>
      <c r="B61" s="1540"/>
      <c r="C61" s="3453"/>
      <c r="D61" s="3475"/>
      <c r="E61" s="3477"/>
      <c r="F61" s="3475"/>
      <c r="G61" s="3477"/>
      <c r="H61" s="3950"/>
      <c r="I61" s="3950"/>
      <c r="J61" s="3950"/>
      <c r="O61" s="63"/>
    </row>
    <row r="62" spans="1:15" ht="16.5" customHeight="1" x14ac:dyDescent="0.25">
      <c r="A62" s="1540"/>
      <c r="B62" s="1540"/>
      <c r="C62" s="3453"/>
      <c r="D62" s="3478"/>
      <c r="E62" s="3480"/>
      <c r="F62" s="3478"/>
      <c r="G62" s="3480"/>
      <c r="H62" s="3950"/>
      <c r="I62" s="3950"/>
      <c r="J62" s="3950"/>
      <c r="O62" s="63"/>
    </row>
    <row r="63" spans="1:15" ht="16.5" customHeight="1" x14ac:dyDescent="0.25">
      <c r="A63" s="1540"/>
      <c r="B63" s="1540"/>
      <c r="C63" s="3453"/>
      <c r="D63" s="3067" t="s">
        <v>976</v>
      </c>
      <c r="E63" s="3000"/>
      <c r="F63" s="2996"/>
      <c r="G63" s="2998"/>
      <c r="H63" s="3951"/>
      <c r="I63" s="3951"/>
      <c r="J63" s="3951"/>
      <c r="O63" s="63"/>
    </row>
    <row r="64" spans="1:15" ht="16.5" customHeight="1" x14ac:dyDescent="0.25">
      <c r="A64" s="1540"/>
      <c r="B64" s="1540"/>
      <c r="C64" s="3453"/>
      <c r="D64" s="3961" t="s">
        <v>835</v>
      </c>
      <c r="E64" s="3961"/>
      <c r="F64" s="3472"/>
      <c r="G64" s="3474"/>
      <c r="H64" s="3949"/>
      <c r="I64" s="3949"/>
      <c r="J64" s="3949"/>
      <c r="O64" s="63"/>
    </row>
    <row r="65" spans="1:15" ht="16.5" customHeight="1" x14ac:dyDescent="0.25">
      <c r="A65" s="1540"/>
      <c r="B65" s="1540"/>
      <c r="C65" s="3453"/>
      <c r="D65" s="3804"/>
      <c r="E65" s="3810"/>
      <c r="F65" s="3475"/>
      <c r="G65" s="3477"/>
      <c r="H65" s="3950"/>
      <c r="I65" s="3950"/>
      <c r="J65" s="3950"/>
      <c r="M65" s="21">
        <f>COUNTIF(H64:J69,"&gt;0")</f>
        <v>0</v>
      </c>
      <c r="O65" s="63"/>
    </row>
    <row r="66" spans="1:15" ht="16.5" customHeight="1" x14ac:dyDescent="0.25">
      <c r="A66" s="1540"/>
      <c r="B66" s="1540"/>
      <c r="C66" s="3453"/>
      <c r="D66" s="3806"/>
      <c r="E66" s="3927"/>
      <c r="F66" s="3475"/>
      <c r="G66" s="3477"/>
      <c r="H66" s="3950"/>
      <c r="I66" s="3950"/>
      <c r="J66" s="3950"/>
      <c r="O66" s="63"/>
    </row>
    <row r="67" spans="1:15" ht="16.5" customHeight="1" x14ac:dyDescent="0.25">
      <c r="A67" s="1540"/>
      <c r="B67" s="1540"/>
      <c r="C67" s="3453"/>
      <c r="D67" s="3806"/>
      <c r="E67" s="3927"/>
      <c r="F67" s="3475"/>
      <c r="G67" s="3477"/>
      <c r="H67" s="3950"/>
      <c r="I67" s="3950"/>
      <c r="J67" s="3950"/>
      <c r="O67" s="63"/>
    </row>
    <row r="68" spans="1:15" ht="16.5" customHeight="1" x14ac:dyDescent="0.25">
      <c r="A68" s="1540"/>
      <c r="B68" s="1540"/>
      <c r="C68" s="3453"/>
      <c r="D68" s="3807"/>
      <c r="E68" s="3928"/>
      <c r="F68" s="3478"/>
      <c r="G68" s="3480"/>
      <c r="H68" s="3950"/>
      <c r="I68" s="3950"/>
      <c r="J68" s="3950"/>
      <c r="O68" s="63"/>
    </row>
    <row r="69" spans="1:15" ht="32.25" customHeight="1" x14ac:dyDescent="0.25">
      <c r="A69" s="1540"/>
      <c r="B69" s="150"/>
      <c r="C69" s="3454"/>
      <c r="D69" s="3067" t="s">
        <v>977</v>
      </c>
      <c r="E69" s="3000"/>
      <c r="F69" s="2996"/>
      <c r="G69" s="2998"/>
      <c r="H69" s="3951"/>
      <c r="I69" s="3951"/>
      <c r="J69" s="3951"/>
      <c r="O69" s="63"/>
    </row>
    <row r="70" spans="1:15" ht="16.5" customHeight="1" x14ac:dyDescent="0.25">
      <c r="A70" s="149"/>
      <c r="B70" s="1487"/>
      <c r="C70" s="1541"/>
      <c r="D70" s="1472"/>
      <c r="E70" s="1472"/>
      <c r="F70" s="1472"/>
      <c r="G70" s="1472"/>
      <c r="H70" s="2396"/>
      <c r="I70" s="2396"/>
      <c r="J70" s="1543"/>
      <c r="O70" s="63"/>
    </row>
    <row r="71" spans="1:15" ht="16.5" customHeight="1" x14ac:dyDescent="0.25">
      <c r="A71" s="1540"/>
      <c r="B71" s="150"/>
      <c r="C71" s="3915" t="s">
        <v>251</v>
      </c>
      <c r="D71" s="3452" t="s">
        <v>437</v>
      </c>
      <c r="E71" s="3452"/>
      <c r="F71" s="3452" t="s">
        <v>438</v>
      </c>
      <c r="G71" s="3452"/>
      <c r="H71" s="3954" t="s">
        <v>439</v>
      </c>
      <c r="I71" s="3956" t="s">
        <v>40</v>
      </c>
      <c r="J71" s="3957"/>
      <c r="O71" s="63"/>
    </row>
    <row r="72" spans="1:15" ht="16.5" customHeight="1" x14ac:dyDescent="0.25">
      <c r="A72" s="1540"/>
      <c r="B72" s="150"/>
      <c r="C72" s="3916"/>
      <c r="D72" s="3454"/>
      <c r="E72" s="3454"/>
      <c r="F72" s="3454"/>
      <c r="G72" s="3454"/>
      <c r="H72" s="3955"/>
      <c r="I72" s="3956"/>
      <c r="J72" s="3957"/>
      <c r="O72" s="63"/>
    </row>
    <row r="73" spans="1:15" ht="16.5" customHeight="1" x14ac:dyDescent="0.25">
      <c r="A73" s="1540"/>
      <c r="B73" s="150"/>
      <c r="C73" s="3958" t="s">
        <v>968</v>
      </c>
      <c r="D73" s="3959"/>
      <c r="E73" s="3959"/>
      <c r="F73" s="3959"/>
      <c r="G73" s="3960"/>
      <c r="H73" s="1503"/>
      <c r="I73" s="3067"/>
      <c r="J73" s="3000"/>
      <c r="O73" s="63"/>
    </row>
    <row r="74" spans="1:15" ht="16.5" customHeight="1" x14ac:dyDescent="0.25">
      <c r="A74" s="1540"/>
      <c r="B74" s="150"/>
      <c r="C74" s="3915">
        <v>1</v>
      </c>
      <c r="D74" s="3947" t="s">
        <v>768</v>
      </c>
      <c r="E74" s="3948"/>
      <c r="F74" s="3947" t="s">
        <v>1784</v>
      </c>
      <c r="G74" s="3948"/>
      <c r="H74" s="3949">
        <v>30000000000</v>
      </c>
      <c r="I74" s="3952" t="s">
        <v>1799</v>
      </c>
      <c r="J74" s="3953"/>
      <c r="O74" s="63"/>
    </row>
    <row r="75" spans="1:15" ht="16.5" customHeight="1" x14ac:dyDescent="0.25">
      <c r="A75" s="1540"/>
      <c r="B75" s="150"/>
      <c r="C75" s="3926"/>
      <c r="D75" s="3770"/>
      <c r="E75" s="3772"/>
      <c r="F75" s="3770"/>
      <c r="G75" s="3772"/>
      <c r="H75" s="3950"/>
      <c r="I75" s="3952"/>
      <c r="J75" s="3953"/>
      <c r="O75" s="63"/>
    </row>
    <row r="76" spans="1:15" ht="16.5" customHeight="1" x14ac:dyDescent="0.25">
      <c r="A76" s="1540"/>
      <c r="B76" s="150"/>
      <c r="C76" s="3926"/>
      <c r="D76" s="3770"/>
      <c r="E76" s="3772"/>
      <c r="F76" s="3770"/>
      <c r="G76" s="3772"/>
      <c r="H76" s="3950"/>
      <c r="I76" s="3952"/>
      <c r="J76" s="3953"/>
      <c r="K76" s="2521"/>
      <c r="O76" s="63"/>
    </row>
    <row r="77" spans="1:15" ht="16.5" customHeight="1" x14ac:dyDescent="0.25">
      <c r="A77" s="1540"/>
      <c r="B77" s="150"/>
      <c r="C77" s="3926"/>
      <c r="D77" s="3770"/>
      <c r="E77" s="3772"/>
      <c r="F77" s="3770"/>
      <c r="G77" s="3772"/>
      <c r="H77" s="3950"/>
      <c r="I77" s="3952"/>
      <c r="J77" s="3953"/>
      <c r="K77" s="36"/>
      <c r="O77" s="63"/>
    </row>
    <row r="78" spans="1:15" ht="16.5" customHeight="1" x14ac:dyDescent="0.25">
      <c r="A78" s="1540"/>
      <c r="B78" s="150"/>
      <c r="C78" s="3926"/>
      <c r="D78" s="3770"/>
      <c r="E78" s="3772"/>
      <c r="F78" s="3770"/>
      <c r="G78" s="3772"/>
      <c r="H78" s="3950"/>
      <c r="I78" s="3952"/>
      <c r="J78" s="3953"/>
      <c r="O78" s="63"/>
    </row>
    <row r="79" spans="1:15" ht="16.5" customHeight="1" x14ac:dyDescent="0.25">
      <c r="A79" s="1540"/>
      <c r="B79" s="150"/>
      <c r="C79" s="3916"/>
      <c r="D79" s="3068" t="s">
        <v>37</v>
      </c>
      <c r="E79" s="3068"/>
      <c r="F79" s="2996"/>
      <c r="G79" s="2998"/>
      <c r="H79" s="3951"/>
      <c r="I79" s="3952"/>
      <c r="J79" s="3953"/>
      <c r="O79" s="63"/>
    </row>
    <row r="80" spans="1:15" ht="16.5" customHeight="1" x14ac:dyDescent="0.25">
      <c r="A80" s="1540"/>
      <c r="B80" s="150"/>
      <c r="C80" s="3915">
        <v>2</v>
      </c>
      <c r="D80" s="3947"/>
      <c r="E80" s="3948"/>
      <c r="F80" s="3947"/>
      <c r="G80" s="3948"/>
      <c r="H80" s="3949"/>
      <c r="I80" s="3952"/>
      <c r="J80" s="3953"/>
      <c r="O80" s="63"/>
    </row>
    <row r="81" spans="1:15" ht="16.5" customHeight="1" x14ac:dyDescent="0.25">
      <c r="A81" s="1540"/>
      <c r="B81" s="150"/>
      <c r="C81" s="3926"/>
      <c r="D81" s="3770"/>
      <c r="E81" s="3772"/>
      <c r="F81" s="3770"/>
      <c r="G81" s="3772"/>
      <c r="H81" s="3950"/>
      <c r="I81" s="3952"/>
      <c r="J81" s="3953"/>
      <c r="O81" s="63"/>
    </row>
    <row r="82" spans="1:15" ht="16.5" customHeight="1" x14ac:dyDescent="0.25">
      <c r="A82" s="1540"/>
      <c r="B82" s="150"/>
      <c r="C82" s="3926"/>
      <c r="D82" s="3770"/>
      <c r="E82" s="3772"/>
      <c r="F82" s="3770"/>
      <c r="G82" s="3772"/>
      <c r="H82" s="3950"/>
      <c r="I82" s="3952"/>
      <c r="J82" s="3953"/>
      <c r="O82" s="63"/>
    </row>
    <row r="83" spans="1:15" ht="16.5" customHeight="1" x14ac:dyDescent="0.25">
      <c r="A83" s="1540"/>
      <c r="B83" s="150"/>
      <c r="C83" s="3926"/>
      <c r="D83" s="3770"/>
      <c r="E83" s="3772"/>
      <c r="F83" s="3770"/>
      <c r="G83" s="3772"/>
      <c r="H83" s="3950"/>
      <c r="I83" s="3952"/>
      <c r="J83" s="3953"/>
      <c r="O83" s="63"/>
    </row>
    <row r="84" spans="1:15" ht="16.5" customHeight="1" x14ac:dyDescent="0.25">
      <c r="A84" s="1540"/>
      <c r="B84" s="150"/>
      <c r="C84" s="3926"/>
      <c r="D84" s="3770"/>
      <c r="E84" s="3772"/>
      <c r="F84" s="3770"/>
      <c r="G84" s="3772"/>
      <c r="H84" s="3950"/>
      <c r="I84" s="3952"/>
      <c r="J84" s="3953"/>
      <c r="O84" s="63"/>
    </row>
    <row r="85" spans="1:15" ht="16.5" customHeight="1" x14ac:dyDescent="0.25">
      <c r="A85" s="1540"/>
      <c r="B85" s="150"/>
      <c r="C85" s="3916"/>
      <c r="D85" s="3068" t="s">
        <v>37</v>
      </c>
      <c r="E85" s="3068"/>
      <c r="F85" s="2996"/>
      <c r="G85" s="2998"/>
      <c r="H85" s="3951"/>
      <c r="I85" s="3952"/>
      <c r="J85" s="3953"/>
      <c r="O85" s="63"/>
    </row>
    <row r="86" spans="1:15" ht="18.75" customHeight="1" x14ac:dyDescent="0.25">
      <c r="A86" s="1540"/>
      <c r="B86" s="150"/>
      <c r="C86" s="3915">
        <v>3</v>
      </c>
      <c r="D86" s="3947"/>
      <c r="E86" s="3948"/>
      <c r="F86" s="3947"/>
      <c r="G86" s="3948"/>
      <c r="H86" s="3949"/>
      <c r="I86" s="3952"/>
      <c r="J86" s="3953"/>
      <c r="O86" s="63"/>
    </row>
    <row r="87" spans="1:15" ht="18.75" customHeight="1" x14ac:dyDescent="0.25">
      <c r="A87" s="1540"/>
      <c r="B87" s="150"/>
      <c r="C87" s="3926"/>
      <c r="D87" s="3770"/>
      <c r="E87" s="3772"/>
      <c r="F87" s="3770"/>
      <c r="G87" s="3772"/>
      <c r="H87" s="3950"/>
      <c r="I87" s="3952"/>
      <c r="J87" s="3953"/>
      <c r="O87" s="63"/>
    </row>
    <row r="88" spans="1:15" ht="18.75" customHeight="1" x14ac:dyDescent="0.25">
      <c r="A88" s="1540"/>
      <c r="B88" s="150"/>
      <c r="C88" s="3926"/>
      <c r="D88" s="3770"/>
      <c r="E88" s="3772"/>
      <c r="F88" s="3770"/>
      <c r="G88" s="3772"/>
      <c r="H88" s="3950"/>
      <c r="I88" s="3952"/>
      <c r="J88" s="3953"/>
      <c r="O88" s="63"/>
    </row>
    <row r="89" spans="1:15" ht="18.75" customHeight="1" x14ac:dyDescent="0.25">
      <c r="A89" s="1540"/>
      <c r="B89" s="150"/>
      <c r="C89" s="3926"/>
      <c r="D89" s="3770"/>
      <c r="E89" s="3772"/>
      <c r="F89" s="3770"/>
      <c r="G89" s="3772"/>
      <c r="H89" s="3950"/>
      <c r="I89" s="3952"/>
      <c r="J89" s="3953"/>
      <c r="O89" s="63"/>
    </row>
    <row r="90" spans="1:15" ht="18.75" customHeight="1" x14ac:dyDescent="0.25">
      <c r="A90" s="1540"/>
      <c r="B90" s="150"/>
      <c r="C90" s="3926"/>
      <c r="D90" s="3770"/>
      <c r="E90" s="3772"/>
      <c r="F90" s="3770"/>
      <c r="G90" s="3772"/>
      <c r="H90" s="3950"/>
      <c r="I90" s="3952"/>
      <c r="J90" s="3953"/>
      <c r="O90" s="63"/>
    </row>
    <row r="91" spans="1:15" ht="18.75" customHeight="1" x14ac:dyDescent="0.25">
      <c r="A91" s="1540"/>
      <c r="B91" s="150"/>
      <c r="C91" s="3916"/>
      <c r="D91" s="3068" t="s">
        <v>37</v>
      </c>
      <c r="E91" s="3068"/>
      <c r="F91" s="2996"/>
      <c r="G91" s="2998"/>
      <c r="H91" s="3951"/>
      <c r="I91" s="3952"/>
      <c r="J91" s="3953"/>
      <c r="O91" s="63"/>
    </row>
    <row r="92" spans="1:15" ht="18.75" customHeight="1" x14ac:dyDescent="0.25">
      <c r="A92" s="149"/>
      <c r="B92" s="1487"/>
      <c r="C92" s="1541"/>
      <c r="D92" s="1472"/>
      <c r="E92" s="1472"/>
      <c r="F92" s="1472"/>
      <c r="G92" s="1472"/>
      <c r="H92" s="2396"/>
      <c r="I92" s="2396"/>
      <c r="J92" s="1543"/>
      <c r="O92" s="63"/>
    </row>
    <row r="93" spans="1:15" ht="18.75" customHeight="1" x14ac:dyDescent="0.25">
      <c r="A93" s="1540"/>
      <c r="B93" s="150"/>
      <c r="C93" s="3915" t="s">
        <v>251</v>
      </c>
      <c r="D93" s="3452" t="s">
        <v>979</v>
      </c>
      <c r="E93" s="3452"/>
      <c r="F93" s="3452" t="s">
        <v>980</v>
      </c>
      <c r="G93" s="3452"/>
      <c r="H93" s="3934" t="s">
        <v>981</v>
      </c>
      <c r="I93" s="3935"/>
      <c r="J93" s="1540"/>
      <c r="O93" s="63"/>
    </row>
    <row r="94" spans="1:15" ht="27.75" customHeight="1" x14ac:dyDescent="0.25">
      <c r="A94" s="1540"/>
      <c r="B94" s="150"/>
      <c r="C94" s="3916"/>
      <c r="D94" s="3454"/>
      <c r="E94" s="3454"/>
      <c r="F94" s="3454"/>
      <c r="G94" s="3454"/>
      <c r="H94" s="3936"/>
      <c r="I94" s="3937"/>
      <c r="J94" s="1540"/>
      <c r="O94" s="63"/>
    </row>
    <row r="95" spans="1:15" ht="18.75" customHeight="1" x14ac:dyDescent="0.25">
      <c r="A95" s="1540"/>
      <c r="B95" s="150"/>
      <c r="C95" s="3938" t="s">
        <v>982</v>
      </c>
      <c r="D95" s="3939"/>
      <c r="E95" s="3939"/>
      <c r="F95" s="3939"/>
      <c r="G95" s="3940"/>
      <c r="H95" s="3941"/>
      <c r="I95" s="3942"/>
      <c r="J95" s="1543"/>
      <c r="O95" s="63"/>
    </row>
    <row r="96" spans="1:15" ht="18.75" customHeight="1" x14ac:dyDescent="0.25">
      <c r="A96" s="1540"/>
      <c r="B96" s="150"/>
      <c r="C96" s="3915">
        <v>1</v>
      </c>
      <c r="D96" s="3804"/>
      <c r="E96" s="3810"/>
      <c r="F96" s="3804"/>
      <c r="G96" s="3810"/>
      <c r="H96" s="3943"/>
      <c r="I96" s="3944"/>
      <c r="J96" s="1543"/>
      <c r="O96" s="63"/>
    </row>
    <row r="97" spans="1:15" ht="18.75" customHeight="1" x14ac:dyDescent="0.25">
      <c r="A97" s="1540"/>
      <c r="B97" s="150"/>
      <c r="C97" s="3926"/>
      <c r="D97" s="3806"/>
      <c r="E97" s="3927"/>
      <c r="F97" s="3806"/>
      <c r="G97" s="3927"/>
      <c r="H97" s="3943"/>
      <c r="I97" s="3944"/>
      <c r="J97" s="1543"/>
      <c r="O97" s="63"/>
    </row>
    <row r="98" spans="1:15" ht="18.75" customHeight="1" x14ac:dyDescent="0.25">
      <c r="A98" s="1540"/>
      <c r="B98" s="150"/>
      <c r="C98" s="3926"/>
      <c r="D98" s="3806"/>
      <c r="E98" s="3927"/>
      <c r="F98" s="3806"/>
      <c r="G98" s="3927"/>
      <c r="H98" s="3943"/>
      <c r="I98" s="3944"/>
      <c r="J98" s="1543"/>
      <c r="O98" s="63"/>
    </row>
    <row r="99" spans="1:15" ht="18.75" customHeight="1" x14ac:dyDescent="0.25">
      <c r="A99" s="1540"/>
      <c r="B99" s="150"/>
      <c r="C99" s="3926"/>
      <c r="D99" s="3806"/>
      <c r="E99" s="3927"/>
      <c r="F99" s="3806"/>
      <c r="G99" s="3927"/>
      <c r="H99" s="3943"/>
      <c r="I99" s="3944"/>
      <c r="J99" s="1543"/>
      <c r="O99" s="63"/>
    </row>
    <row r="100" spans="1:15" ht="18.75" customHeight="1" x14ac:dyDescent="0.25">
      <c r="A100" s="1540"/>
      <c r="B100" s="150"/>
      <c r="C100" s="3926"/>
      <c r="D100" s="3806"/>
      <c r="E100" s="3927"/>
      <c r="F100" s="3806"/>
      <c r="G100" s="3927"/>
      <c r="H100" s="3943"/>
      <c r="I100" s="3944"/>
      <c r="J100" s="1543"/>
      <c r="O100" s="63"/>
    </row>
    <row r="101" spans="1:15" ht="18.75" customHeight="1" x14ac:dyDescent="0.25">
      <c r="A101" s="1540"/>
      <c r="B101" s="150"/>
      <c r="C101" s="3916"/>
      <c r="D101" s="3807"/>
      <c r="E101" s="3928"/>
      <c r="F101" s="3807"/>
      <c r="G101" s="3928"/>
      <c r="H101" s="3945"/>
      <c r="I101" s="3946"/>
      <c r="J101" s="1543"/>
      <c r="O101" s="63"/>
    </row>
    <row r="102" spans="1:15" ht="33" customHeight="1" x14ac:dyDescent="0.25">
      <c r="A102" s="1540"/>
      <c r="B102" s="150"/>
      <c r="C102" s="3915">
        <v>2</v>
      </c>
      <c r="D102" s="3804"/>
      <c r="E102" s="3810"/>
      <c r="F102" s="3804"/>
      <c r="G102" s="3810"/>
      <c r="H102" s="3472"/>
      <c r="I102" s="3474"/>
      <c r="J102" s="1543"/>
      <c r="O102" s="63"/>
    </row>
    <row r="103" spans="1:15" ht="33" customHeight="1" x14ac:dyDescent="0.25">
      <c r="A103" s="1540"/>
      <c r="B103" s="150"/>
      <c r="C103" s="3926"/>
      <c r="D103" s="3806"/>
      <c r="E103" s="3927"/>
      <c r="F103" s="3806"/>
      <c r="G103" s="3927"/>
      <c r="H103" s="3475"/>
      <c r="I103" s="3477"/>
      <c r="J103" s="1543"/>
      <c r="O103" s="63"/>
    </row>
    <row r="104" spans="1:15" ht="32.25" customHeight="1" x14ac:dyDescent="0.25">
      <c r="A104" s="1540"/>
      <c r="B104" s="150"/>
      <c r="C104" s="3926"/>
      <c r="D104" s="3806"/>
      <c r="E104" s="3927"/>
      <c r="F104" s="3806"/>
      <c r="G104" s="3927"/>
      <c r="H104" s="3475"/>
      <c r="I104" s="3477"/>
      <c r="J104" s="1543"/>
      <c r="O104" s="63"/>
    </row>
    <row r="105" spans="1:15" ht="18" customHeight="1" x14ac:dyDescent="0.25">
      <c r="A105" s="1540"/>
      <c r="B105" s="150"/>
      <c r="C105" s="3926"/>
      <c r="D105" s="3806"/>
      <c r="E105" s="3927"/>
      <c r="F105" s="3806"/>
      <c r="G105" s="3927"/>
      <c r="H105" s="3475"/>
      <c r="I105" s="3477"/>
      <c r="J105" s="1543"/>
      <c r="O105" s="63"/>
    </row>
    <row r="106" spans="1:15" ht="18" customHeight="1" x14ac:dyDescent="0.25">
      <c r="A106" s="1540"/>
      <c r="B106" s="150"/>
      <c r="C106" s="3926"/>
      <c r="D106" s="3806"/>
      <c r="E106" s="3927"/>
      <c r="F106" s="3806"/>
      <c r="G106" s="3927"/>
      <c r="H106" s="3475"/>
      <c r="I106" s="3477"/>
      <c r="J106" s="1543"/>
      <c r="O106" s="63"/>
    </row>
    <row r="107" spans="1:15" ht="18" customHeight="1" x14ac:dyDescent="0.25">
      <c r="A107" s="1540"/>
      <c r="B107" s="150"/>
      <c r="C107" s="3916"/>
      <c r="D107" s="3807"/>
      <c r="E107" s="3928"/>
      <c r="F107" s="3807"/>
      <c r="G107" s="3928"/>
      <c r="H107" s="3478"/>
      <c r="I107" s="3480"/>
      <c r="J107" s="1543"/>
      <c r="O107" s="63"/>
    </row>
    <row r="108" spans="1:15" ht="18" customHeight="1" x14ac:dyDescent="0.25">
      <c r="A108" s="149"/>
      <c r="B108" s="1487"/>
      <c r="C108" s="1505"/>
      <c r="D108" s="1505"/>
      <c r="E108" s="1505"/>
      <c r="F108" s="1505"/>
      <c r="G108" s="1505"/>
      <c r="H108" s="1495"/>
      <c r="I108" s="1495"/>
      <c r="J108" s="1543"/>
      <c r="O108" s="63"/>
    </row>
    <row r="109" spans="1:15" ht="18" customHeight="1" x14ac:dyDescent="0.25">
      <c r="A109" s="149"/>
      <c r="B109" s="1487"/>
      <c r="C109" s="1505"/>
      <c r="D109" s="1505"/>
      <c r="E109" s="1505"/>
      <c r="F109" s="1505"/>
      <c r="G109" s="1505"/>
      <c r="H109" s="1495"/>
      <c r="I109" s="1495"/>
      <c r="J109" s="1543"/>
      <c r="O109" s="63"/>
    </row>
    <row r="110" spans="1:15" ht="18" customHeight="1" x14ac:dyDescent="0.25">
      <c r="A110" s="149"/>
      <c r="B110" s="1487"/>
      <c r="C110" s="1541"/>
      <c r="D110" s="1472"/>
      <c r="E110" s="1472"/>
      <c r="F110" s="1472"/>
      <c r="G110" s="1472"/>
      <c r="H110" s="2396"/>
      <c r="I110" s="2396"/>
      <c r="J110" s="1543"/>
      <c r="O110" s="63"/>
    </row>
    <row r="111" spans="1:15" ht="18.75" customHeight="1" x14ac:dyDescent="0.25">
      <c r="A111" s="1540"/>
      <c r="B111" s="3929" t="s">
        <v>213</v>
      </c>
      <c r="C111" s="3067" t="s">
        <v>214</v>
      </c>
      <c r="D111" s="2999"/>
      <c r="E111" s="2999"/>
      <c r="F111" s="3000"/>
      <c r="G111" s="3452" t="s">
        <v>364</v>
      </c>
      <c r="H111" s="3930" t="s">
        <v>369</v>
      </c>
      <c r="I111" s="3931"/>
      <c r="J111" s="1540"/>
      <c r="O111" s="63"/>
    </row>
    <row r="112" spans="1:15" ht="18" customHeight="1" x14ac:dyDescent="0.25">
      <c r="A112" s="1540"/>
      <c r="B112" s="3929"/>
      <c r="C112" s="3067" t="s">
        <v>973</v>
      </c>
      <c r="D112" s="3000"/>
      <c r="E112" s="1461" t="s">
        <v>974</v>
      </c>
      <c r="F112" s="1461" t="s">
        <v>39</v>
      </c>
      <c r="G112" s="3454"/>
      <c r="H112" s="3932"/>
      <c r="I112" s="3933"/>
      <c r="J112" s="1540"/>
      <c r="O112" s="63"/>
    </row>
    <row r="113" spans="1:15" ht="18.75" customHeight="1" x14ac:dyDescent="0.25">
      <c r="A113" s="1540"/>
      <c r="B113" s="3204" t="s">
        <v>1785</v>
      </c>
      <c r="C113" s="3205"/>
      <c r="D113" s="3205"/>
      <c r="E113" s="3205"/>
      <c r="F113" s="3206"/>
      <c r="G113" s="121">
        <v>0.7</v>
      </c>
      <c r="H113" s="3922">
        <f>+G113*L115</f>
        <v>4900000000</v>
      </c>
      <c r="I113" s="3923"/>
      <c r="J113" s="1540"/>
      <c r="O113" s="63"/>
    </row>
    <row r="114" spans="1:15" ht="18.75" customHeight="1" x14ac:dyDescent="0.25">
      <c r="A114" s="1540"/>
      <c r="B114" s="3082" t="s">
        <v>1786</v>
      </c>
      <c r="C114" s="3083"/>
      <c r="D114" s="3083"/>
      <c r="E114" s="3083"/>
      <c r="F114" s="3084"/>
      <c r="G114" s="1523">
        <v>0.55000000000000004</v>
      </c>
      <c r="H114" s="3922">
        <f>+L115*G114</f>
        <v>3850000000.0000005</v>
      </c>
      <c r="I114" s="3923"/>
      <c r="J114" s="1540"/>
      <c r="O114" s="63"/>
    </row>
    <row r="115" spans="1:15" ht="18.75" customHeight="1" x14ac:dyDescent="0.25">
      <c r="A115" s="1540"/>
      <c r="B115" s="3082" t="s">
        <v>442</v>
      </c>
      <c r="C115" s="3083"/>
      <c r="D115" s="3083"/>
      <c r="E115" s="3083"/>
      <c r="F115" s="3084"/>
      <c r="G115" s="1244">
        <v>1.25</v>
      </c>
      <c r="H115" s="3924">
        <f>SUM(H113:I114)</f>
        <v>8750000000</v>
      </c>
      <c r="I115" s="3925"/>
      <c r="J115" s="1540"/>
      <c r="L115" s="2525">
        <v>7000000000</v>
      </c>
    </row>
    <row r="116" spans="1:15" ht="18.75" customHeight="1" x14ac:dyDescent="0.25">
      <c r="A116" s="1540"/>
      <c r="B116" s="1463"/>
      <c r="C116" s="1464"/>
      <c r="D116" s="1464"/>
      <c r="E116" s="1464"/>
      <c r="F116" s="1465"/>
      <c r="G116" s="1245"/>
      <c r="H116" s="125"/>
      <c r="I116" s="126"/>
      <c r="J116" s="1540"/>
    </row>
    <row r="117" spans="1:15" ht="18.75" customHeight="1" x14ac:dyDescent="0.25">
      <c r="A117" s="1540"/>
      <c r="B117" s="145" t="s">
        <v>251</v>
      </c>
      <c r="C117" s="3512" t="s">
        <v>964</v>
      </c>
      <c r="D117" s="3513"/>
      <c r="E117" s="127" t="s">
        <v>965</v>
      </c>
      <c r="F117" s="127" t="s">
        <v>39</v>
      </c>
      <c r="G117" s="1522" t="s">
        <v>364</v>
      </c>
      <c r="H117" s="3512" t="s">
        <v>444</v>
      </c>
      <c r="I117" s="3513"/>
      <c r="J117" s="1540"/>
    </row>
    <row r="118" spans="1:15" ht="18.75" customHeight="1" x14ac:dyDescent="0.25">
      <c r="A118" s="1540"/>
      <c r="B118" s="3674" t="s">
        <v>966</v>
      </c>
      <c r="C118" s="3675"/>
      <c r="D118" s="3675"/>
      <c r="E118" s="3675"/>
      <c r="F118" s="3676"/>
      <c r="G118" s="3907">
        <v>1</v>
      </c>
      <c r="H118" s="3067"/>
      <c r="I118" s="3000"/>
      <c r="J118" s="1540"/>
    </row>
    <row r="119" spans="1:15" ht="18.75" customHeight="1" x14ac:dyDescent="0.25">
      <c r="A119" s="1540"/>
      <c r="B119" s="3915">
        <v>1</v>
      </c>
      <c r="C119" s="3917">
        <f>F26</f>
        <v>0</v>
      </c>
      <c r="D119" s="3918"/>
      <c r="E119" s="1246">
        <f>IFERROR(SUM(H21:J26)/M23,0)</f>
        <v>0</v>
      </c>
      <c r="F119" s="1246">
        <f>C119*E119</f>
        <v>0</v>
      </c>
      <c r="G119" s="3908"/>
      <c r="H119" s="3921">
        <f>F119*G118</f>
        <v>0</v>
      </c>
      <c r="I119" s="3914"/>
      <c r="J119" s="1540"/>
    </row>
    <row r="120" spans="1:15" ht="18.75" customHeight="1" x14ac:dyDescent="0.25">
      <c r="A120" s="1540"/>
      <c r="B120" s="3916"/>
      <c r="C120" s="3917">
        <f>F32</f>
        <v>0</v>
      </c>
      <c r="D120" s="3918"/>
      <c r="E120" s="1246">
        <f>IFERROR(SUM(H27:J32)/M29,0)</f>
        <v>0</v>
      </c>
      <c r="F120" s="1246">
        <f>C120*E120</f>
        <v>0</v>
      </c>
      <c r="G120" s="3908"/>
      <c r="H120" s="3913">
        <f>F120*G118</f>
        <v>0</v>
      </c>
      <c r="I120" s="3914"/>
      <c r="J120" s="1540"/>
    </row>
    <row r="121" spans="1:15" ht="18.75" customHeight="1" x14ac:dyDescent="0.25">
      <c r="A121" s="1540"/>
      <c r="B121" s="3915">
        <v>2</v>
      </c>
      <c r="C121" s="3917">
        <f>D59</f>
        <v>0</v>
      </c>
      <c r="D121" s="3918"/>
      <c r="E121" s="1246">
        <f>IFERROR(SUM(H33:J38)/M34,0)</f>
        <v>0</v>
      </c>
      <c r="F121" s="1246">
        <f>C121*E121</f>
        <v>0</v>
      </c>
      <c r="G121" s="3908"/>
      <c r="H121" s="3913">
        <f>F121*G120</f>
        <v>0</v>
      </c>
      <c r="I121" s="3914"/>
      <c r="J121" s="1540"/>
    </row>
    <row r="122" spans="1:15" ht="18.75" customHeight="1" x14ac:dyDescent="0.25">
      <c r="A122" s="1540"/>
      <c r="B122" s="3916"/>
      <c r="C122" s="3917">
        <f>D65</f>
        <v>0</v>
      </c>
      <c r="D122" s="3918"/>
      <c r="E122" s="1246">
        <f>IFERROR(SUM(H39:J45)/M39,0)</f>
        <v>0</v>
      </c>
      <c r="F122" s="1246">
        <f>C122*E122</f>
        <v>0</v>
      </c>
      <c r="G122" s="3909"/>
      <c r="H122" s="3913">
        <f>F122*G121</f>
        <v>0</v>
      </c>
      <c r="I122" s="3914"/>
      <c r="J122" s="1540"/>
    </row>
    <row r="123" spans="1:15" ht="18.75" customHeight="1" x14ac:dyDescent="0.25">
      <c r="A123" s="1540"/>
      <c r="B123" s="3674" t="s">
        <v>967</v>
      </c>
      <c r="C123" s="3675"/>
      <c r="D123" s="3675"/>
      <c r="E123" s="3675"/>
      <c r="F123" s="3676"/>
      <c r="G123" s="3907">
        <v>0.3</v>
      </c>
      <c r="H123" s="3919"/>
      <c r="I123" s="3920"/>
      <c r="J123" s="1540"/>
    </row>
    <row r="124" spans="1:15" ht="18.75" customHeight="1" x14ac:dyDescent="0.25">
      <c r="A124" s="1540"/>
      <c r="B124" s="3915">
        <v>1</v>
      </c>
      <c r="C124" s="3747">
        <f>F51</f>
        <v>0</v>
      </c>
      <c r="D124" s="3912"/>
      <c r="E124" s="1246">
        <f>IFERROR((SUM(H46:J51)/M47),0)</f>
        <v>0</v>
      </c>
      <c r="F124" s="1247">
        <f>C124*E124</f>
        <v>0</v>
      </c>
      <c r="G124" s="3908"/>
      <c r="H124" s="3913">
        <f>F124*G123</f>
        <v>0</v>
      </c>
      <c r="I124" s="3914"/>
      <c r="J124" s="1540"/>
    </row>
    <row r="125" spans="1:15" ht="18.75" customHeight="1" x14ac:dyDescent="0.25">
      <c r="A125" s="1540"/>
      <c r="B125" s="3916"/>
      <c r="C125" s="3747">
        <f>F57</f>
        <v>0</v>
      </c>
      <c r="D125" s="3912"/>
      <c r="E125" s="1246">
        <f>IFERROR(SUM(H52:J57)/M53,0)</f>
        <v>0</v>
      </c>
      <c r="F125" s="1246">
        <f>C125*E125</f>
        <v>0</v>
      </c>
      <c r="G125" s="3908"/>
      <c r="H125" s="3913">
        <f>F125*G123</f>
        <v>0</v>
      </c>
      <c r="I125" s="3914"/>
      <c r="J125" s="1540"/>
    </row>
    <row r="126" spans="1:15" ht="18.75" customHeight="1" x14ac:dyDescent="0.25">
      <c r="A126" s="1540"/>
      <c r="B126" s="3915">
        <v>2</v>
      </c>
      <c r="C126" s="3747">
        <f>F63</f>
        <v>0</v>
      </c>
      <c r="D126" s="3912"/>
      <c r="E126" s="1246">
        <f>IFERROR(SUM(H58:J63)/M59,0)</f>
        <v>0</v>
      </c>
      <c r="F126" s="1246">
        <f>C126*E126</f>
        <v>0</v>
      </c>
      <c r="G126" s="3908"/>
      <c r="H126" s="3913">
        <f>F126*G125</f>
        <v>0</v>
      </c>
      <c r="I126" s="3914"/>
      <c r="J126" s="1540"/>
    </row>
    <row r="127" spans="1:15" ht="18.75" customHeight="1" x14ac:dyDescent="0.25">
      <c r="A127" s="1540"/>
      <c r="B127" s="3916"/>
      <c r="C127" s="3080">
        <f>F69</f>
        <v>0</v>
      </c>
      <c r="D127" s="3080"/>
      <c r="E127" s="1246">
        <f>IFERROR(SUM(H64:J69)/M65,0)</f>
        <v>0</v>
      </c>
      <c r="F127" s="1246">
        <f>C127*E127</f>
        <v>0</v>
      </c>
      <c r="G127" s="3909"/>
      <c r="H127" s="3913">
        <f>F127*G126</f>
        <v>0</v>
      </c>
      <c r="I127" s="3914"/>
      <c r="J127" s="1540"/>
    </row>
    <row r="128" spans="1:15" ht="18.75" customHeight="1" x14ac:dyDescent="0.25">
      <c r="A128" s="1540"/>
      <c r="B128" s="127" t="s">
        <v>251</v>
      </c>
      <c r="C128" s="3512" t="s">
        <v>443</v>
      </c>
      <c r="D128" s="3642"/>
      <c r="E128" s="3643"/>
      <c r="F128" s="1240" t="s">
        <v>39</v>
      </c>
      <c r="G128" s="1522" t="s">
        <v>364</v>
      </c>
      <c r="H128" s="3512" t="s">
        <v>444</v>
      </c>
      <c r="I128" s="3513"/>
      <c r="J128" s="1540"/>
    </row>
    <row r="129" spans="1:10" ht="18.75" customHeight="1" x14ac:dyDescent="0.25">
      <c r="A129" s="1540"/>
      <c r="B129" s="3525" t="s">
        <v>968</v>
      </c>
      <c r="C129" s="3526"/>
      <c r="D129" s="3526"/>
      <c r="E129" s="3526"/>
      <c r="F129" s="3527"/>
      <c r="G129" s="3907">
        <v>0.2</v>
      </c>
      <c r="H129" s="3910"/>
      <c r="I129" s="3911"/>
      <c r="J129" s="1540"/>
    </row>
    <row r="130" spans="1:10" ht="28.5" customHeight="1" x14ac:dyDescent="0.25">
      <c r="A130" s="1540"/>
      <c r="B130" s="1516">
        <v>1</v>
      </c>
      <c r="C130" s="3747" t="str">
        <f>D74</f>
        <v>Piutang Sehat</v>
      </c>
      <c r="D130" s="3748"/>
      <c r="E130" s="3912"/>
      <c r="F130" s="1241">
        <f>H74</f>
        <v>30000000000</v>
      </c>
      <c r="G130" s="3908"/>
      <c r="H130" s="3913">
        <f>F130*G129</f>
        <v>6000000000</v>
      </c>
      <c r="I130" s="3914"/>
      <c r="J130" s="1540"/>
    </row>
    <row r="131" spans="1:10" ht="28.5" customHeight="1" x14ac:dyDescent="0.25">
      <c r="A131" s="1540"/>
      <c r="B131" s="1516">
        <v>2</v>
      </c>
      <c r="C131" s="3747">
        <f>D80</f>
        <v>0</v>
      </c>
      <c r="D131" s="3748"/>
      <c r="E131" s="3912"/>
      <c r="F131" s="1241">
        <f>H80</f>
        <v>0</v>
      </c>
      <c r="G131" s="3908"/>
      <c r="H131" s="3913">
        <f>F131*G130</f>
        <v>0</v>
      </c>
      <c r="I131" s="3914"/>
      <c r="J131" s="1540"/>
    </row>
    <row r="132" spans="1:10" ht="28.5" customHeight="1" x14ac:dyDescent="0.25">
      <c r="A132" s="1540"/>
      <c r="B132" s="1516">
        <v>3</v>
      </c>
      <c r="C132" s="3747">
        <f>D86</f>
        <v>0</v>
      </c>
      <c r="D132" s="3748"/>
      <c r="E132" s="3912"/>
      <c r="F132" s="1241">
        <f>H86</f>
        <v>0</v>
      </c>
      <c r="G132" s="3909"/>
      <c r="H132" s="3913">
        <f>F132*G131</f>
        <v>0</v>
      </c>
      <c r="I132" s="3914"/>
      <c r="J132" s="1540"/>
    </row>
    <row r="133" spans="1:10" ht="18.75" customHeight="1" x14ac:dyDescent="0.25">
      <c r="A133" s="1540"/>
      <c r="B133" s="127" t="s">
        <v>251</v>
      </c>
      <c r="C133" s="3512" t="s">
        <v>969</v>
      </c>
      <c r="D133" s="3642"/>
      <c r="E133" s="3643"/>
      <c r="F133" s="1240" t="s">
        <v>39</v>
      </c>
      <c r="G133" s="1522" t="s">
        <v>364</v>
      </c>
      <c r="H133" s="3512" t="s">
        <v>444</v>
      </c>
      <c r="I133" s="3513"/>
      <c r="J133" s="1540"/>
    </row>
    <row r="134" spans="1:10" ht="18.75" customHeight="1" x14ac:dyDescent="0.25">
      <c r="A134" s="1540"/>
      <c r="B134" s="3499" t="s">
        <v>970</v>
      </c>
      <c r="C134" s="3500"/>
      <c r="D134" s="3500"/>
      <c r="E134" s="3500"/>
      <c r="F134" s="3501"/>
      <c r="G134" s="3897">
        <v>1</v>
      </c>
      <c r="H134" s="146"/>
      <c r="I134" s="147"/>
      <c r="J134" s="1540"/>
    </row>
    <row r="135" spans="1:10" ht="18.75" customHeight="1" x14ac:dyDescent="0.25">
      <c r="A135" s="1540"/>
      <c r="B135" s="131">
        <v>1</v>
      </c>
      <c r="C135" s="3900">
        <f>D96</f>
        <v>0</v>
      </c>
      <c r="D135" s="3901"/>
      <c r="E135" s="3902"/>
      <c r="F135" s="1239">
        <f>H95</f>
        <v>0</v>
      </c>
      <c r="G135" s="3898"/>
      <c r="H135" s="3903">
        <f>F135*G134</f>
        <v>0</v>
      </c>
      <c r="I135" s="3904"/>
      <c r="J135" s="1540"/>
    </row>
    <row r="136" spans="1:10" ht="18.75" customHeight="1" x14ac:dyDescent="0.25">
      <c r="A136" s="1540"/>
      <c r="B136" s="131">
        <v>2</v>
      </c>
      <c r="C136" s="3900">
        <f>D102</f>
        <v>0</v>
      </c>
      <c r="D136" s="3901"/>
      <c r="E136" s="3902"/>
      <c r="F136" s="1239">
        <f>H102</f>
        <v>0</v>
      </c>
      <c r="G136" s="3899"/>
      <c r="H136" s="3903">
        <f>F136*G135</f>
        <v>0</v>
      </c>
      <c r="I136" s="3904"/>
      <c r="J136" s="1540"/>
    </row>
    <row r="137" spans="1:10" ht="18.75" customHeight="1" x14ac:dyDescent="0.25">
      <c r="A137" s="1540"/>
      <c r="B137" s="3531" t="s">
        <v>445</v>
      </c>
      <c r="C137" s="3886"/>
      <c r="D137" s="3886"/>
      <c r="E137" s="3886"/>
      <c r="F137" s="3887"/>
      <c r="G137" s="1238">
        <f>IFERROR((H137/H115),0)</f>
        <v>0.68571428571428572</v>
      </c>
      <c r="H137" s="3888">
        <f>SUM(H119:I136)</f>
        <v>6000000000</v>
      </c>
      <c r="I137" s="3889"/>
      <c r="J137" s="1540"/>
    </row>
    <row r="138" spans="1:10" ht="18.75" customHeight="1" x14ac:dyDescent="0.25">
      <c r="A138" s="1540"/>
      <c r="B138" s="3531" t="s">
        <v>446</v>
      </c>
      <c r="C138" s="3886"/>
      <c r="D138" s="3886"/>
      <c r="E138" s="3886"/>
      <c r="F138" s="3887"/>
      <c r="G138" s="1238">
        <f>125%-G137</f>
        <v>0.56428571428571428</v>
      </c>
      <c r="H138" s="3890">
        <f>IF(H115-H137&lt;0,0,H115-H137)</f>
        <v>2750000000</v>
      </c>
      <c r="I138" s="3891"/>
      <c r="J138" s="1540"/>
    </row>
    <row r="139" spans="1:10" ht="18.75" customHeight="1" x14ac:dyDescent="0.25">
      <c r="A139" s="149"/>
      <c r="B139" s="3892"/>
      <c r="C139" s="3893"/>
      <c r="D139" s="3893"/>
      <c r="E139" s="3893"/>
      <c r="F139" s="3894"/>
      <c r="G139" s="2397"/>
      <c r="H139" s="3895"/>
      <c r="I139" s="3896"/>
      <c r="J139" s="1543"/>
    </row>
    <row r="140" spans="1:10" ht="18.75" customHeight="1" x14ac:dyDescent="0.25">
      <c r="A140" s="149"/>
      <c r="B140" s="1451"/>
      <c r="C140" s="3085"/>
      <c r="D140" s="3085"/>
      <c r="E140" s="3085"/>
      <c r="F140" s="2398"/>
      <c r="G140" s="2399"/>
      <c r="H140" s="3905"/>
      <c r="I140" s="3906"/>
      <c r="J140" s="1543"/>
    </row>
    <row r="141" spans="1:10" ht="18.75" customHeight="1" x14ac:dyDescent="0.25">
      <c r="A141" s="149"/>
      <c r="B141" s="1517"/>
      <c r="C141" s="3882"/>
      <c r="D141" s="3883"/>
      <c r="E141" s="2400"/>
      <c r="F141" s="2401"/>
      <c r="G141" s="2402"/>
      <c r="H141" s="3884"/>
      <c r="I141" s="3885"/>
      <c r="J141" s="1543"/>
    </row>
    <row r="142" spans="1:10" ht="16.5" customHeight="1" x14ac:dyDescent="0.25">
      <c r="A142" s="149"/>
      <c r="B142" s="1543"/>
      <c r="C142" s="1541"/>
      <c r="D142" s="1541"/>
      <c r="E142" s="1541"/>
      <c r="F142" s="1541"/>
      <c r="G142" s="2403"/>
      <c r="H142" s="1541"/>
      <c r="I142" s="1541"/>
      <c r="J142" s="1543"/>
    </row>
    <row r="143" spans="1:10" x14ac:dyDescent="0.25">
      <c r="A143" s="1543"/>
      <c r="B143" s="1543"/>
      <c r="C143" s="1541"/>
      <c r="D143" s="1505"/>
      <c r="E143" s="1505"/>
      <c r="F143" s="1505"/>
      <c r="G143" s="2403"/>
      <c r="H143" s="1505"/>
      <c r="I143" s="1505"/>
      <c r="J143" s="1543"/>
    </row>
    <row r="144" spans="1:10" x14ac:dyDescent="0.25">
      <c r="A144" s="1543"/>
      <c r="B144" s="3745" t="s">
        <v>215</v>
      </c>
      <c r="C144" s="3745"/>
      <c r="D144" s="3745"/>
      <c r="E144" s="3745"/>
      <c r="F144" s="3745"/>
      <c r="G144" s="3745"/>
      <c r="H144" s="3745"/>
      <c r="I144" s="3745"/>
      <c r="J144" s="1543"/>
    </row>
    <row r="145" spans="1:12" x14ac:dyDescent="0.25">
      <c r="A145" s="1543"/>
      <c r="B145" s="3745"/>
      <c r="C145" s="3745"/>
      <c r="D145" s="3745"/>
      <c r="E145" s="3745"/>
      <c r="F145" s="3745"/>
      <c r="G145" s="3745"/>
      <c r="H145" s="3745"/>
      <c r="I145" s="3745"/>
      <c r="J145" s="1543"/>
    </row>
    <row r="146" spans="1:12" x14ac:dyDescent="0.25">
      <c r="A146" s="1543"/>
      <c r="B146" s="1543"/>
      <c r="C146" s="1543"/>
      <c r="D146" s="1543"/>
      <c r="E146" s="1543"/>
      <c r="F146" s="1543"/>
      <c r="G146" s="1543"/>
      <c r="H146" s="1543"/>
      <c r="I146" s="1543"/>
      <c r="J146" s="1543"/>
    </row>
    <row r="147" spans="1:12" x14ac:dyDescent="0.25">
      <c r="A147" s="1543"/>
      <c r="B147" s="2996" t="s">
        <v>947</v>
      </c>
      <c r="C147" s="2997"/>
      <c r="D147" s="2997"/>
      <c r="E147" s="2998"/>
      <c r="F147" s="3472" t="s">
        <v>946</v>
      </c>
      <c r="G147" s="3473"/>
      <c r="H147" s="3473"/>
      <c r="I147" s="3474"/>
      <c r="J147" s="1543"/>
    </row>
    <row r="148" spans="1:12" x14ac:dyDescent="0.25">
      <c r="A148" s="1543"/>
      <c r="B148" s="1542"/>
      <c r="C148" s="1495"/>
      <c r="D148" s="1495"/>
      <c r="E148" s="1496"/>
      <c r="F148" s="1494"/>
      <c r="G148" s="385"/>
      <c r="H148" s="3804"/>
      <c r="I148" s="3810"/>
      <c r="J148" s="1543"/>
    </row>
    <row r="149" spans="1:12" s="1237" customFormat="1" x14ac:dyDescent="0.25">
      <c r="A149" s="471"/>
      <c r="B149" s="3878" t="str">
        <f>'CEKLIST 002 (BIO DATA)'!A6</f>
        <v>Supervisor Analis Penjaminan</v>
      </c>
      <c r="C149" s="3033"/>
      <c r="D149" s="3033"/>
      <c r="E149" s="3879"/>
      <c r="F149" s="3878" t="str">
        <f>'CEKLIST 002 (BIO DATA)'!A3</f>
        <v>AO Penjaminan I</v>
      </c>
      <c r="G149" s="3879"/>
      <c r="H149" s="3878" t="str">
        <f>'CEKLIST 002 (BIO DATA)'!A4</f>
        <v>AO Penjaminan II</v>
      </c>
      <c r="I149" s="3879"/>
      <c r="J149" s="471"/>
      <c r="L149" s="2522"/>
    </row>
    <row r="150" spans="1:12" s="1237" customFormat="1" x14ac:dyDescent="0.25">
      <c r="A150" s="471"/>
      <c r="B150" s="410"/>
      <c r="C150" s="378"/>
      <c r="D150" s="378"/>
      <c r="E150" s="411"/>
      <c r="F150" s="410"/>
      <c r="G150" s="411"/>
      <c r="H150" s="410"/>
      <c r="I150" s="411"/>
      <c r="J150" s="471"/>
      <c r="L150" s="2522"/>
    </row>
    <row r="151" spans="1:12" s="1237" customFormat="1" x14ac:dyDescent="0.25">
      <c r="A151" s="471"/>
      <c r="B151" s="410"/>
      <c r="C151" s="572"/>
      <c r="D151" s="572"/>
      <c r="E151" s="573"/>
      <c r="F151" s="574"/>
      <c r="G151" s="411"/>
      <c r="H151" s="3880"/>
      <c r="I151" s="3881"/>
      <c r="J151" s="471"/>
      <c r="L151" s="2522"/>
    </row>
    <row r="152" spans="1:12" s="1237" customFormat="1" x14ac:dyDescent="0.25">
      <c r="A152" s="471"/>
      <c r="B152" s="410"/>
      <c r="C152" s="378"/>
      <c r="D152" s="378"/>
      <c r="E152" s="411"/>
      <c r="F152" s="410"/>
      <c r="G152" s="411"/>
      <c r="H152" s="410"/>
      <c r="I152" s="411"/>
      <c r="J152" s="471"/>
      <c r="L152" s="2522"/>
    </row>
    <row r="153" spans="1:12" s="1237" customFormat="1" x14ac:dyDescent="0.25">
      <c r="A153" s="471"/>
      <c r="B153" s="410"/>
      <c r="C153" s="378"/>
      <c r="D153" s="378"/>
      <c r="E153" s="411"/>
      <c r="F153" s="410"/>
      <c r="G153" s="411"/>
      <c r="H153" s="3878"/>
      <c r="I153" s="3879"/>
      <c r="J153" s="471"/>
      <c r="L153" s="2522"/>
    </row>
    <row r="154" spans="1:12" s="1237" customFormat="1" x14ac:dyDescent="0.25">
      <c r="A154" s="471"/>
      <c r="B154" s="3237" t="str">
        <f>'CEKLIST 002 (BIO DATA)'!D6</f>
        <v>I Wayan Ruspa</v>
      </c>
      <c r="C154" s="3238"/>
      <c r="D154" s="3238"/>
      <c r="E154" s="3239"/>
      <c r="F154" s="3237" t="str">
        <f>'CEKLIST 002 (BIO DATA)'!D3</f>
        <v>Adi irawan saputra</v>
      </c>
      <c r="G154" s="3239"/>
      <c r="H154" s="3237" t="str">
        <f>'CEKLIST 002 (BIO DATA)'!D4</f>
        <v>Deni Ardian</v>
      </c>
      <c r="I154" s="3239"/>
      <c r="J154" s="471"/>
      <c r="L154" s="2522"/>
    </row>
    <row r="155" spans="1:12" x14ac:dyDescent="0.25">
      <c r="A155" s="101"/>
      <c r="B155" s="101"/>
      <c r="C155" s="101"/>
      <c r="D155" s="101"/>
      <c r="E155" s="101"/>
      <c r="F155" s="101"/>
      <c r="G155" s="101"/>
      <c r="H155" s="101"/>
      <c r="I155" s="101"/>
      <c r="J155" s="101"/>
    </row>
    <row r="156" spans="1:12" x14ac:dyDescent="0.25">
      <c r="A156" s="101"/>
      <c r="B156" s="101"/>
      <c r="C156" s="101"/>
      <c r="D156" s="101"/>
      <c r="E156" s="101"/>
      <c r="F156" s="101"/>
      <c r="G156" s="101"/>
      <c r="H156" s="101"/>
      <c r="I156" s="101"/>
      <c r="J156" s="101"/>
    </row>
    <row r="157" spans="1:12" x14ac:dyDescent="0.25">
      <c r="A157" s="101"/>
      <c r="B157" s="101"/>
      <c r="C157" s="101"/>
      <c r="D157" s="101"/>
      <c r="E157" s="101"/>
      <c r="F157" s="101"/>
      <c r="G157" s="101"/>
      <c r="H157" s="101"/>
      <c r="I157" s="101"/>
      <c r="J157" s="101"/>
    </row>
    <row r="158" spans="1:12" ht="16.5" x14ac:dyDescent="0.25">
      <c r="C158" s="12"/>
      <c r="D158" s="12"/>
      <c r="E158" s="12"/>
      <c r="F158" s="12"/>
      <c r="G158" s="12"/>
      <c r="H158" s="12"/>
      <c r="I158" s="12"/>
    </row>
    <row r="159" spans="1:12" ht="16.5" x14ac:dyDescent="0.25">
      <c r="C159" s="12"/>
      <c r="D159" s="12"/>
      <c r="E159" s="12"/>
      <c r="F159" s="12"/>
      <c r="G159" s="12"/>
      <c r="H159" s="12"/>
      <c r="I159" s="12"/>
    </row>
    <row r="160" spans="1:12" ht="16.5" x14ac:dyDescent="0.25">
      <c r="C160" s="12"/>
      <c r="D160" s="12"/>
      <c r="E160" s="12"/>
      <c r="F160" s="12"/>
      <c r="G160" s="12"/>
      <c r="H160" s="12"/>
      <c r="I160" s="12"/>
    </row>
    <row r="161" spans="3:9" ht="16.5" x14ac:dyDescent="0.25">
      <c r="C161" s="12"/>
      <c r="D161" s="12"/>
      <c r="E161" s="12"/>
      <c r="F161" s="12"/>
      <c r="G161" s="12"/>
      <c r="H161" s="12"/>
      <c r="I161" s="12"/>
    </row>
  </sheetData>
  <mergeCells count="210">
    <mergeCell ref="B9:D9"/>
    <mergeCell ref="E9:F9"/>
    <mergeCell ref="B10:D10"/>
    <mergeCell ref="E10:F10"/>
    <mergeCell ref="B11:D11"/>
    <mergeCell ref="E11:F11"/>
    <mergeCell ref="A3:J3"/>
    <mergeCell ref="B5:D5"/>
    <mergeCell ref="E5:F5"/>
    <mergeCell ref="B6:D6"/>
    <mergeCell ref="B7:I7"/>
    <mergeCell ref="B8:D8"/>
    <mergeCell ref="E8:F8"/>
    <mergeCell ref="C20:G20"/>
    <mergeCell ref="C21:C32"/>
    <mergeCell ref="D21:E21"/>
    <mergeCell ref="F21:G25"/>
    <mergeCell ref="H21:H26"/>
    <mergeCell ref="I21:I26"/>
    <mergeCell ref="D32:E32"/>
    <mergeCell ref="F32:G32"/>
    <mergeCell ref="B13:I14"/>
    <mergeCell ref="C16:I16"/>
    <mergeCell ref="C17:C19"/>
    <mergeCell ref="D17:E19"/>
    <mergeCell ref="F17:G19"/>
    <mergeCell ref="H17:J17"/>
    <mergeCell ref="J21:J26"/>
    <mergeCell ref="D22:E25"/>
    <mergeCell ref="D26:E26"/>
    <mergeCell ref="F26:G26"/>
    <mergeCell ref="D27:E27"/>
    <mergeCell ref="F27:G31"/>
    <mergeCell ref="H27:H32"/>
    <mergeCell ref="I27:I32"/>
    <mergeCell ref="J27:J32"/>
    <mergeCell ref="D28:E31"/>
    <mergeCell ref="F39:G43"/>
    <mergeCell ref="H39:H45"/>
    <mergeCell ref="I39:I45"/>
    <mergeCell ref="J39:J45"/>
    <mergeCell ref="D40:E43"/>
    <mergeCell ref="D44:E44"/>
    <mergeCell ref="F44:G44"/>
    <mergeCell ref="C45:G45"/>
    <mergeCell ref="C33:C44"/>
    <mergeCell ref="D33:E33"/>
    <mergeCell ref="F33:G37"/>
    <mergeCell ref="H33:H38"/>
    <mergeCell ref="I33:I38"/>
    <mergeCell ref="J33:J38"/>
    <mergeCell ref="D34:E37"/>
    <mergeCell ref="D38:E38"/>
    <mergeCell ref="F38:G38"/>
    <mergeCell ref="D39:E39"/>
    <mergeCell ref="F52:G56"/>
    <mergeCell ref="H52:H57"/>
    <mergeCell ref="I52:I57"/>
    <mergeCell ref="J52:J57"/>
    <mergeCell ref="D53:E56"/>
    <mergeCell ref="D57:E57"/>
    <mergeCell ref="F57:G57"/>
    <mergeCell ref="C46:C57"/>
    <mergeCell ref="D46:E46"/>
    <mergeCell ref="F46:G50"/>
    <mergeCell ref="H46:H51"/>
    <mergeCell ref="I46:I51"/>
    <mergeCell ref="J46:J51"/>
    <mergeCell ref="D47:E50"/>
    <mergeCell ref="D51:E51"/>
    <mergeCell ref="F51:G51"/>
    <mergeCell ref="D52:E52"/>
    <mergeCell ref="F64:G68"/>
    <mergeCell ref="H64:H69"/>
    <mergeCell ref="I64:I69"/>
    <mergeCell ref="J64:J69"/>
    <mergeCell ref="D65:E68"/>
    <mergeCell ref="D69:E69"/>
    <mergeCell ref="F69:G69"/>
    <mergeCell ref="C58:C69"/>
    <mergeCell ref="D58:E58"/>
    <mergeCell ref="F58:G62"/>
    <mergeCell ref="H58:H63"/>
    <mergeCell ref="I58:I63"/>
    <mergeCell ref="J58:J63"/>
    <mergeCell ref="D59:E62"/>
    <mergeCell ref="D63:E63"/>
    <mergeCell ref="F63:G63"/>
    <mergeCell ref="D64:E64"/>
    <mergeCell ref="C74:C79"/>
    <mergeCell ref="D74:E78"/>
    <mergeCell ref="F74:G78"/>
    <mergeCell ref="H74:H79"/>
    <mergeCell ref="I74:J79"/>
    <mergeCell ref="D79:E79"/>
    <mergeCell ref="F79:G79"/>
    <mergeCell ref="C71:C72"/>
    <mergeCell ref="D71:E72"/>
    <mergeCell ref="F71:G72"/>
    <mergeCell ref="H71:H72"/>
    <mergeCell ref="I71:J72"/>
    <mergeCell ref="C73:G73"/>
    <mergeCell ref="I73:J73"/>
    <mergeCell ref="C86:C91"/>
    <mergeCell ref="D86:E90"/>
    <mergeCell ref="F86:G90"/>
    <mergeCell ref="H86:H91"/>
    <mergeCell ref="I86:J91"/>
    <mergeCell ref="D91:E91"/>
    <mergeCell ref="F91:G91"/>
    <mergeCell ref="C80:C85"/>
    <mergeCell ref="D80:E84"/>
    <mergeCell ref="F80:G84"/>
    <mergeCell ref="H80:H85"/>
    <mergeCell ref="I80:J85"/>
    <mergeCell ref="D85:E85"/>
    <mergeCell ref="F85:G85"/>
    <mergeCell ref="C93:C94"/>
    <mergeCell ref="D93:E94"/>
    <mergeCell ref="F93:G94"/>
    <mergeCell ref="H93:I94"/>
    <mergeCell ref="C95:G95"/>
    <mergeCell ref="H95:I101"/>
    <mergeCell ref="C96:C101"/>
    <mergeCell ref="D96:E101"/>
    <mergeCell ref="F96:G101"/>
    <mergeCell ref="B113:F113"/>
    <mergeCell ref="H113:I113"/>
    <mergeCell ref="B114:F114"/>
    <mergeCell ref="H114:I114"/>
    <mergeCell ref="B115:F115"/>
    <mergeCell ref="H115:I115"/>
    <mergeCell ref="C102:C107"/>
    <mergeCell ref="D102:E107"/>
    <mergeCell ref="F102:G107"/>
    <mergeCell ref="H102:I107"/>
    <mergeCell ref="B111:B112"/>
    <mergeCell ref="C111:F111"/>
    <mergeCell ref="G111:G112"/>
    <mergeCell ref="H111:I112"/>
    <mergeCell ref="C112:D112"/>
    <mergeCell ref="C117:D117"/>
    <mergeCell ref="H117:I117"/>
    <mergeCell ref="B118:F118"/>
    <mergeCell ref="G118:G122"/>
    <mergeCell ref="H118:I118"/>
    <mergeCell ref="B119:B120"/>
    <mergeCell ref="C119:D119"/>
    <mergeCell ref="H119:I119"/>
    <mergeCell ref="C120:D120"/>
    <mergeCell ref="H120:I120"/>
    <mergeCell ref="H124:I124"/>
    <mergeCell ref="C125:D125"/>
    <mergeCell ref="H125:I125"/>
    <mergeCell ref="B126:B127"/>
    <mergeCell ref="C126:D126"/>
    <mergeCell ref="H126:I126"/>
    <mergeCell ref="C127:D127"/>
    <mergeCell ref="H127:I127"/>
    <mergeCell ref="B121:B122"/>
    <mergeCell ref="C121:D121"/>
    <mergeCell ref="H121:I121"/>
    <mergeCell ref="C122:D122"/>
    <mergeCell ref="H122:I122"/>
    <mergeCell ref="B123:F123"/>
    <mergeCell ref="G123:G127"/>
    <mergeCell ref="H123:I123"/>
    <mergeCell ref="B124:B125"/>
    <mergeCell ref="C124:D124"/>
    <mergeCell ref="C128:E128"/>
    <mergeCell ref="H128:I128"/>
    <mergeCell ref="B129:F129"/>
    <mergeCell ref="G129:G132"/>
    <mergeCell ref="H129:I129"/>
    <mergeCell ref="C130:E130"/>
    <mergeCell ref="H130:I130"/>
    <mergeCell ref="C131:E131"/>
    <mergeCell ref="H131:I131"/>
    <mergeCell ref="C132:E132"/>
    <mergeCell ref="H132:I132"/>
    <mergeCell ref="C133:E133"/>
    <mergeCell ref="H133:I133"/>
    <mergeCell ref="B134:F134"/>
    <mergeCell ref="G134:G136"/>
    <mergeCell ref="C135:E135"/>
    <mergeCell ref="H135:I135"/>
    <mergeCell ref="C136:E136"/>
    <mergeCell ref="H136:I136"/>
    <mergeCell ref="C140:E140"/>
    <mergeCell ref="H140:I140"/>
    <mergeCell ref="C141:D141"/>
    <mergeCell ref="H141:I141"/>
    <mergeCell ref="B144:I145"/>
    <mergeCell ref="B147:E147"/>
    <mergeCell ref="F147:I147"/>
    <mergeCell ref="B137:F137"/>
    <mergeCell ref="H137:I137"/>
    <mergeCell ref="B138:F138"/>
    <mergeCell ref="H138:I138"/>
    <mergeCell ref="B139:F139"/>
    <mergeCell ref="H139:I139"/>
    <mergeCell ref="B154:E154"/>
    <mergeCell ref="F154:G154"/>
    <mergeCell ref="H154:I154"/>
    <mergeCell ref="H148:I148"/>
    <mergeCell ref="B149:E149"/>
    <mergeCell ref="F149:G149"/>
    <mergeCell ref="H149:I149"/>
    <mergeCell ref="H151:I151"/>
    <mergeCell ref="H153:I153"/>
  </mergeCells>
  <conditionalFormatting sqref="F26:G26 D27:G31 F32:G32 H21:J32 D34:E37 F33:J38 D39:G43 F44:G44 H39:J45 D47:E50 D53:E56 D59:E62 D65:E68 F46:J69 D74:G78 F79:G79 H74:J79 D80:E84 D86:E90 F80:J91 H95:I107 D21:G25 D96:G107">
    <cfRule type="containsBlanks" dxfId="8" priority="1">
      <formula>LEN(TRIM(D21))=0</formula>
    </cfRule>
  </conditionalFormatting>
  <pageMargins left="0.7" right="0.7" top="0.75" bottom="0.75" header="0.3" footer="0.3"/>
  <pageSetup paperSize="9" scale="77" orientation="portrait" r:id="rId1"/>
  <rowBreaks count="1" manualBreakCount="1">
    <brk id="110" max="9" man="1"/>
  </rowBreaks>
  <ignoredErrors>
    <ignoredError sqref="B149 F149 H149 B154 F154 H154" unlockedFormula="1"/>
  </ignoredError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J177"/>
  <sheetViews>
    <sheetView showGridLines="0" topLeftCell="A166" zoomScale="85" zoomScaleNormal="85" zoomScaleSheetLayoutView="40" workbookViewId="0">
      <selection activeCell="AE159" sqref="AE159"/>
    </sheetView>
  </sheetViews>
  <sheetFormatPr defaultColWidth="10.42578125" defaultRowHeight="16.5" x14ac:dyDescent="0.25"/>
  <cols>
    <col min="1" max="1" width="1.85546875" style="77" customWidth="1"/>
    <col min="2" max="3" width="3.85546875" style="77" customWidth="1"/>
    <col min="4" max="4" width="3.140625" style="77" customWidth="1"/>
    <col min="5" max="6" width="3.85546875" style="77" customWidth="1"/>
    <col min="7" max="7" width="4.42578125" style="77" customWidth="1"/>
    <col min="8" max="8" width="2.5703125" style="77" customWidth="1"/>
    <col min="9" max="9" width="3.85546875" style="77" customWidth="1"/>
    <col min="10" max="11" width="2.42578125" style="77" customWidth="1"/>
    <col min="12" max="12" width="4" style="77" customWidth="1"/>
    <col min="13" max="13" width="3.28515625" style="77" customWidth="1"/>
    <col min="14" max="14" width="3.85546875" style="77" customWidth="1"/>
    <col min="15" max="15" width="5.85546875" style="77" customWidth="1"/>
    <col min="16" max="16" width="4.28515625" style="77" customWidth="1"/>
    <col min="17" max="17" width="0.85546875" style="77" customWidth="1"/>
    <col min="18" max="18" width="2.42578125" style="77" customWidth="1"/>
    <col min="19" max="19" width="2.28515625" style="77" customWidth="1"/>
    <col min="20" max="20" width="3.140625" style="77" customWidth="1"/>
    <col min="21" max="21" width="7.5703125" style="77" customWidth="1"/>
    <col min="22" max="22" width="1.5703125" style="77" customWidth="1"/>
    <col min="23" max="23" width="10.140625" style="77" customWidth="1"/>
    <col min="24" max="24" width="2.85546875" style="77" customWidth="1"/>
    <col min="25" max="27" width="6.7109375" style="77" customWidth="1"/>
    <col min="28" max="28" width="3.42578125" style="77" customWidth="1"/>
    <col min="29" max="29" width="3" style="77" customWidth="1"/>
    <col min="30" max="30" width="10.42578125" style="73" customWidth="1"/>
    <col min="31" max="31" width="10.42578125" style="73"/>
    <col min="32" max="32" width="10.42578125" style="2411" hidden="1" customWidth="1"/>
    <col min="33" max="16384" width="10.42578125" style="77"/>
  </cols>
  <sheetData>
    <row r="1" spans="1:36" x14ac:dyDescent="0.25">
      <c r="A1" s="151"/>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2"/>
      <c r="AG1" s="73"/>
      <c r="AH1" s="73"/>
      <c r="AI1" s="73"/>
      <c r="AJ1" s="73"/>
    </row>
    <row r="2" spans="1:36" ht="17.25" thickBot="1" x14ac:dyDescent="0.3">
      <c r="A2" s="151"/>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2"/>
      <c r="AG2" s="73"/>
      <c r="AH2" s="73"/>
      <c r="AI2" s="73"/>
      <c r="AJ2" s="73"/>
    </row>
    <row r="3" spans="1:36" ht="36" customHeight="1" thickBot="1" x14ac:dyDescent="0.3">
      <c r="A3" s="151"/>
      <c r="B3" s="4248" t="s">
        <v>856</v>
      </c>
      <c r="C3" s="4249"/>
      <c r="D3" s="4249"/>
      <c r="E3" s="4249"/>
      <c r="F3" s="4249"/>
      <c r="G3" s="4249"/>
      <c r="H3" s="4249"/>
      <c r="I3" s="4249"/>
      <c r="J3" s="4249"/>
      <c r="K3" s="4249"/>
      <c r="L3" s="4249"/>
      <c r="M3" s="4249"/>
      <c r="N3" s="4249"/>
      <c r="O3" s="4249"/>
      <c r="P3" s="4249"/>
      <c r="Q3" s="4249"/>
      <c r="R3" s="4249"/>
      <c r="S3" s="4249"/>
      <c r="T3" s="4249"/>
      <c r="U3" s="4249"/>
      <c r="V3" s="4249"/>
      <c r="W3" s="4249"/>
      <c r="X3" s="4249"/>
      <c r="Y3" s="4249"/>
      <c r="Z3" s="4249"/>
      <c r="AA3" s="4249"/>
      <c r="AB3" s="4250"/>
      <c r="AC3" s="152"/>
      <c r="AG3" s="73"/>
      <c r="AH3" s="73"/>
      <c r="AI3" s="73"/>
      <c r="AJ3" s="73"/>
    </row>
    <row r="4" spans="1:36" ht="20.25" customHeight="1" x14ac:dyDescent="0.25">
      <c r="A4" s="153"/>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1"/>
      <c r="AC4" s="152"/>
      <c r="AG4" s="73"/>
      <c r="AH4" s="73"/>
      <c r="AI4" s="73"/>
      <c r="AJ4" s="73"/>
    </row>
    <row r="5" spans="1:36" ht="24" customHeight="1" x14ac:dyDescent="0.25">
      <c r="A5" s="153"/>
      <c r="B5" s="4251" t="s">
        <v>857</v>
      </c>
      <c r="C5" s="4252"/>
      <c r="D5" s="4252"/>
      <c r="E5" s="4252"/>
      <c r="F5" s="4252"/>
      <c r="G5" s="4252"/>
      <c r="H5" s="4252"/>
      <c r="I5" s="4252"/>
      <c r="J5" s="4252"/>
      <c r="K5" s="4252"/>
      <c r="L5" s="4252"/>
      <c r="M5" s="4252"/>
      <c r="N5" s="4252"/>
      <c r="O5" s="4252"/>
      <c r="P5" s="4252"/>
      <c r="Q5" s="4252"/>
      <c r="R5" s="4252"/>
      <c r="S5" s="2405"/>
      <c r="T5" s="4253" t="s">
        <v>858</v>
      </c>
      <c r="U5" s="4130"/>
      <c r="V5" s="4130"/>
      <c r="W5" s="4130"/>
      <c r="X5" s="4130"/>
      <c r="Y5" s="4130"/>
      <c r="Z5" s="4130"/>
      <c r="AA5" s="4130"/>
      <c r="AB5" s="4130"/>
      <c r="AC5" s="152"/>
      <c r="AG5" s="73"/>
      <c r="AH5" s="73"/>
      <c r="AI5" s="73"/>
      <c r="AJ5" s="73"/>
    </row>
    <row r="6" spans="1:36" ht="37.5" customHeight="1" x14ac:dyDescent="0.25">
      <c r="A6" s="153"/>
      <c r="B6" s="4254" t="s">
        <v>216</v>
      </c>
      <c r="C6" s="4255"/>
      <c r="D6" s="4255"/>
      <c r="E6" s="4255"/>
      <c r="F6" s="4255"/>
      <c r="G6" s="2406" t="s">
        <v>0</v>
      </c>
      <c r="H6" s="4256" t="str">
        <f>'FIP(PAP-01)'!K8</f>
        <v>PD. BPR DOMPU</v>
      </c>
      <c r="I6" s="4257"/>
      <c r="J6" s="4257"/>
      <c r="K6" s="4257"/>
      <c r="L6" s="4257"/>
      <c r="M6" s="4257"/>
      <c r="N6" s="4257"/>
      <c r="O6" s="4257"/>
      <c r="P6" s="4257"/>
      <c r="Q6" s="4257"/>
      <c r="R6" s="4257"/>
      <c r="S6" s="1561"/>
      <c r="T6" s="4258" t="str">
        <f>'FIP(PAP-01)'!C10</f>
        <v>FASILITAS PEMBIAYAAN YANG DIMINTA</v>
      </c>
      <c r="U6" s="4259"/>
      <c r="V6" s="4259"/>
      <c r="W6" s="4259"/>
      <c r="X6" s="4262" t="s">
        <v>0</v>
      </c>
      <c r="Y6" s="4264">
        <f>'FIP(PAP-01)'!K10</f>
        <v>7000000000</v>
      </c>
      <c r="Z6" s="4264"/>
      <c r="AA6" s="4264"/>
      <c r="AB6" s="4265"/>
      <c r="AC6" s="152"/>
      <c r="AG6" s="73"/>
      <c r="AH6" s="73"/>
      <c r="AI6" s="73"/>
      <c r="AJ6" s="73"/>
    </row>
    <row r="7" spans="1:36" ht="26.25" customHeight="1" x14ac:dyDescent="0.25">
      <c r="A7" s="1566"/>
      <c r="B7" s="4233" t="s">
        <v>859</v>
      </c>
      <c r="C7" s="4229" t="s">
        <v>860</v>
      </c>
      <c r="D7" s="4229"/>
      <c r="E7" s="4229"/>
      <c r="F7" s="4229"/>
      <c r="G7" s="1562" t="s">
        <v>0</v>
      </c>
      <c r="H7" s="4266"/>
      <c r="I7" s="4229"/>
      <c r="J7" s="4229"/>
      <c r="K7" s="4229"/>
      <c r="L7" s="4229"/>
      <c r="M7" s="4229"/>
      <c r="N7" s="4229"/>
      <c r="O7" s="4229"/>
      <c r="P7" s="4229"/>
      <c r="Q7" s="4229"/>
      <c r="R7" s="4229"/>
      <c r="S7" s="154"/>
      <c r="T7" s="4260"/>
      <c r="U7" s="4261"/>
      <c r="V7" s="4261"/>
      <c r="W7" s="4261"/>
      <c r="X7" s="4263"/>
      <c r="Y7" s="4246"/>
      <c r="Z7" s="4246"/>
      <c r="AA7" s="4246"/>
      <c r="AB7" s="4247"/>
      <c r="AC7" s="152"/>
      <c r="AG7" s="73"/>
      <c r="AH7" s="73"/>
      <c r="AI7" s="73"/>
      <c r="AJ7" s="73"/>
    </row>
    <row r="8" spans="1:36" ht="26.25" customHeight="1" x14ac:dyDescent="0.25">
      <c r="A8" s="1566"/>
      <c r="B8" s="4233" t="s">
        <v>861</v>
      </c>
      <c r="C8" s="4229"/>
      <c r="D8" s="4229" t="s">
        <v>862</v>
      </c>
      <c r="E8" s="4229"/>
      <c r="F8" s="4229"/>
      <c r="G8" s="1562" t="s">
        <v>0</v>
      </c>
      <c r="H8" s="4235" t="str">
        <f>+'FKS(PAP-03)'!F16</f>
        <v>Perbankan</v>
      </c>
      <c r="I8" s="4229"/>
      <c r="J8" s="4229"/>
      <c r="K8" s="4229"/>
      <c r="L8" s="4229"/>
      <c r="M8" s="4229"/>
      <c r="N8" s="4229"/>
      <c r="O8" s="4229"/>
      <c r="P8" s="4229"/>
      <c r="Q8" s="4229"/>
      <c r="R8" s="4229"/>
      <c r="S8" s="154"/>
      <c r="T8" s="4260"/>
      <c r="U8" s="4261"/>
      <c r="V8" s="4261"/>
      <c r="W8" s="4261"/>
      <c r="X8" s="2407"/>
      <c r="Y8" s="2407"/>
      <c r="Z8" s="2407"/>
      <c r="AA8" s="2407"/>
      <c r="AB8" s="2408"/>
      <c r="AC8" s="152"/>
      <c r="AG8" s="73"/>
      <c r="AH8" s="73"/>
      <c r="AI8" s="73"/>
      <c r="AJ8" s="73"/>
    </row>
    <row r="9" spans="1:36" ht="26.25" customHeight="1" x14ac:dyDescent="0.25">
      <c r="A9" s="1566"/>
      <c r="B9" s="4233" t="s">
        <v>863</v>
      </c>
      <c r="C9" s="4229" t="s">
        <v>864</v>
      </c>
      <c r="D9" s="4229"/>
      <c r="E9" s="4229"/>
      <c r="F9" s="4229"/>
      <c r="G9" s="1562" t="s">
        <v>0</v>
      </c>
      <c r="H9" s="4235" t="str">
        <f>+'FKS(PAP-03)'!F17</f>
        <v>Tabungan dan Kredit</v>
      </c>
      <c r="I9" s="4229"/>
      <c r="J9" s="4229"/>
      <c r="K9" s="4229"/>
      <c r="L9" s="4229"/>
      <c r="M9" s="4229"/>
      <c r="N9" s="4229"/>
      <c r="O9" s="4229"/>
      <c r="P9" s="4229"/>
      <c r="Q9" s="4229"/>
      <c r="R9" s="4229"/>
      <c r="S9" s="154"/>
      <c r="T9" s="4244" t="s">
        <v>29</v>
      </c>
      <c r="U9" s="4245"/>
      <c r="V9" s="4245"/>
      <c r="W9" s="4245"/>
      <c r="X9" s="2409" t="s">
        <v>0</v>
      </c>
      <c r="Y9" s="4246">
        <f>'FAK(PAP-02)'!E259</f>
        <v>0</v>
      </c>
      <c r="Z9" s="4246"/>
      <c r="AA9" s="4246"/>
      <c r="AB9" s="4247"/>
      <c r="AC9" s="152"/>
      <c r="AG9" s="73"/>
      <c r="AH9" s="73"/>
      <c r="AI9" s="73"/>
      <c r="AJ9" s="73"/>
    </row>
    <row r="10" spans="1:36" ht="36.75" customHeight="1" x14ac:dyDescent="0.25">
      <c r="A10" s="1566"/>
      <c r="B10" s="4230" t="s">
        <v>20</v>
      </c>
      <c r="C10" s="4128" t="s">
        <v>865</v>
      </c>
      <c r="D10" s="4128"/>
      <c r="E10" s="4128"/>
      <c r="F10" s="4128"/>
      <c r="G10" s="2410" t="s">
        <v>0</v>
      </c>
      <c r="H10" s="4238" t="str">
        <f>'FIP(PAP-01)'!K11</f>
        <v>Jasa Keuangan LKB</v>
      </c>
      <c r="I10" s="4238"/>
      <c r="J10" s="4238"/>
      <c r="K10" s="4238"/>
      <c r="L10" s="4238"/>
      <c r="M10" s="4238"/>
      <c r="N10" s="4238"/>
      <c r="O10" s="4238"/>
      <c r="P10" s="4238"/>
      <c r="Q10" s="4238"/>
      <c r="R10" s="4238"/>
      <c r="S10" s="154"/>
      <c r="T10" s="4233" t="s">
        <v>866</v>
      </c>
      <c r="U10" s="4229"/>
      <c r="V10" s="4229"/>
      <c r="W10" s="4229"/>
      <c r="X10" s="1562" t="s">
        <v>0</v>
      </c>
      <c r="Y10" s="4229"/>
      <c r="Z10" s="4229"/>
      <c r="AA10" s="4229"/>
      <c r="AB10" s="4234"/>
      <c r="AC10" s="152"/>
      <c r="AG10" s="73"/>
      <c r="AH10" s="73"/>
      <c r="AI10" s="73"/>
      <c r="AJ10" s="73"/>
    </row>
    <row r="11" spans="1:36" ht="53.25" customHeight="1" x14ac:dyDescent="0.25">
      <c r="A11" s="1566"/>
      <c r="B11" s="4230" t="s">
        <v>230</v>
      </c>
      <c r="C11" s="4128"/>
      <c r="D11" s="4128" t="s">
        <v>867</v>
      </c>
      <c r="E11" s="4128"/>
      <c r="F11" s="4128"/>
      <c r="G11" s="2410" t="s">
        <v>0</v>
      </c>
      <c r="H11" s="4239" t="str">
        <f>'CEKLIST 002 (BIO DATA)'!D21</f>
        <v xml:space="preserve">Jl. Nusantara No. 04 </v>
      </c>
      <c r="I11" s="4240"/>
      <c r="J11" s="4240"/>
      <c r="K11" s="4240"/>
      <c r="L11" s="4240"/>
      <c r="M11" s="4240"/>
      <c r="N11" s="4240"/>
      <c r="O11" s="4240"/>
      <c r="P11" s="4240"/>
      <c r="Q11" s="4240"/>
      <c r="R11" s="4240"/>
      <c r="S11" s="154"/>
      <c r="T11" s="4230" t="s">
        <v>868</v>
      </c>
      <c r="U11" s="4128"/>
      <c r="V11" s="4128"/>
      <c r="W11" s="4128"/>
      <c r="X11" s="2410" t="s">
        <v>0</v>
      </c>
      <c r="Y11" s="4241" t="str">
        <f>'FIP(PAP-01)'!K32</f>
        <v>Jufrin H. Abdullah, S.Sos</v>
      </c>
      <c r="Z11" s="4242"/>
      <c r="AA11" s="4242"/>
      <c r="AB11" s="4243"/>
      <c r="AC11" s="152"/>
      <c r="AG11" s="73"/>
      <c r="AH11" s="73"/>
      <c r="AI11" s="73"/>
      <c r="AJ11" s="73"/>
    </row>
    <row r="12" spans="1:36" ht="50.25" customHeight="1" x14ac:dyDescent="0.25">
      <c r="A12" s="1566"/>
      <c r="B12" s="4230" t="s">
        <v>869</v>
      </c>
      <c r="C12" s="4128" t="s">
        <v>870</v>
      </c>
      <c r="D12" s="4128"/>
      <c r="E12" s="4128"/>
      <c r="F12" s="4128"/>
      <c r="G12" s="2410" t="s">
        <v>0</v>
      </c>
      <c r="H12" s="4231" t="str">
        <f>'FIP(PAP-01)'!K9</f>
        <v xml:space="preserve">Jl. Nusantara No. 04 </v>
      </c>
      <c r="I12" s="4232"/>
      <c r="J12" s="4232"/>
      <c r="K12" s="4232"/>
      <c r="L12" s="4232"/>
      <c r="M12" s="4232"/>
      <c r="N12" s="4232"/>
      <c r="O12" s="4232"/>
      <c r="P12" s="4232"/>
      <c r="Q12" s="4232"/>
      <c r="R12" s="4232"/>
      <c r="S12" s="154"/>
      <c r="T12" s="4233" t="s">
        <v>871</v>
      </c>
      <c r="U12" s="4229"/>
      <c r="V12" s="4229"/>
      <c r="W12" s="4229"/>
      <c r="X12" s="1562" t="s">
        <v>0</v>
      </c>
      <c r="Y12" s="4229"/>
      <c r="Z12" s="4229"/>
      <c r="AA12" s="4229"/>
      <c r="AB12" s="4234"/>
      <c r="AC12" s="152"/>
      <c r="AG12" s="73"/>
      <c r="AH12" s="73"/>
      <c r="AI12" s="73"/>
      <c r="AJ12" s="73"/>
    </row>
    <row r="13" spans="1:36" ht="26.25" customHeight="1" x14ac:dyDescent="0.25">
      <c r="A13" s="1566"/>
      <c r="B13" s="4233" t="s">
        <v>872</v>
      </c>
      <c r="C13" s="4229"/>
      <c r="D13" s="4229"/>
      <c r="E13" s="4229"/>
      <c r="F13" s="4229"/>
      <c r="G13" s="1562" t="s">
        <v>0</v>
      </c>
      <c r="H13" s="155"/>
      <c r="I13" s="1563"/>
      <c r="J13" s="4235" t="s">
        <v>873</v>
      </c>
      <c r="K13" s="4235"/>
      <c r="L13" s="1563"/>
      <c r="M13" s="4235" t="s">
        <v>874</v>
      </c>
      <c r="N13" s="4235"/>
      <c r="O13" s="156"/>
      <c r="P13" s="157"/>
      <c r="Q13" s="157"/>
      <c r="R13" s="1562"/>
      <c r="S13" s="1561"/>
      <c r="T13" s="4227" t="s">
        <v>875</v>
      </c>
      <c r="U13" s="4228"/>
      <c r="V13" s="4228"/>
      <c r="W13" s="4228"/>
      <c r="X13" s="1564" t="s">
        <v>0</v>
      </c>
      <c r="Y13" s="4236">
        <v>43281</v>
      </c>
      <c r="Z13" s="4228"/>
      <c r="AA13" s="4228"/>
      <c r="AB13" s="4237"/>
      <c r="AC13" s="152"/>
      <c r="AD13" s="73">
        <v>2</v>
      </c>
      <c r="AG13" s="73"/>
      <c r="AH13" s="73"/>
      <c r="AI13" s="73"/>
      <c r="AJ13" s="73"/>
    </row>
    <row r="14" spans="1:36" ht="20.25" customHeight="1" x14ac:dyDescent="0.25">
      <c r="A14" s="1566"/>
      <c r="B14" s="4227"/>
      <c r="C14" s="4228"/>
      <c r="D14" s="4228"/>
      <c r="E14" s="4228"/>
      <c r="F14" s="4228"/>
      <c r="G14" s="1564"/>
      <c r="H14" s="1564"/>
      <c r="I14" s="158"/>
      <c r="J14" s="158"/>
      <c r="K14" s="158"/>
      <c r="L14" s="158"/>
      <c r="M14" s="158"/>
      <c r="N14" s="158"/>
      <c r="O14" s="158"/>
      <c r="P14" s="159"/>
      <c r="Q14" s="159"/>
      <c r="R14" s="1564"/>
      <c r="S14" s="1561"/>
      <c r="T14" s="1562"/>
      <c r="U14" s="1562"/>
      <c r="V14" s="1562"/>
      <c r="W14" s="1562"/>
      <c r="X14" s="1562"/>
      <c r="Y14" s="4229"/>
      <c r="Z14" s="4229"/>
      <c r="AA14" s="4229"/>
      <c r="AB14" s="4229"/>
      <c r="AC14" s="152"/>
      <c r="AG14" s="73"/>
      <c r="AH14" s="73"/>
      <c r="AI14" s="73"/>
      <c r="AJ14" s="73"/>
    </row>
    <row r="15" spans="1:36" ht="20.25" customHeight="1" x14ac:dyDescent="0.25">
      <c r="A15" s="1566"/>
      <c r="B15" s="4229"/>
      <c r="C15" s="4229"/>
      <c r="D15" s="4229"/>
      <c r="E15" s="4229"/>
      <c r="F15" s="4229"/>
      <c r="G15" s="4229"/>
      <c r="H15" s="1562"/>
      <c r="I15" s="1562"/>
      <c r="J15" s="1562"/>
      <c r="K15" s="1562"/>
      <c r="L15" s="1562"/>
      <c r="M15" s="1562"/>
      <c r="N15" s="1562"/>
      <c r="O15" s="1562"/>
      <c r="P15" s="1562"/>
      <c r="Q15" s="1562"/>
      <c r="R15" s="1562"/>
      <c r="S15" s="1562"/>
      <c r="T15" s="1562"/>
      <c r="U15" s="1562"/>
      <c r="V15" s="1562"/>
      <c r="W15" s="1562"/>
      <c r="X15" s="1562"/>
      <c r="Y15" s="1562"/>
      <c r="Z15" s="1562"/>
      <c r="AA15" s="1562"/>
      <c r="AB15" s="155"/>
      <c r="AC15" s="152"/>
      <c r="AG15" s="73"/>
      <c r="AH15" s="73"/>
      <c r="AI15" s="73"/>
      <c r="AJ15" s="73"/>
    </row>
    <row r="16" spans="1:36" ht="20.25" customHeight="1" x14ac:dyDescent="0.25">
      <c r="A16" s="153"/>
      <c r="B16" s="4128"/>
      <c r="C16" s="4128"/>
      <c r="D16" s="4128"/>
      <c r="E16" s="4128"/>
      <c r="F16" s="4128"/>
      <c r="G16" s="4128"/>
      <c r="H16" s="2410"/>
      <c r="I16" s="2410"/>
      <c r="J16" s="2410"/>
      <c r="K16" s="2410"/>
      <c r="L16" s="2410"/>
      <c r="M16" s="2410"/>
      <c r="N16" s="2410"/>
      <c r="O16" s="2410"/>
      <c r="P16" s="2410"/>
      <c r="Q16" s="2410"/>
      <c r="R16" s="2410"/>
      <c r="S16" s="2410"/>
      <c r="T16" s="2410"/>
      <c r="U16" s="2410"/>
      <c r="V16" s="2410"/>
      <c r="W16" s="2410"/>
      <c r="X16" s="2410"/>
      <c r="Y16" s="2410"/>
      <c r="Z16" s="2410"/>
      <c r="AA16" s="2410"/>
      <c r="AB16" s="2407"/>
      <c r="AC16" s="152"/>
      <c r="AG16" s="73"/>
      <c r="AH16" s="73"/>
      <c r="AI16" s="73"/>
      <c r="AJ16" s="73"/>
    </row>
    <row r="17" spans="1:36" s="79" customFormat="1" ht="33.75" customHeight="1" x14ac:dyDescent="0.25">
      <c r="A17" s="160"/>
      <c r="B17" s="4173"/>
      <c r="C17" s="4174"/>
      <c r="D17" s="4174"/>
      <c r="E17" s="4174"/>
      <c r="F17" s="4174"/>
      <c r="G17" s="4174"/>
      <c r="H17" s="4174"/>
      <c r="I17" s="4174"/>
      <c r="J17" s="4174"/>
      <c r="K17" s="4174"/>
      <c r="L17" s="4174"/>
      <c r="M17" s="4174"/>
      <c r="N17" s="4174"/>
      <c r="O17" s="4175"/>
      <c r="P17" s="4176" t="s">
        <v>876</v>
      </c>
      <c r="Q17" s="4177"/>
      <c r="R17" s="4177"/>
      <c r="S17" s="4178"/>
      <c r="T17" s="4176" t="s">
        <v>345</v>
      </c>
      <c r="U17" s="4178"/>
      <c r="V17" s="4176" t="s">
        <v>877</v>
      </c>
      <c r="W17" s="4178"/>
      <c r="X17" s="4176" t="s">
        <v>878</v>
      </c>
      <c r="Y17" s="4177"/>
      <c r="Z17" s="4177"/>
      <c r="AA17" s="4177"/>
      <c r="AB17" s="4178"/>
      <c r="AC17" s="161"/>
      <c r="AD17" s="78"/>
      <c r="AE17" s="78"/>
      <c r="AF17" s="2412"/>
      <c r="AG17" s="78"/>
      <c r="AH17" s="78"/>
      <c r="AI17" s="78"/>
      <c r="AJ17" s="78"/>
    </row>
    <row r="18" spans="1:36" ht="15.75" customHeight="1" x14ac:dyDescent="0.25">
      <c r="A18" s="153"/>
      <c r="B18" s="4170" t="s">
        <v>879</v>
      </c>
      <c r="C18" s="4171"/>
      <c r="D18" s="4171"/>
      <c r="E18" s="4171"/>
      <c r="F18" s="4171"/>
      <c r="G18" s="4171"/>
      <c r="H18" s="4171"/>
      <c r="I18" s="4171"/>
      <c r="J18" s="4171"/>
      <c r="K18" s="4171"/>
      <c r="L18" s="4171"/>
      <c r="M18" s="4171"/>
      <c r="N18" s="4171"/>
      <c r="O18" s="4171"/>
      <c r="P18" s="4171"/>
      <c r="Q18" s="4171"/>
      <c r="R18" s="4171"/>
      <c r="S18" s="4171"/>
      <c r="T18" s="4171"/>
      <c r="U18" s="4171"/>
      <c r="V18" s="4171"/>
      <c r="W18" s="4171"/>
      <c r="X18" s="4171"/>
      <c r="Y18" s="4171"/>
      <c r="Z18" s="4171"/>
      <c r="AA18" s="4171"/>
      <c r="AB18" s="4172"/>
      <c r="AC18" s="152"/>
      <c r="AG18" s="73"/>
      <c r="AH18" s="73"/>
      <c r="AI18" s="73"/>
      <c r="AJ18" s="73"/>
    </row>
    <row r="19" spans="1:36" ht="15.75" customHeight="1" x14ac:dyDescent="0.25">
      <c r="A19" s="151"/>
      <c r="B19" s="162">
        <v>1</v>
      </c>
      <c r="C19" s="4179" t="s">
        <v>880</v>
      </c>
      <c r="D19" s="4180"/>
      <c r="E19" s="4180"/>
      <c r="F19" s="4180"/>
      <c r="G19" s="4180"/>
      <c r="H19" s="4180"/>
      <c r="I19" s="4180"/>
      <c r="J19" s="4180"/>
      <c r="K19" s="4180"/>
      <c r="L19" s="4180"/>
      <c r="M19" s="4180"/>
      <c r="N19" s="4180"/>
      <c r="O19" s="4180"/>
      <c r="P19" s="4180"/>
      <c r="Q19" s="4180"/>
      <c r="R19" s="4180"/>
      <c r="S19" s="4180"/>
      <c r="T19" s="4180"/>
      <c r="U19" s="4180"/>
      <c r="V19" s="4180"/>
      <c r="W19" s="4180"/>
      <c r="X19" s="4180"/>
      <c r="Y19" s="4180"/>
      <c r="Z19" s="4180"/>
      <c r="AA19" s="4180"/>
      <c r="AB19" s="4181"/>
      <c r="AC19" s="152"/>
      <c r="AG19" s="73"/>
      <c r="AH19" s="73"/>
      <c r="AI19" s="73"/>
      <c r="AJ19" s="73"/>
    </row>
    <row r="20" spans="1:36" ht="291" customHeight="1" x14ac:dyDescent="0.25">
      <c r="A20" s="151"/>
      <c r="B20" s="162"/>
      <c r="C20" s="162"/>
      <c r="D20" s="4187" t="str">
        <f>'FKS(PAP-03)'!D529</f>
        <v>Dalam hal kepatuhan terkait dengan pelaporan keuangan, Perusahaan yang bersangkutan mampu menyerahkan  Tepat Waktu sesuai dengan Periode Pelaporan. dengan kualitas informasi yang disampaikan, laporan keuangan perusahaan dinyatakan wajar, tanpa syarat. Hal ini ditunjang dengan penggunaan teknologi yang sudah sangat modern dalam hal penyusunan laporan keuangan yang valid dan akurat dengan jumlah skor rata-rata 4,67</v>
      </c>
      <c r="E20" s="4188"/>
      <c r="F20" s="4188"/>
      <c r="G20" s="4188"/>
      <c r="H20" s="4188"/>
      <c r="I20" s="4188"/>
      <c r="J20" s="4188"/>
      <c r="K20" s="4188"/>
      <c r="L20" s="4188"/>
      <c r="M20" s="4188"/>
      <c r="N20" s="4188"/>
      <c r="O20" s="4189"/>
      <c r="P20" s="4215"/>
      <c r="Q20" s="4215"/>
      <c r="R20" s="4215"/>
      <c r="S20" s="4215"/>
      <c r="T20" s="4157">
        <f>'FKS(PAP-03)'!T531</f>
        <v>4.666666666666667</v>
      </c>
      <c r="U20" s="4191"/>
      <c r="V20" s="4156">
        <v>5</v>
      </c>
      <c r="W20" s="4156"/>
      <c r="X20" s="4157">
        <f>IFERROR(((V20/T20)),"0")</f>
        <v>1.0714285714285714</v>
      </c>
      <c r="Y20" s="4157"/>
      <c r="Z20" s="4157"/>
      <c r="AA20" s="4157"/>
      <c r="AB20" s="4157"/>
      <c r="AC20" s="152"/>
      <c r="AG20" s="73"/>
      <c r="AH20" s="73"/>
      <c r="AI20" s="73"/>
      <c r="AJ20" s="73"/>
    </row>
    <row r="21" spans="1:36" ht="15.75" customHeight="1" x14ac:dyDescent="0.25">
      <c r="A21" s="151"/>
      <c r="B21" s="162">
        <v>2</v>
      </c>
      <c r="C21" s="4179" t="s">
        <v>809</v>
      </c>
      <c r="D21" s="4180"/>
      <c r="E21" s="4180"/>
      <c r="F21" s="4180"/>
      <c r="G21" s="4180"/>
      <c r="H21" s="4180"/>
      <c r="I21" s="4180"/>
      <c r="J21" s="4180"/>
      <c r="K21" s="4180"/>
      <c r="L21" s="4180"/>
      <c r="M21" s="4180"/>
      <c r="N21" s="4180"/>
      <c r="O21" s="4180"/>
      <c r="P21" s="4180"/>
      <c r="Q21" s="4180"/>
      <c r="R21" s="4180"/>
      <c r="S21" s="4180"/>
      <c r="T21" s="4180"/>
      <c r="U21" s="4180"/>
      <c r="V21" s="4180"/>
      <c r="W21" s="4180"/>
      <c r="X21" s="4180"/>
      <c r="Y21" s="4180"/>
      <c r="Z21" s="4180"/>
      <c r="AA21" s="4180"/>
      <c r="AB21" s="4181"/>
      <c r="AC21" s="152"/>
      <c r="AG21" s="73"/>
      <c r="AH21" s="73"/>
      <c r="AI21" s="73"/>
      <c r="AJ21" s="73"/>
    </row>
    <row r="22" spans="1:36" ht="291" customHeight="1" x14ac:dyDescent="0.25">
      <c r="A22" s="151"/>
      <c r="B22" s="162"/>
      <c r="C22" s="163"/>
      <c r="D22" s="4204" t="str">
        <f>'FKS(PAP-03)'!D571</f>
        <v>Perusahaan diketahui telah menjadi nasabah JAMKRIDA selama 4 tahun dengan memanfaatkan penjaminan sekurang-kurangnya 1 Jenis produk. Selama menjalin kerjasama dengan JAMKRIDA, perusahaan milik terjamin menunjukan sikap yang kooperatif dalam memenuhi kewajiban pembayaran walauppun kendala-kendala muncul dilapangan. Selama dalam masa penjaminan, terjamin selalu tepat waktu dalam melakukan pembayaran kewajiban. Sementara itu diketahui terjamin juga memanfaatkan fasilitas dari perusahaan pembiayaan lain, namun kualitasnya juga sangat baik.Terkait dengan penggunaan fasilitas Pembiayaan/Penjaminan, Terjamin terbukti tidak melakukan side streaming, artinya fasilitas yang diterima benar-benar dialokasikan untuk kebutuhan sebagaimana diusulkan dalam pengajuan. Begitupun dengan jumlah skor rata-rata adalah 3,33</v>
      </c>
      <c r="E22" s="4205"/>
      <c r="F22" s="4205"/>
      <c r="G22" s="4205"/>
      <c r="H22" s="4205"/>
      <c r="I22" s="4205"/>
      <c r="J22" s="4205"/>
      <c r="K22" s="4205"/>
      <c r="L22" s="4205"/>
      <c r="M22" s="4205"/>
      <c r="N22" s="4205"/>
      <c r="O22" s="4206"/>
      <c r="P22" s="4219"/>
      <c r="Q22" s="4220"/>
      <c r="R22" s="4220"/>
      <c r="S22" s="4221"/>
      <c r="T22" s="4207">
        <f>'FKS(PAP-03)'!T573</f>
        <v>3.3333333333333335</v>
      </c>
      <c r="U22" s="4208"/>
      <c r="V22" s="4222">
        <v>5</v>
      </c>
      <c r="W22" s="4223"/>
      <c r="X22" s="4224">
        <f>IFERROR(((V22/T22)),"0")</f>
        <v>1.5</v>
      </c>
      <c r="Y22" s="4225"/>
      <c r="Z22" s="4225"/>
      <c r="AA22" s="4225"/>
      <c r="AB22" s="4226"/>
      <c r="AC22" s="152"/>
      <c r="AG22" s="73"/>
      <c r="AH22" s="73"/>
      <c r="AI22" s="73"/>
      <c r="AJ22" s="73"/>
    </row>
    <row r="23" spans="1:36" ht="15.75" customHeight="1" x14ac:dyDescent="0.25">
      <c r="A23" s="151"/>
      <c r="B23" s="4158" t="s">
        <v>881</v>
      </c>
      <c r="C23" s="4159"/>
      <c r="D23" s="4159"/>
      <c r="E23" s="4159"/>
      <c r="F23" s="4159"/>
      <c r="G23" s="4159"/>
      <c r="H23" s="4159"/>
      <c r="I23" s="4159"/>
      <c r="J23" s="4159"/>
      <c r="K23" s="4159"/>
      <c r="L23" s="4159"/>
      <c r="M23" s="4159"/>
      <c r="N23" s="4159"/>
      <c r="O23" s="4160"/>
      <c r="P23" s="4161"/>
      <c r="Q23" s="4162"/>
      <c r="R23" s="4162"/>
      <c r="S23" s="4163"/>
      <c r="T23" s="4161"/>
      <c r="U23" s="4163"/>
      <c r="V23" s="4164"/>
      <c r="W23" s="4165"/>
      <c r="X23" s="4192">
        <f>IFERROR(((SUM(X20,X22)/2)),"0")</f>
        <v>1.2857142857142856</v>
      </c>
      <c r="Y23" s="4193"/>
      <c r="Z23" s="4193"/>
      <c r="AA23" s="4193"/>
      <c r="AB23" s="4194"/>
      <c r="AC23" s="152"/>
      <c r="AG23" s="73"/>
      <c r="AH23" s="73"/>
      <c r="AI23" s="73"/>
      <c r="AJ23" s="73"/>
    </row>
    <row r="24" spans="1:36" s="80" customFormat="1" ht="15.75" customHeight="1" x14ac:dyDescent="0.25">
      <c r="A24" s="4185"/>
      <c r="B24" s="4185"/>
      <c r="C24" s="4185"/>
      <c r="D24" s="4185"/>
      <c r="E24" s="4185"/>
      <c r="F24" s="4185"/>
      <c r="G24" s="4185"/>
      <c r="H24" s="4185"/>
      <c r="I24" s="4185"/>
      <c r="J24" s="4185"/>
      <c r="K24" s="4185"/>
      <c r="L24" s="4185"/>
      <c r="M24" s="4185"/>
      <c r="N24" s="4185"/>
      <c r="O24" s="4185"/>
      <c r="P24" s="4185"/>
      <c r="Q24" s="4185"/>
      <c r="R24" s="4185"/>
      <c r="S24" s="4185"/>
      <c r="T24" s="4185"/>
      <c r="U24" s="4185"/>
      <c r="V24" s="4185"/>
      <c r="W24" s="4185"/>
      <c r="X24" s="4185"/>
      <c r="Y24" s="4185"/>
      <c r="Z24" s="4185"/>
      <c r="AA24" s="4185"/>
      <c r="AB24" s="4185"/>
      <c r="AC24" s="1566"/>
      <c r="AD24" s="74"/>
      <c r="AE24" s="74"/>
      <c r="AF24" s="2413"/>
      <c r="AG24" s="74"/>
      <c r="AH24" s="74"/>
      <c r="AI24" s="74"/>
      <c r="AJ24" s="74"/>
    </row>
    <row r="25" spans="1:36" s="79" customFormat="1" ht="33.75" customHeight="1" x14ac:dyDescent="0.25">
      <c r="A25" s="160"/>
      <c r="B25" s="4173"/>
      <c r="C25" s="4174"/>
      <c r="D25" s="4174"/>
      <c r="E25" s="4174"/>
      <c r="F25" s="4174"/>
      <c r="G25" s="4174"/>
      <c r="H25" s="4174"/>
      <c r="I25" s="4174"/>
      <c r="J25" s="4174"/>
      <c r="K25" s="4174"/>
      <c r="L25" s="4174"/>
      <c r="M25" s="4174"/>
      <c r="N25" s="4174"/>
      <c r="O25" s="4175"/>
      <c r="P25" s="4176" t="s">
        <v>876</v>
      </c>
      <c r="Q25" s="4177"/>
      <c r="R25" s="4177"/>
      <c r="S25" s="4178"/>
      <c r="T25" s="4176" t="s">
        <v>345</v>
      </c>
      <c r="U25" s="4178"/>
      <c r="V25" s="4176" t="s">
        <v>877</v>
      </c>
      <c r="W25" s="4178"/>
      <c r="X25" s="4176" t="s">
        <v>878</v>
      </c>
      <c r="Y25" s="4177"/>
      <c r="Z25" s="4177"/>
      <c r="AA25" s="4177"/>
      <c r="AB25" s="4178"/>
      <c r="AC25" s="161"/>
      <c r="AD25" s="78"/>
      <c r="AE25" s="78"/>
      <c r="AF25" s="2412"/>
      <c r="AG25" s="78"/>
      <c r="AH25" s="78"/>
      <c r="AI25" s="78"/>
      <c r="AJ25" s="78"/>
    </row>
    <row r="26" spans="1:36" ht="15.75" customHeight="1" x14ac:dyDescent="0.25">
      <c r="A26" s="151"/>
      <c r="B26" s="4179" t="s">
        <v>882</v>
      </c>
      <c r="C26" s="4180"/>
      <c r="D26" s="4180"/>
      <c r="E26" s="4180"/>
      <c r="F26" s="4180"/>
      <c r="G26" s="4180"/>
      <c r="H26" s="4180"/>
      <c r="I26" s="4180"/>
      <c r="J26" s="4180"/>
      <c r="K26" s="4180"/>
      <c r="L26" s="4180"/>
      <c r="M26" s="4180"/>
      <c r="N26" s="4180"/>
      <c r="O26" s="4180"/>
      <c r="P26" s="4180"/>
      <c r="Q26" s="4180"/>
      <c r="R26" s="4180"/>
      <c r="S26" s="4180"/>
      <c r="T26" s="4180"/>
      <c r="U26" s="4180"/>
      <c r="V26" s="4180"/>
      <c r="W26" s="4180"/>
      <c r="X26" s="4180"/>
      <c r="Y26" s="4180"/>
      <c r="Z26" s="4180"/>
      <c r="AA26" s="4180"/>
      <c r="AB26" s="4181"/>
      <c r="AC26" s="152"/>
      <c r="AG26" s="73"/>
      <c r="AH26" s="73"/>
      <c r="AI26" s="73"/>
      <c r="AJ26" s="73"/>
    </row>
    <row r="27" spans="1:36" ht="15.75" customHeight="1" x14ac:dyDescent="0.25">
      <c r="A27" s="151"/>
      <c r="B27" s="162">
        <v>1</v>
      </c>
      <c r="C27" s="4186" t="s">
        <v>102</v>
      </c>
      <c r="D27" s="4171"/>
      <c r="E27" s="4171"/>
      <c r="F27" s="4171"/>
      <c r="G27" s="4171"/>
      <c r="H27" s="4171"/>
      <c r="I27" s="4171"/>
      <c r="J27" s="4171"/>
      <c r="K27" s="4171"/>
      <c r="L27" s="4171"/>
      <c r="M27" s="4171"/>
      <c r="N27" s="4171"/>
      <c r="O27" s="4171"/>
      <c r="P27" s="4171"/>
      <c r="Q27" s="4171"/>
      <c r="R27" s="4171"/>
      <c r="S27" s="4171"/>
      <c r="T27" s="4171"/>
      <c r="U27" s="4171"/>
      <c r="V27" s="4171"/>
      <c r="W27" s="4171"/>
      <c r="X27" s="4171"/>
      <c r="Y27" s="4171"/>
      <c r="Z27" s="4171"/>
      <c r="AA27" s="4171"/>
      <c r="AB27" s="4172"/>
      <c r="AC27" s="152"/>
      <c r="AG27" s="73"/>
      <c r="AH27" s="73"/>
      <c r="AI27" s="73"/>
      <c r="AJ27" s="73"/>
    </row>
    <row r="28" spans="1:36" ht="175.5" customHeight="1" x14ac:dyDescent="0.25">
      <c r="A28" s="151"/>
      <c r="B28" s="162"/>
      <c r="C28" s="162"/>
      <c r="D28" s="4187" t="str">
        <f>'FKS(PAP-03)'!D454</f>
        <v>Perusahaan sudah berjalan lebih dari 8 tahun. Kompetensi perusahaan sudah berpengalaman untuk menciptakan keunggulan kompetitif terhadap persaingan industri. Perencanaan Usaha dan Pengendalian Keuangan sudah baik, manajemen dalam mengambil keputusan terbilang cukup baik dengan pengelolaan risiko yang mampu mendapatkan solusi untuk mengurangi risiko yang timbul dengan skor rata-rata pengalaman adalah 3.80</v>
      </c>
      <c r="E28" s="4188"/>
      <c r="F28" s="4188"/>
      <c r="G28" s="4188"/>
      <c r="H28" s="4188"/>
      <c r="I28" s="4188"/>
      <c r="J28" s="4188"/>
      <c r="K28" s="4188"/>
      <c r="L28" s="4188"/>
      <c r="M28" s="4188"/>
      <c r="N28" s="4188"/>
      <c r="O28" s="4189"/>
      <c r="P28" s="4215"/>
      <c r="Q28" s="4215"/>
      <c r="R28" s="4215"/>
      <c r="S28" s="4215"/>
      <c r="T28" s="4157">
        <f>'FKS(PAP-03)'!T456</f>
        <v>3.8</v>
      </c>
      <c r="U28" s="4157"/>
      <c r="V28" s="4156">
        <v>5</v>
      </c>
      <c r="W28" s="4156"/>
      <c r="X28" s="4157">
        <f>IFERROR(((V28/T28)),"0")</f>
        <v>1.3157894736842106</v>
      </c>
      <c r="Y28" s="4157"/>
      <c r="Z28" s="4157"/>
      <c r="AA28" s="4157"/>
      <c r="AB28" s="4157"/>
      <c r="AC28" s="152"/>
      <c r="AG28" s="73"/>
      <c r="AH28" s="73"/>
      <c r="AI28" s="73"/>
      <c r="AJ28" s="73"/>
    </row>
    <row r="29" spans="1:36" ht="15.75" customHeight="1" x14ac:dyDescent="0.25">
      <c r="A29" s="151"/>
      <c r="B29" s="162">
        <v>2</v>
      </c>
      <c r="C29" s="4186" t="s">
        <v>113</v>
      </c>
      <c r="D29" s="4171"/>
      <c r="E29" s="4171"/>
      <c r="F29" s="4171"/>
      <c r="G29" s="4171"/>
      <c r="H29" s="4171"/>
      <c r="I29" s="4171"/>
      <c r="J29" s="4171"/>
      <c r="K29" s="4171"/>
      <c r="L29" s="4171"/>
      <c r="M29" s="4171"/>
      <c r="N29" s="4171"/>
      <c r="O29" s="4171"/>
      <c r="P29" s="4171"/>
      <c r="Q29" s="4171"/>
      <c r="R29" s="4171"/>
      <c r="S29" s="4171"/>
      <c r="T29" s="4171"/>
      <c r="U29" s="4171"/>
      <c r="V29" s="4171"/>
      <c r="W29" s="4171"/>
      <c r="X29" s="4171"/>
      <c r="Y29" s="4171"/>
      <c r="Z29" s="4171"/>
      <c r="AA29" s="4171"/>
      <c r="AB29" s="4172"/>
      <c r="AC29" s="152"/>
      <c r="AG29" s="73"/>
      <c r="AH29" s="73"/>
      <c r="AI29" s="73"/>
      <c r="AJ29" s="73"/>
    </row>
    <row r="30" spans="1:36" ht="175.5" customHeight="1" x14ac:dyDescent="0.25">
      <c r="A30" s="151"/>
      <c r="B30" s="162"/>
      <c r="C30" s="162"/>
      <c r="D30" s="4187" t="str">
        <f>'FKS(PAP-03)'!D479</f>
        <v>Key Person yang memegang peranan vital dalam perusahaan memiliki latar belakang pendidkan yang memadai, ''dimana rata2 Tenaga kerja  pada umumnya merupakan Sarjana dan D3</v>
      </c>
      <c r="E30" s="4188"/>
      <c r="F30" s="4188"/>
      <c r="G30" s="4188"/>
      <c r="H30" s="4188"/>
      <c r="I30" s="4188"/>
      <c r="J30" s="4188"/>
      <c r="K30" s="4188"/>
      <c r="L30" s="4188"/>
      <c r="M30" s="4188"/>
      <c r="N30" s="4188"/>
      <c r="O30" s="4189"/>
      <c r="P30" s="4215"/>
      <c r="Q30" s="4215"/>
      <c r="R30" s="4215"/>
      <c r="S30" s="4215"/>
      <c r="T30" s="4157">
        <f>'FKS(PAP-03)'!T481:U481</f>
        <v>4</v>
      </c>
      <c r="U30" s="4157"/>
      <c r="V30" s="4156">
        <v>5</v>
      </c>
      <c r="W30" s="4156"/>
      <c r="X30" s="4157">
        <f>IFERROR(((V30/T30)),"0")</f>
        <v>1.25</v>
      </c>
      <c r="Y30" s="4157"/>
      <c r="Z30" s="4157"/>
      <c r="AA30" s="4157"/>
      <c r="AB30" s="4157"/>
      <c r="AC30" s="152"/>
      <c r="AG30" s="73"/>
      <c r="AH30" s="73"/>
      <c r="AI30" s="73"/>
      <c r="AJ30" s="73"/>
    </row>
    <row r="31" spans="1:36" ht="24.75" customHeight="1" x14ac:dyDescent="0.25">
      <c r="A31" s="151"/>
      <c r="B31" s="162">
        <v>3</v>
      </c>
      <c r="C31" s="4186" t="s">
        <v>883</v>
      </c>
      <c r="D31" s="4171"/>
      <c r="E31" s="4171"/>
      <c r="F31" s="4171"/>
      <c r="G31" s="4171"/>
      <c r="H31" s="4171"/>
      <c r="I31" s="4171"/>
      <c r="J31" s="4171"/>
      <c r="K31" s="4171"/>
      <c r="L31" s="4171"/>
      <c r="M31" s="4171"/>
      <c r="N31" s="4171"/>
      <c r="O31" s="4171"/>
      <c r="P31" s="4171"/>
      <c r="Q31" s="4171"/>
      <c r="R31" s="4171"/>
      <c r="S31" s="4171"/>
      <c r="T31" s="4171"/>
      <c r="U31" s="4171"/>
      <c r="V31" s="4171"/>
      <c r="W31" s="4171"/>
      <c r="X31" s="4171"/>
      <c r="Y31" s="4171"/>
      <c r="Z31" s="4171"/>
      <c r="AA31" s="4171"/>
      <c r="AB31" s="4172"/>
      <c r="AC31" s="152"/>
      <c r="AG31" s="73"/>
      <c r="AH31" s="73"/>
      <c r="AI31" s="73"/>
      <c r="AJ31" s="73"/>
    </row>
    <row r="32" spans="1:36" ht="175.5" customHeight="1" x14ac:dyDescent="0.25">
      <c r="A32" s="151"/>
      <c r="B32" s="162"/>
      <c r="C32" s="162"/>
      <c r="D32" s="4209" t="str">
        <f>'FKS(PAP-03)'!D488</f>
        <v>Key Person diketahui memiliki track record yang sangat baik dalam mejalankan usaha dengan skor rata-rata 4</v>
      </c>
      <c r="E32" s="4210"/>
      <c r="F32" s="4210"/>
      <c r="G32" s="4210"/>
      <c r="H32" s="4210"/>
      <c r="I32" s="4210"/>
      <c r="J32" s="4210"/>
      <c r="K32" s="4210"/>
      <c r="L32" s="4210"/>
      <c r="M32" s="4210"/>
      <c r="N32" s="4210"/>
      <c r="O32" s="4211"/>
      <c r="P32" s="4216"/>
      <c r="Q32" s="4217"/>
      <c r="R32" s="4217"/>
      <c r="S32" s="4218"/>
      <c r="T32" s="4157">
        <f>'FKS(PAP-03)'!T490</f>
        <v>4</v>
      </c>
      <c r="U32" s="4157"/>
      <c r="V32" s="4156">
        <v>5</v>
      </c>
      <c r="W32" s="4156"/>
      <c r="X32" s="4157">
        <f>IFERROR(((V32/T32)),"0")</f>
        <v>1.25</v>
      </c>
      <c r="Y32" s="4157"/>
      <c r="Z32" s="4157"/>
      <c r="AA32" s="4157"/>
      <c r="AB32" s="4157"/>
      <c r="AC32" s="152"/>
      <c r="AG32" s="73"/>
      <c r="AH32" s="73"/>
      <c r="AI32" s="73"/>
      <c r="AJ32" s="73"/>
    </row>
    <row r="33" spans="1:36" ht="15.75" customHeight="1" x14ac:dyDescent="0.25">
      <c r="A33" s="151"/>
      <c r="B33" s="162">
        <v>4</v>
      </c>
      <c r="C33" s="4186" t="s">
        <v>884</v>
      </c>
      <c r="D33" s="4171"/>
      <c r="E33" s="4171"/>
      <c r="F33" s="4171"/>
      <c r="G33" s="4171"/>
      <c r="H33" s="4171"/>
      <c r="I33" s="4171"/>
      <c r="J33" s="4171"/>
      <c r="K33" s="4171"/>
      <c r="L33" s="4171"/>
      <c r="M33" s="4171"/>
      <c r="N33" s="4171"/>
      <c r="O33" s="4171"/>
      <c r="P33" s="4171"/>
      <c r="Q33" s="4171"/>
      <c r="R33" s="4171"/>
      <c r="S33" s="4171"/>
      <c r="T33" s="4171"/>
      <c r="U33" s="4171"/>
      <c r="V33" s="4171"/>
      <c r="W33" s="4171"/>
      <c r="X33" s="4171"/>
      <c r="Y33" s="4171"/>
      <c r="Z33" s="4171"/>
      <c r="AA33" s="4171"/>
      <c r="AB33" s="4172"/>
      <c r="AC33" s="152"/>
      <c r="AG33" s="73"/>
      <c r="AH33" s="73"/>
      <c r="AI33" s="73"/>
      <c r="AJ33" s="73"/>
    </row>
    <row r="34" spans="1:36" ht="175.5" customHeight="1" x14ac:dyDescent="0.25">
      <c r="A34" s="151"/>
      <c r="B34" s="162"/>
      <c r="C34" s="162"/>
      <c r="D34" s="4187" t="str">
        <f>'FKS(PAP-03)'!D496</f>
        <v>Struktur organisasi dalam perusahaan telah memiliki jenjang yang sesuai dengan kondisi internal. Seluruh aktifitas pekerjaan berjalan sesuai dengan sistem dan kewenangan yang disusun dengan sangat jelas skor rata-rata 5</v>
      </c>
      <c r="E34" s="4188"/>
      <c r="F34" s="4188"/>
      <c r="G34" s="4188"/>
      <c r="H34" s="4188"/>
      <c r="I34" s="4188"/>
      <c r="J34" s="4188"/>
      <c r="K34" s="4188"/>
      <c r="L34" s="4188"/>
      <c r="M34" s="4188"/>
      <c r="N34" s="4188"/>
      <c r="O34" s="4189"/>
      <c r="P34" s="4215"/>
      <c r="Q34" s="4215"/>
      <c r="R34" s="4215"/>
      <c r="S34" s="4215"/>
      <c r="T34" s="4157">
        <f>'FKS(PAP-03)'!T498</f>
        <v>5</v>
      </c>
      <c r="U34" s="4157"/>
      <c r="V34" s="4156">
        <v>5</v>
      </c>
      <c r="W34" s="4156"/>
      <c r="X34" s="4157">
        <f>IFERROR(((V34/T34)),"0")</f>
        <v>1</v>
      </c>
      <c r="Y34" s="4157"/>
      <c r="Z34" s="4157"/>
      <c r="AA34" s="4157"/>
      <c r="AB34" s="4157"/>
      <c r="AC34" s="152"/>
      <c r="AG34" s="73"/>
      <c r="AH34" s="73"/>
      <c r="AI34" s="73"/>
      <c r="AJ34" s="73"/>
    </row>
    <row r="35" spans="1:36" ht="15.75" customHeight="1" x14ac:dyDescent="0.25">
      <c r="A35" s="151"/>
      <c r="B35" s="162">
        <v>5</v>
      </c>
      <c r="C35" s="4186" t="s">
        <v>885</v>
      </c>
      <c r="D35" s="4171"/>
      <c r="E35" s="4171"/>
      <c r="F35" s="4171"/>
      <c r="G35" s="4171"/>
      <c r="H35" s="4171"/>
      <c r="I35" s="4171"/>
      <c r="J35" s="4171"/>
      <c r="K35" s="4171"/>
      <c r="L35" s="4171"/>
      <c r="M35" s="4171"/>
      <c r="N35" s="4171"/>
      <c r="O35" s="4171"/>
      <c r="P35" s="4171"/>
      <c r="Q35" s="4171"/>
      <c r="R35" s="4171"/>
      <c r="S35" s="4171"/>
      <c r="T35" s="4171"/>
      <c r="U35" s="4171"/>
      <c r="V35" s="4171"/>
      <c r="W35" s="4171"/>
      <c r="X35" s="4171"/>
      <c r="Y35" s="4171"/>
      <c r="Z35" s="4171"/>
      <c r="AA35" s="4171"/>
      <c r="AB35" s="4172"/>
      <c r="AC35" s="152"/>
      <c r="AG35" s="73"/>
      <c r="AH35" s="73"/>
      <c r="AI35" s="73"/>
      <c r="AJ35" s="73"/>
    </row>
    <row r="36" spans="1:36" ht="175.5" customHeight="1" x14ac:dyDescent="0.25">
      <c r="A36" s="151"/>
      <c r="B36" s="162"/>
      <c r="C36" s="162"/>
      <c r="D36" s="4209" t="str">
        <f>'FKS(PAP-03)'!D504</f>
        <v>Kaderisasi dalam perusahaan telah direncanakan dengan baik, terlihat dari kesiapan kader kader dalam menghadapi pasar dengan skor rata-rata 4</v>
      </c>
      <c r="E36" s="4210"/>
      <c r="F36" s="4210"/>
      <c r="G36" s="4210"/>
      <c r="H36" s="4210"/>
      <c r="I36" s="4210"/>
      <c r="J36" s="4210"/>
      <c r="K36" s="4210"/>
      <c r="L36" s="4210"/>
      <c r="M36" s="4210"/>
      <c r="N36" s="4210"/>
      <c r="O36" s="4211"/>
      <c r="P36" s="4215"/>
      <c r="Q36" s="4215"/>
      <c r="R36" s="4215"/>
      <c r="S36" s="4215"/>
      <c r="T36" s="4157">
        <f>'FKS(PAP-03)'!T506</f>
        <v>4</v>
      </c>
      <c r="U36" s="4157"/>
      <c r="V36" s="4156">
        <v>5</v>
      </c>
      <c r="W36" s="4156"/>
      <c r="X36" s="4157">
        <f>IFERROR(((V36/T36)),"0")</f>
        <v>1.25</v>
      </c>
      <c r="Y36" s="4157"/>
      <c r="Z36" s="4157"/>
      <c r="AA36" s="4157"/>
      <c r="AB36" s="4157"/>
      <c r="AC36" s="152"/>
      <c r="AG36" s="73"/>
      <c r="AH36" s="73"/>
      <c r="AI36" s="73"/>
      <c r="AJ36" s="73"/>
    </row>
    <row r="37" spans="1:36" ht="15.75" customHeight="1" x14ac:dyDescent="0.25">
      <c r="A37" s="151"/>
      <c r="B37" s="4212" t="s">
        <v>886</v>
      </c>
      <c r="C37" s="4213"/>
      <c r="D37" s="4213"/>
      <c r="E37" s="4213"/>
      <c r="F37" s="4213"/>
      <c r="G37" s="4213"/>
      <c r="H37" s="4213"/>
      <c r="I37" s="4213"/>
      <c r="J37" s="4213"/>
      <c r="K37" s="4213"/>
      <c r="L37" s="4213"/>
      <c r="M37" s="4213"/>
      <c r="N37" s="4213"/>
      <c r="O37" s="4214"/>
      <c r="P37" s="4161"/>
      <c r="Q37" s="4162"/>
      <c r="R37" s="4162"/>
      <c r="S37" s="4163"/>
      <c r="T37" s="4161"/>
      <c r="U37" s="4163"/>
      <c r="V37" s="4164"/>
      <c r="W37" s="4165"/>
      <c r="X37" s="4182">
        <f>IFERROR(((SUM(X28,X30,X32,X34,X36)/5)),"0")</f>
        <v>1.2131578947368422</v>
      </c>
      <c r="Y37" s="4183"/>
      <c r="Z37" s="4183"/>
      <c r="AA37" s="4183"/>
      <c r="AB37" s="4184"/>
      <c r="AC37" s="152"/>
      <c r="AG37" s="73"/>
      <c r="AH37" s="73"/>
      <c r="AI37" s="73"/>
      <c r="AJ37" s="73"/>
    </row>
    <row r="38" spans="1:36" s="80" customFormat="1" ht="15.75" customHeight="1" x14ac:dyDescent="0.25">
      <c r="A38" s="4185"/>
      <c r="B38" s="4185"/>
      <c r="C38" s="4185"/>
      <c r="D38" s="4185"/>
      <c r="E38" s="4185"/>
      <c r="F38" s="4185"/>
      <c r="G38" s="4185"/>
      <c r="H38" s="4185"/>
      <c r="I38" s="4185"/>
      <c r="J38" s="4185"/>
      <c r="K38" s="4185"/>
      <c r="L38" s="4185"/>
      <c r="M38" s="4185"/>
      <c r="N38" s="4185"/>
      <c r="O38" s="4185"/>
      <c r="P38" s="4185"/>
      <c r="Q38" s="4185"/>
      <c r="R38" s="4185"/>
      <c r="S38" s="4185"/>
      <c r="T38" s="4185"/>
      <c r="U38" s="4185"/>
      <c r="V38" s="4185"/>
      <c r="W38" s="4185"/>
      <c r="X38" s="4185"/>
      <c r="Y38" s="4185"/>
      <c r="Z38" s="4185"/>
      <c r="AA38" s="4185"/>
      <c r="AB38" s="4185"/>
      <c r="AC38" s="1566"/>
      <c r="AD38" s="74"/>
      <c r="AE38" s="74"/>
      <c r="AF38" s="2413"/>
      <c r="AG38" s="74"/>
      <c r="AH38" s="74"/>
      <c r="AI38" s="74"/>
      <c r="AJ38" s="74"/>
    </row>
    <row r="39" spans="1:36" s="79" customFormat="1" ht="33.75" customHeight="1" x14ac:dyDescent="0.25">
      <c r="A39" s="160"/>
      <c r="B39" s="4173"/>
      <c r="C39" s="4174"/>
      <c r="D39" s="4174"/>
      <c r="E39" s="4174"/>
      <c r="F39" s="4174"/>
      <c r="G39" s="4174"/>
      <c r="H39" s="4174"/>
      <c r="I39" s="4174"/>
      <c r="J39" s="4174"/>
      <c r="K39" s="4174"/>
      <c r="L39" s="4174"/>
      <c r="M39" s="4174"/>
      <c r="N39" s="4174"/>
      <c r="O39" s="4175"/>
      <c r="P39" s="4176" t="s">
        <v>876</v>
      </c>
      <c r="Q39" s="4177"/>
      <c r="R39" s="4177"/>
      <c r="S39" s="4178"/>
      <c r="T39" s="4176" t="s">
        <v>345</v>
      </c>
      <c r="U39" s="4178"/>
      <c r="V39" s="4176" t="s">
        <v>877</v>
      </c>
      <c r="W39" s="4178"/>
      <c r="X39" s="4176" t="s">
        <v>878</v>
      </c>
      <c r="Y39" s="4177"/>
      <c r="Z39" s="4177"/>
      <c r="AA39" s="4177"/>
      <c r="AB39" s="4178"/>
      <c r="AC39" s="161"/>
      <c r="AD39" s="78"/>
      <c r="AE39" s="78"/>
      <c r="AF39" s="2412"/>
      <c r="AG39" s="78"/>
      <c r="AH39" s="78"/>
      <c r="AI39" s="78"/>
      <c r="AJ39" s="78"/>
    </row>
    <row r="40" spans="1:36" ht="15.75" customHeight="1" x14ac:dyDescent="0.25">
      <c r="A40" s="151"/>
      <c r="B40" s="4179" t="s">
        <v>887</v>
      </c>
      <c r="C40" s="4180"/>
      <c r="D40" s="4180"/>
      <c r="E40" s="4180"/>
      <c r="F40" s="4180"/>
      <c r="G40" s="4180"/>
      <c r="H40" s="4180"/>
      <c r="I40" s="4180"/>
      <c r="J40" s="4180"/>
      <c r="K40" s="4180"/>
      <c r="L40" s="4180"/>
      <c r="M40" s="4180"/>
      <c r="N40" s="4180"/>
      <c r="O40" s="4180"/>
      <c r="P40" s="4180"/>
      <c r="Q40" s="4180"/>
      <c r="R40" s="4180"/>
      <c r="S40" s="4180"/>
      <c r="T40" s="4180"/>
      <c r="U40" s="4180"/>
      <c r="V40" s="4180"/>
      <c r="W40" s="4180"/>
      <c r="X40" s="4180"/>
      <c r="Y40" s="4180"/>
      <c r="Z40" s="4180"/>
      <c r="AA40" s="4180"/>
      <c r="AB40" s="4181"/>
      <c r="AC40" s="152"/>
      <c r="AG40" s="73"/>
      <c r="AH40" s="73"/>
      <c r="AI40" s="73"/>
      <c r="AJ40" s="73"/>
    </row>
    <row r="41" spans="1:36" ht="15.75" customHeight="1" x14ac:dyDescent="0.25">
      <c r="A41" s="151"/>
      <c r="B41" s="162">
        <v>1</v>
      </c>
      <c r="C41" s="4186" t="s">
        <v>888</v>
      </c>
      <c r="D41" s="4171"/>
      <c r="E41" s="4171"/>
      <c r="F41" s="4171"/>
      <c r="G41" s="4171"/>
      <c r="H41" s="4171"/>
      <c r="I41" s="4171"/>
      <c r="J41" s="4171"/>
      <c r="K41" s="4171"/>
      <c r="L41" s="4171"/>
      <c r="M41" s="4171"/>
      <c r="N41" s="4171"/>
      <c r="O41" s="4171"/>
      <c r="P41" s="4171"/>
      <c r="Q41" s="4171"/>
      <c r="R41" s="4171"/>
      <c r="S41" s="4171"/>
      <c r="T41" s="4171"/>
      <c r="U41" s="4171"/>
      <c r="V41" s="4171"/>
      <c r="W41" s="4171"/>
      <c r="X41" s="4171"/>
      <c r="Y41" s="4171"/>
      <c r="Z41" s="4171"/>
      <c r="AA41" s="4171"/>
      <c r="AB41" s="4172"/>
      <c r="AC41" s="152"/>
      <c r="AG41" s="73"/>
      <c r="AH41" s="73"/>
      <c r="AI41" s="73"/>
      <c r="AJ41" s="73"/>
    </row>
    <row r="42" spans="1:36" ht="144.75" customHeight="1" x14ac:dyDescent="0.25">
      <c r="A42" s="151"/>
      <c r="B42" s="162"/>
      <c r="C42" s="162"/>
      <c r="D42" s="4187" t="str">
        <f>'FIP(PAP-01)'!E78</f>
        <v>Character / Integritas (kejujuran &amp; kerjasama)
Memberikan informasi sesuai dengan kondisi yang ada
Menyajikan semua data yang diminta pihak Penjamin.
Ybs. Juga telah menyerahkan jaminan berupa rumah tinggal.</v>
      </c>
      <c r="E42" s="4188"/>
      <c r="F42" s="4188"/>
      <c r="G42" s="4188"/>
      <c r="H42" s="4188"/>
      <c r="I42" s="4188"/>
      <c r="J42" s="4188"/>
      <c r="K42" s="4188"/>
      <c r="L42" s="4188"/>
      <c r="M42" s="4188"/>
      <c r="N42" s="4188"/>
      <c r="O42" s="4189"/>
      <c r="P42" s="4190"/>
      <c r="Q42" s="4190"/>
      <c r="R42" s="4190"/>
      <c r="S42" s="4190"/>
      <c r="T42" s="4157">
        <f>'FIP(PAP-01)'!AD78</f>
        <v>3</v>
      </c>
      <c r="U42" s="4157"/>
      <c r="V42" s="4156">
        <v>5</v>
      </c>
      <c r="W42" s="4156"/>
      <c r="X42" s="4157">
        <f>IFERROR(((V42/T42)),"0")</f>
        <v>1.6666666666666667</v>
      </c>
      <c r="Y42" s="4157"/>
      <c r="Z42" s="4157"/>
      <c r="AA42" s="4157"/>
      <c r="AB42" s="4157"/>
      <c r="AC42" s="152"/>
      <c r="AG42" s="73"/>
      <c r="AH42" s="73"/>
      <c r="AI42" s="73"/>
      <c r="AJ42" s="73"/>
    </row>
    <row r="43" spans="1:36" ht="15.75" customHeight="1" x14ac:dyDescent="0.25">
      <c r="A43" s="151"/>
      <c r="B43" s="162">
        <v>2</v>
      </c>
      <c r="C43" s="4186" t="s">
        <v>889</v>
      </c>
      <c r="D43" s="4171"/>
      <c r="E43" s="4171"/>
      <c r="F43" s="4171"/>
      <c r="G43" s="4171"/>
      <c r="H43" s="4171"/>
      <c r="I43" s="4171"/>
      <c r="J43" s="4171"/>
      <c r="K43" s="4171"/>
      <c r="L43" s="4171"/>
      <c r="M43" s="4171"/>
      <c r="N43" s="4171"/>
      <c r="O43" s="4171"/>
      <c r="P43" s="4171"/>
      <c r="Q43" s="4171"/>
      <c r="R43" s="4171"/>
      <c r="S43" s="4171"/>
      <c r="T43" s="4171"/>
      <c r="U43" s="4171"/>
      <c r="V43" s="4171"/>
      <c r="W43" s="4171"/>
      <c r="X43" s="4171"/>
      <c r="Y43" s="4171"/>
      <c r="Z43" s="4171"/>
      <c r="AA43" s="4171"/>
      <c r="AB43" s="4172"/>
      <c r="AC43" s="152"/>
      <c r="AG43" s="73"/>
      <c r="AH43" s="73"/>
      <c r="AI43" s="73"/>
      <c r="AJ43" s="73"/>
    </row>
    <row r="44" spans="1:36" ht="144.75" customHeight="1" x14ac:dyDescent="0.25">
      <c r="A44" s="151"/>
      <c r="B44" s="162"/>
      <c r="C44" s="162"/>
      <c r="D44" s="4209" t="str">
        <f>'FIP(PAP-01)'!E79</f>
        <v>Pengalaman Manajemen dibidang usahanya
Manajemen usaha telah beroperasi langsung dibawah key person sejak 5 tahun yang lalu</v>
      </c>
      <c r="E44" s="4210"/>
      <c r="F44" s="4210"/>
      <c r="G44" s="4210"/>
      <c r="H44" s="4210"/>
      <c r="I44" s="4210"/>
      <c r="J44" s="4210"/>
      <c r="K44" s="4210"/>
      <c r="L44" s="4210"/>
      <c r="M44" s="4210"/>
      <c r="N44" s="4210"/>
      <c r="O44" s="4211"/>
      <c r="P44" s="4190"/>
      <c r="Q44" s="4190"/>
      <c r="R44" s="4190"/>
      <c r="S44" s="4190"/>
      <c r="T44" s="4157">
        <f>'FIP(PAP-01)'!AD79</f>
        <v>3</v>
      </c>
      <c r="U44" s="4191"/>
      <c r="V44" s="4156">
        <v>5</v>
      </c>
      <c r="W44" s="4156"/>
      <c r="X44" s="4157">
        <f>IFERROR(((V44/T44)),"0")</f>
        <v>1.6666666666666667</v>
      </c>
      <c r="Y44" s="4157"/>
      <c r="Z44" s="4157"/>
      <c r="AA44" s="4157"/>
      <c r="AB44" s="4157"/>
      <c r="AC44" s="152"/>
      <c r="AG44" s="73"/>
      <c r="AH44" s="73"/>
      <c r="AI44" s="73"/>
      <c r="AJ44" s="73"/>
    </row>
    <row r="45" spans="1:36" ht="24.75" customHeight="1" x14ac:dyDescent="0.25">
      <c r="A45" s="151"/>
      <c r="B45" s="162">
        <v>3</v>
      </c>
      <c r="C45" s="4186" t="s">
        <v>890</v>
      </c>
      <c r="D45" s="4171"/>
      <c r="E45" s="4171"/>
      <c r="F45" s="4171"/>
      <c r="G45" s="4171"/>
      <c r="H45" s="4171"/>
      <c r="I45" s="4171"/>
      <c r="J45" s="4171"/>
      <c r="K45" s="4171"/>
      <c r="L45" s="4171"/>
      <c r="M45" s="4171"/>
      <c r="N45" s="4171"/>
      <c r="O45" s="4171"/>
      <c r="P45" s="4171"/>
      <c r="Q45" s="4171"/>
      <c r="R45" s="4171"/>
      <c r="S45" s="4171"/>
      <c r="T45" s="4171"/>
      <c r="U45" s="4171"/>
      <c r="V45" s="4171"/>
      <c r="W45" s="4171"/>
      <c r="X45" s="4171"/>
      <c r="Y45" s="4171"/>
      <c r="Z45" s="4171"/>
      <c r="AA45" s="4171"/>
      <c r="AB45" s="4172"/>
      <c r="AC45" s="152"/>
      <c r="AG45" s="73"/>
      <c r="AH45" s="73"/>
      <c r="AI45" s="73"/>
      <c r="AJ45" s="73"/>
    </row>
    <row r="46" spans="1:36" ht="144.75" customHeight="1" x14ac:dyDescent="0.25">
      <c r="A46" s="151"/>
      <c r="B46" s="162"/>
      <c r="C46" s="162"/>
      <c r="D46" s="4209" t="str">
        <f>'FIP(PAP-01)'!E80</f>
        <v>Luasnya Pengetahuan dan Ketrampilan Manajemen dalam
mengelola LKB.
Ybs telah memahami prinsip-prinsip perLKBan dengan baik.</v>
      </c>
      <c r="E46" s="4210"/>
      <c r="F46" s="4210"/>
      <c r="G46" s="4210"/>
      <c r="H46" s="4210"/>
      <c r="I46" s="4210"/>
      <c r="J46" s="4210"/>
      <c r="K46" s="4210"/>
      <c r="L46" s="4210"/>
      <c r="M46" s="4210"/>
      <c r="N46" s="4210"/>
      <c r="O46" s="4211"/>
      <c r="P46" s="4201"/>
      <c r="Q46" s="4202"/>
      <c r="R46" s="4202"/>
      <c r="S46" s="4203"/>
      <c r="T46" s="4157">
        <f>'FIP(PAP-01)'!AD80</f>
        <v>4</v>
      </c>
      <c r="U46" s="4157"/>
      <c r="V46" s="4156">
        <v>5</v>
      </c>
      <c r="W46" s="4156"/>
      <c r="X46" s="4157">
        <f>IFERROR(((V46/T46)),"0")</f>
        <v>1.25</v>
      </c>
      <c r="Y46" s="4157"/>
      <c r="Z46" s="4157"/>
      <c r="AA46" s="4157"/>
      <c r="AB46" s="4157"/>
      <c r="AC46" s="152"/>
      <c r="AG46" s="73"/>
      <c r="AH46" s="73"/>
      <c r="AI46" s="73"/>
      <c r="AJ46" s="73"/>
    </row>
    <row r="47" spans="1:36" ht="15.75" customHeight="1" x14ac:dyDescent="0.25">
      <c r="A47" s="151"/>
      <c r="B47" s="4158" t="s">
        <v>891</v>
      </c>
      <c r="C47" s="4159"/>
      <c r="D47" s="4159"/>
      <c r="E47" s="4159"/>
      <c r="F47" s="4159"/>
      <c r="G47" s="4159"/>
      <c r="H47" s="4159"/>
      <c r="I47" s="4159"/>
      <c r="J47" s="4159"/>
      <c r="K47" s="4159"/>
      <c r="L47" s="4159"/>
      <c r="M47" s="4159"/>
      <c r="N47" s="4159"/>
      <c r="O47" s="4160"/>
      <c r="P47" s="4161"/>
      <c r="Q47" s="4162"/>
      <c r="R47" s="4162"/>
      <c r="S47" s="4163"/>
      <c r="T47" s="4161"/>
      <c r="U47" s="4163"/>
      <c r="V47" s="4164"/>
      <c r="W47" s="4165"/>
      <c r="X47" s="4182">
        <f>IFERROR(((SUM(X42,X44,X46)/3)),"0")</f>
        <v>1.5277777777777779</v>
      </c>
      <c r="Y47" s="4183"/>
      <c r="Z47" s="4183"/>
      <c r="AA47" s="4183"/>
      <c r="AB47" s="4184"/>
      <c r="AC47" s="152"/>
      <c r="AG47" s="73"/>
      <c r="AH47" s="73"/>
      <c r="AI47" s="73"/>
      <c r="AJ47" s="73"/>
    </row>
    <row r="48" spans="1:36" s="80" customFormat="1" ht="15.75" customHeight="1" x14ac:dyDescent="0.25">
      <c r="A48" s="4185"/>
      <c r="B48" s="4185"/>
      <c r="C48" s="4185"/>
      <c r="D48" s="4185"/>
      <c r="E48" s="4185"/>
      <c r="F48" s="4185"/>
      <c r="G48" s="4185"/>
      <c r="H48" s="4185"/>
      <c r="I48" s="4185"/>
      <c r="J48" s="4185"/>
      <c r="K48" s="4185"/>
      <c r="L48" s="4185"/>
      <c r="M48" s="4185"/>
      <c r="N48" s="4185"/>
      <c r="O48" s="4185"/>
      <c r="P48" s="4185"/>
      <c r="Q48" s="4185"/>
      <c r="R48" s="4185"/>
      <c r="S48" s="4185"/>
      <c r="T48" s="4185"/>
      <c r="U48" s="4185"/>
      <c r="V48" s="4185"/>
      <c r="W48" s="4185"/>
      <c r="X48" s="4185"/>
      <c r="Y48" s="4185"/>
      <c r="Z48" s="4185"/>
      <c r="AA48" s="4185"/>
      <c r="AB48" s="4185"/>
      <c r="AC48" s="1566"/>
      <c r="AD48" s="74"/>
      <c r="AE48" s="74"/>
      <c r="AF48" s="2413"/>
      <c r="AG48" s="74"/>
      <c r="AH48" s="74"/>
      <c r="AI48" s="74"/>
      <c r="AJ48" s="74"/>
    </row>
    <row r="49" spans="1:36" s="79" customFormat="1" ht="39.75" customHeight="1" x14ac:dyDescent="0.25">
      <c r="A49" s="160"/>
      <c r="B49" s="4173"/>
      <c r="C49" s="4174"/>
      <c r="D49" s="4174"/>
      <c r="E49" s="4174"/>
      <c r="F49" s="4174"/>
      <c r="G49" s="4174"/>
      <c r="H49" s="4174"/>
      <c r="I49" s="4174"/>
      <c r="J49" s="4174"/>
      <c r="K49" s="4174"/>
      <c r="L49" s="4174"/>
      <c r="M49" s="4174"/>
      <c r="N49" s="4174"/>
      <c r="O49" s="4175"/>
      <c r="P49" s="4176" t="s">
        <v>876</v>
      </c>
      <c r="Q49" s="4177"/>
      <c r="R49" s="4177"/>
      <c r="S49" s="4178"/>
      <c r="T49" s="4176" t="s">
        <v>345</v>
      </c>
      <c r="U49" s="4178"/>
      <c r="V49" s="4176" t="s">
        <v>877</v>
      </c>
      <c r="W49" s="4178"/>
      <c r="X49" s="4176" t="s">
        <v>878</v>
      </c>
      <c r="Y49" s="4177"/>
      <c r="Z49" s="4177"/>
      <c r="AA49" s="4177"/>
      <c r="AB49" s="4178"/>
      <c r="AC49" s="161"/>
      <c r="AD49" s="78"/>
      <c r="AE49" s="78"/>
      <c r="AF49" s="2412"/>
      <c r="AG49" s="78"/>
      <c r="AH49" s="78"/>
      <c r="AI49" s="78"/>
      <c r="AJ49" s="78"/>
    </row>
    <row r="50" spans="1:36" ht="15.75" customHeight="1" x14ac:dyDescent="0.25">
      <c r="A50" s="151"/>
      <c r="B50" s="4179" t="s">
        <v>892</v>
      </c>
      <c r="C50" s="4180"/>
      <c r="D50" s="4180"/>
      <c r="E50" s="4180"/>
      <c r="F50" s="4180"/>
      <c r="G50" s="4180"/>
      <c r="H50" s="4180"/>
      <c r="I50" s="4180"/>
      <c r="J50" s="4180"/>
      <c r="K50" s="4180"/>
      <c r="L50" s="4180"/>
      <c r="M50" s="4180"/>
      <c r="N50" s="4180"/>
      <c r="O50" s="4180"/>
      <c r="P50" s="4180"/>
      <c r="Q50" s="4180"/>
      <c r="R50" s="4180"/>
      <c r="S50" s="4180"/>
      <c r="T50" s="4180"/>
      <c r="U50" s="4180"/>
      <c r="V50" s="4180"/>
      <c r="W50" s="4180"/>
      <c r="X50" s="4180"/>
      <c r="Y50" s="4180"/>
      <c r="Z50" s="4180"/>
      <c r="AA50" s="4180"/>
      <c r="AB50" s="4181"/>
      <c r="AC50" s="152"/>
      <c r="AG50" s="73"/>
      <c r="AH50" s="73"/>
      <c r="AI50" s="73"/>
      <c r="AJ50" s="73"/>
    </row>
    <row r="51" spans="1:36" ht="15.75" customHeight="1" x14ac:dyDescent="0.25">
      <c r="A51" s="151"/>
      <c r="B51" s="162">
        <v>1</v>
      </c>
      <c r="C51" s="4186" t="s">
        <v>125</v>
      </c>
      <c r="D51" s="4171"/>
      <c r="E51" s="4171"/>
      <c r="F51" s="4171"/>
      <c r="G51" s="4171"/>
      <c r="H51" s="4171"/>
      <c r="I51" s="4171"/>
      <c r="J51" s="4171"/>
      <c r="K51" s="4171"/>
      <c r="L51" s="4171"/>
      <c r="M51" s="4171"/>
      <c r="N51" s="4171"/>
      <c r="O51" s="4171"/>
      <c r="P51" s="4171"/>
      <c r="Q51" s="4171"/>
      <c r="R51" s="4171"/>
      <c r="S51" s="4171"/>
      <c r="T51" s="4171"/>
      <c r="U51" s="4171"/>
      <c r="V51" s="4171"/>
      <c r="W51" s="4171"/>
      <c r="X51" s="4171"/>
      <c r="Y51" s="4171"/>
      <c r="Z51" s="4171"/>
      <c r="AA51" s="4171"/>
      <c r="AB51" s="4172"/>
      <c r="AC51" s="152"/>
      <c r="AG51" s="73"/>
      <c r="AH51" s="73"/>
      <c r="AI51" s="73"/>
      <c r="AJ51" s="73"/>
    </row>
    <row r="52" spans="1:36" ht="282" customHeight="1" x14ac:dyDescent="0.25">
      <c r="A52" s="151"/>
      <c r="B52" s="162"/>
      <c r="C52" s="162"/>
      <c r="D52" s="4187" t="str">
        <f>'FKS(PAP-03)'!D282</f>
        <v>Perusahaan memiliki potensi daya serap, tingkat konsumsi dan daya beli yang cukup tinggi. Dimana target pasar baru mencakup area sekitar lokasi uasaha dengan kondisi permintaan yang cukup stabil. Dengan kondisi ini, permintaan diprediksi akan tumbuh sebesar 5%-10%. LKB ini  diperkirakan masuk dalam daftar 10 besar pemain utama dalam industri sejenis di Kabupaten Dompu. Namun, dengan realisasi penjualan yang berada pada kisaran 80%-90% dari target yang ditetapkan perusahaan. Skor rata-rata untuk tingkat permintaan mencapai 3,57 dan masuk katagori memenuhi syarat</v>
      </c>
      <c r="E52" s="4188"/>
      <c r="F52" s="4188"/>
      <c r="G52" s="4188"/>
      <c r="H52" s="4188"/>
      <c r="I52" s="4188"/>
      <c r="J52" s="4188"/>
      <c r="K52" s="4188"/>
      <c r="L52" s="4188"/>
      <c r="M52" s="4188"/>
      <c r="N52" s="4188"/>
      <c r="O52" s="4189"/>
      <c r="P52" s="4190"/>
      <c r="Q52" s="4190"/>
      <c r="R52" s="4190"/>
      <c r="S52" s="4190"/>
      <c r="T52" s="4157">
        <f>'FKS(PAP-03)'!T284:U284</f>
        <v>3.5714285714285716</v>
      </c>
      <c r="U52" s="4157"/>
      <c r="V52" s="4156">
        <v>5</v>
      </c>
      <c r="W52" s="4156"/>
      <c r="X52" s="4157">
        <f>IFERROR(((V52/T52)),"0")</f>
        <v>1.4</v>
      </c>
      <c r="Y52" s="4157"/>
      <c r="Z52" s="4157"/>
      <c r="AA52" s="4157"/>
      <c r="AB52" s="4157"/>
      <c r="AC52" s="152"/>
      <c r="AG52" s="73"/>
      <c r="AH52" s="73"/>
      <c r="AI52" s="73"/>
      <c r="AJ52" s="73"/>
    </row>
    <row r="53" spans="1:36" ht="15.75" customHeight="1" x14ac:dyDescent="0.25">
      <c r="A53" s="151"/>
      <c r="B53" s="162">
        <v>2</v>
      </c>
      <c r="C53" s="4186" t="s">
        <v>136</v>
      </c>
      <c r="D53" s="4171"/>
      <c r="E53" s="4171"/>
      <c r="F53" s="4171"/>
      <c r="G53" s="4171"/>
      <c r="H53" s="4171"/>
      <c r="I53" s="4171"/>
      <c r="J53" s="4171"/>
      <c r="K53" s="4171"/>
      <c r="L53" s="4171"/>
      <c r="M53" s="4171"/>
      <c r="N53" s="4171"/>
      <c r="O53" s="4171"/>
      <c r="P53" s="4171"/>
      <c r="Q53" s="4171"/>
      <c r="R53" s="4171"/>
      <c r="S53" s="4171"/>
      <c r="T53" s="4171"/>
      <c r="U53" s="4171"/>
      <c r="V53" s="4171"/>
      <c r="W53" s="4171"/>
      <c r="X53" s="4171"/>
      <c r="Y53" s="4171"/>
      <c r="Z53" s="4171"/>
      <c r="AA53" s="4171"/>
      <c r="AB53" s="4172"/>
      <c r="AC53" s="152"/>
      <c r="AG53" s="73"/>
      <c r="AH53" s="73"/>
      <c r="AI53" s="73"/>
      <c r="AJ53" s="73"/>
    </row>
    <row r="54" spans="1:36" ht="282" customHeight="1" x14ac:dyDescent="0.25">
      <c r="A54" s="151"/>
      <c r="B54" s="162"/>
      <c r="C54" s="162"/>
      <c r="D54" s="4204" t="str">
        <f>'FKS(PAP-03)'!D316</f>
        <v>Kualitas produk yang ditawarkan terbilang sudah baik, ditambah lagi dengan harga yang telah sesuai dengan rata-rata harga pasar. Dengan varian produk di bawah 10 jenis produk dan jaringan distribusi mencapai 4 cabang/outlet, hal ini turut membentuk brand image perusahaan menjadi cukup kuat. Dari sisi penjualan, syarat yang dibebankan kepada konsumen juga cukup mudah, melayani pembayaran cash maupun kredit tanpa uang muka maupun jaminan. Jumlah skor rata-rata kualitas produk atau jasa adalah 3,00</v>
      </c>
      <c r="E54" s="4205"/>
      <c r="F54" s="4205"/>
      <c r="G54" s="4205"/>
      <c r="H54" s="4205"/>
      <c r="I54" s="4205"/>
      <c r="J54" s="4205"/>
      <c r="K54" s="4205"/>
      <c r="L54" s="4205"/>
      <c r="M54" s="4205"/>
      <c r="N54" s="4205"/>
      <c r="O54" s="4206"/>
      <c r="P54" s="4190"/>
      <c r="Q54" s="4190"/>
      <c r="R54" s="4190"/>
      <c r="S54" s="4190"/>
      <c r="T54" s="4207">
        <f>'FKS(PAP-03)'!T318:U318</f>
        <v>3</v>
      </c>
      <c r="U54" s="4208"/>
      <c r="V54" s="4156">
        <v>5</v>
      </c>
      <c r="W54" s="4156"/>
      <c r="X54" s="4207">
        <f>IFERROR(((V54/T54)),"0")</f>
        <v>1.6666666666666667</v>
      </c>
      <c r="Y54" s="4207"/>
      <c r="Z54" s="4207"/>
      <c r="AA54" s="4207"/>
      <c r="AB54" s="4207"/>
      <c r="AC54" s="152"/>
      <c r="AG54" s="73"/>
      <c r="AH54" s="73"/>
      <c r="AI54" s="73"/>
      <c r="AJ54" s="73"/>
    </row>
    <row r="55" spans="1:36" ht="24.75" customHeight="1" x14ac:dyDescent="0.25">
      <c r="A55" s="151"/>
      <c r="B55" s="162">
        <v>3</v>
      </c>
      <c r="C55" s="4186" t="s">
        <v>893</v>
      </c>
      <c r="D55" s="4171"/>
      <c r="E55" s="4171"/>
      <c r="F55" s="4171"/>
      <c r="G55" s="4171"/>
      <c r="H55" s="4171"/>
      <c r="I55" s="4171"/>
      <c r="J55" s="4171"/>
      <c r="K55" s="4171"/>
      <c r="L55" s="4171"/>
      <c r="M55" s="4171"/>
      <c r="N55" s="4171"/>
      <c r="O55" s="4171"/>
      <c r="P55" s="4171"/>
      <c r="Q55" s="4171"/>
      <c r="R55" s="4171"/>
      <c r="S55" s="4171"/>
      <c r="T55" s="4171"/>
      <c r="U55" s="4171"/>
      <c r="V55" s="4171"/>
      <c r="W55" s="4171"/>
      <c r="X55" s="4171"/>
      <c r="Y55" s="4171"/>
      <c r="Z55" s="4171"/>
      <c r="AA55" s="4171"/>
      <c r="AB55" s="4172"/>
      <c r="AC55" s="152"/>
      <c r="AG55" s="73"/>
      <c r="AH55" s="73"/>
      <c r="AI55" s="73"/>
      <c r="AJ55" s="73"/>
    </row>
    <row r="56" spans="1:36" ht="282" customHeight="1" x14ac:dyDescent="0.25">
      <c r="A56" s="151"/>
      <c r="B56" s="162"/>
      <c r="C56" s="162"/>
      <c r="D56" s="4198" t="str">
        <f>'FKS(PAP-03)'!D334</f>
        <v>Berdasarkan verifikasi di lapangan, terdapat kurang lebih  60% Nasabah taat membayar Tabungan wajib penjualan dan Kualitas Hubungan dengan Penyimpan/Deposan Terbesar cukup baik, sehingga deposan terus menambah saldo tabungannya, sehingga diperoleh skor 3.50</v>
      </c>
      <c r="E56" s="4199"/>
      <c r="F56" s="4199"/>
      <c r="G56" s="4199"/>
      <c r="H56" s="4199"/>
      <c r="I56" s="4199"/>
      <c r="J56" s="4199"/>
      <c r="K56" s="4199"/>
      <c r="L56" s="4199"/>
      <c r="M56" s="4199"/>
      <c r="N56" s="4199"/>
      <c r="O56" s="4200"/>
      <c r="P56" s="4201"/>
      <c r="Q56" s="4202"/>
      <c r="R56" s="4202"/>
      <c r="S56" s="4203"/>
      <c r="T56" s="4157">
        <f>'FKS(PAP-03)'!T336:U336</f>
        <v>3.5</v>
      </c>
      <c r="U56" s="4157"/>
      <c r="V56" s="4156">
        <v>5</v>
      </c>
      <c r="W56" s="4156"/>
      <c r="X56" s="4157">
        <f>IFERROR((V56/T56),0)</f>
        <v>1.4285714285714286</v>
      </c>
      <c r="Y56" s="4157"/>
      <c r="Z56" s="4157"/>
      <c r="AA56" s="4157"/>
      <c r="AB56" s="4157"/>
      <c r="AC56" s="152"/>
      <c r="AG56" s="73"/>
      <c r="AH56" s="73"/>
      <c r="AI56" s="73"/>
      <c r="AJ56" s="73"/>
    </row>
    <row r="57" spans="1:36" ht="15.75" customHeight="1" x14ac:dyDescent="0.25">
      <c r="A57" s="151"/>
      <c r="B57" s="162">
        <v>4</v>
      </c>
      <c r="C57" s="4186" t="s">
        <v>137</v>
      </c>
      <c r="D57" s="4171"/>
      <c r="E57" s="4171"/>
      <c r="F57" s="4171"/>
      <c r="G57" s="4171"/>
      <c r="H57" s="4171"/>
      <c r="I57" s="4171"/>
      <c r="J57" s="4171"/>
      <c r="K57" s="4171"/>
      <c r="L57" s="4171"/>
      <c r="M57" s="4171"/>
      <c r="N57" s="4171"/>
      <c r="O57" s="4171"/>
      <c r="P57" s="4171"/>
      <c r="Q57" s="4171"/>
      <c r="R57" s="4171"/>
      <c r="S57" s="4171"/>
      <c r="T57" s="4171"/>
      <c r="U57" s="4171"/>
      <c r="V57" s="4171"/>
      <c r="W57" s="4171"/>
      <c r="X57" s="4171"/>
      <c r="Y57" s="4171"/>
      <c r="Z57" s="4171"/>
      <c r="AA57" s="4171"/>
      <c r="AB57" s="4172"/>
      <c r="AC57" s="152"/>
      <c r="AG57" s="73"/>
      <c r="AH57" s="73"/>
      <c r="AI57" s="73"/>
      <c r="AJ57" s="73"/>
    </row>
    <row r="58" spans="1:36" ht="282" customHeight="1" x14ac:dyDescent="0.25">
      <c r="A58" s="151"/>
      <c r="B58" s="162"/>
      <c r="C58" s="162"/>
      <c r="D58" s="4195" t="str">
        <f>'FKS(PAP-03)'!D364</f>
        <v>Terkait dengan tingkat persaingan, dalam industri sejenis diketahui beberapa pemain besar menguasai sekitar 15-20% pasar. Namun perusahaan terlihat mampu bersaing karena biaya yang ditawarkan cukup kompetitif, ditambah dengan kualitas produk yang terbilang baik. Perusahaan juga terlihat mampu bersaing mengingat rendahnya faktor penghalang untuk keluar/masuknya produk ke dalam pasar. Strategi untuk menghadapi persaingan sudah begitu jelas dan rasional sesuai dengan kondisi internal. Perusahaan juga memiliki 2 (dua) aktivitas usaha lain yang saling terkait, 'Persaingan Produk Tabungan dan Pinjaman dengan lembaga keuangan sejenis cukup mampu bersaing</v>
      </c>
      <c r="E58" s="4196"/>
      <c r="F58" s="4196"/>
      <c r="G58" s="4196"/>
      <c r="H58" s="4196"/>
      <c r="I58" s="4196"/>
      <c r="J58" s="4196"/>
      <c r="K58" s="4196"/>
      <c r="L58" s="4196"/>
      <c r="M58" s="4196"/>
      <c r="N58" s="4196"/>
      <c r="O58" s="4197"/>
      <c r="P58" s="4190"/>
      <c r="Q58" s="4190"/>
      <c r="R58" s="4190"/>
      <c r="S58" s="4190"/>
      <c r="T58" s="4157">
        <f>'FKS(PAP-03)'!T366:U366</f>
        <v>3.5</v>
      </c>
      <c r="U58" s="4191"/>
      <c r="V58" s="4156">
        <v>5</v>
      </c>
      <c r="W58" s="4156"/>
      <c r="X58" s="4157">
        <f>IFERROR(((V58/T58)),"0")</f>
        <v>1.4285714285714286</v>
      </c>
      <c r="Y58" s="4157"/>
      <c r="Z58" s="4157"/>
      <c r="AA58" s="4157"/>
      <c r="AB58" s="4157"/>
      <c r="AC58" s="152"/>
      <c r="AG58" s="73"/>
      <c r="AH58" s="73"/>
      <c r="AI58" s="73"/>
      <c r="AJ58" s="73"/>
    </row>
    <row r="59" spans="1:36" ht="15.75" customHeight="1" x14ac:dyDescent="0.25">
      <c r="A59" s="151"/>
      <c r="B59" s="4158" t="s">
        <v>894</v>
      </c>
      <c r="C59" s="4159"/>
      <c r="D59" s="4159"/>
      <c r="E59" s="4159"/>
      <c r="F59" s="4159"/>
      <c r="G59" s="4159"/>
      <c r="H59" s="4159"/>
      <c r="I59" s="4159"/>
      <c r="J59" s="4159"/>
      <c r="K59" s="4159"/>
      <c r="L59" s="4159"/>
      <c r="M59" s="4159"/>
      <c r="N59" s="4159"/>
      <c r="O59" s="4160"/>
      <c r="P59" s="4161"/>
      <c r="Q59" s="4162"/>
      <c r="R59" s="4162"/>
      <c r="S59" s="4163"/>
      <c r="T59" s="4161"/>
      <c r="U59" s="4163"/>
      <c r="V59" s="4164"/>
      <c r="W59" s="4165"/>
      <c r="X59" s="4192">
        <f>IFERROR(((SUM(X52,X54,X56,X58)/4)),"0")</f>
        <v>1.480952380952381</v>
      </c>
      <c r="Y59" s="4193"/>
      <c r="Z59" s="4193"/>
      <c r="AA59" s="4193"/>
      <c r="AB59" s="4194"/>
      <c r="AC59" s="152"/>
      <c r="AG59" s="73"/>
      <c r="AH59" s="73"/>
      <c r="AI59" s="73"/>
      <c r="AJ59" s="73"/>
    </row>
    <row r="60" spans="1:36" s="80" customFormat="1" ht="15.75" customHeight="1" x14ac:dyDescent="0.25">
      <c r="A60" s="4185"/>
      <c r="B60" s="4185"/>
      <c r="C60" s="4185"/>
      <c r="D60" s="4185"/>
      <c r="E60" s="4185"/>
      <c r="F60" s="4185"/>
      <c r="G60" s="4185"/>
      <c r="H60" s="4185"/>
      <c r="I60" s="4185"/>
      <c r="J60" s="4185"/>
      <c r="K60" s="4185"/>
      <c r="L60" s="4185"/>
      <c r="M60" s="4185"/>
      <c r="N60" s="4185"/>
      <c r="O60" s="4185"/>
      <c r="P60" s="4185"/>
      <c r="Q60" s="4185"/>
      <c r="R60" s="4185"/>
      <c r="S60" s="4185"/>
      <c r="T60" s="4185"/>
      <c r="U60" s="4185"/>
      <c r="V60" s="4185"/>
      <c r="W60" s="4185"/>
      <c r="X60" s="4185"/>
      <c r="Y60" s="4185"/>
      <c r="Z60" s="4185"/>
      <c r="AA60" s="4185"/>
      <c r="AB60" s="4185"/>
      <c r="AC60" s="1566"/>
      <c r="AD60" s="74"/>
      <c r="AE60" s="74"/>
      <c r="AF60" s="2413"/>
      <c r="AG60" s="74"/>
      <c r="AH60" s="74"/>
      <c r="AI60" s="74"/>
      <c r="AJ60" s="74"/>
    </row>
    <row r="61" spans="1:36" s="79" customFormat="1" ht="33.75" customHeight="1" x14ac:dyDescent="0.25">
      <c r="A61" s="160"/>
      <c r="B61" s="4173"/>
      <c r="C61" s="4174"/>
      <c r="D61" s="4174"/>
      <c r="E61" s="4174"/>
      <c r="F61" s="4174"/>
      <c r="G61" s="4174"/>
      <c r="H61" s="4174"/>
      <c r="I61" s="4174"/>
      <c r="J61" s="4174"/>
      <c r="K61" s="4174"/>
      <c r="L61" s="4174"/>
      <c r="M61" s="4174"/>
      <c r="N61" s="4174"/>
      <c r="O61" s="4175"/>
      <c r="P61" s="4176" t="s">
        <v>876</v>
      </c>
      <c r="Q61" s="4177"/>
      <c r="R61" s="4177"/>
      <c r="S61" s="4178"/>
      <c r="T61" s="4176" t="s">
        <v>345</v>
      </c>
      <c r="U61" s="4178"/>
      <c r="V61" s="4176" t="s">
        <v>877</v>
      </c>
      <c r="W61" s="4178"/>
      <c r="X61" s="4176" t="s">
        <v>878</v>
      </c>
      <c r="Y61" s="4177"/>
      <c r="Z61" s="4177"/>
      <c r="AA61" s="4177"/>
      <c r="AB61" s="4178"/>
      <c r="AC61" s="161"/>
      <c r="AD61" s="78"/>
      <c r="AE61" s="78"/>
      <c r="AF61" s="2412"/>
      <c r="AG61" s="78"/>
      <c r="AH61" s="78"/>
      <c r="AI61" s="78"/>
      <c r="AJ61" s="78"/>
    </row>
    <row r="62" spans="1:36" ht="15.75" customHeight="1" x14ac:dyDescent="0.25">
      <c r="A62" s="151"/>
      <c r="B62" s="4179" t="s">
        <v>895</v>
      </c>
      <c r="C62" s="4180"/>
      <c r="D62" s="4180"/>
      <c r="E62" s="4180"/>
      <c r="F62" s="4180"/>
      <c r="G62" s="4180"/>
      <c r="H62" s="4180"/>
      <c r="I62" s="4180"/>
      <c r="J62" s="4180"/>
      <c r="K62" s="4180"/>
      <c r="L62" s="4180"/>
      <c r="M62" s="4180"/>
      <c r="N62" s="4180"/>
      <c r="O62" s="4180"/>
      <c r="P62" s="4180"/>
      <c r="Q62" s="4180"/>
      <c r="R62" s="4180"/>
      <c r="S62" s="4180"/>
      <c r="T62" s="4180"/>
      <c r="U62" s="4180"/>
      <c r="V62" s="4180"/>
      <c r="W62" s="4180"/>
      <c r="X62" s="4180"/>
      <c r="Y62" s="4180"/>
      <c r="Z62" s="4180"/>
      <c r="AA62" s="4180"/>
      <c r="AB62" s="4181"/>
      <c r="AC62" s="152"/>
      <c r="AG62" s="73"/>
      <c r="AH62" s="73"/>
      <c r="AI62" s="73"/>
      <c r="AJ62" s="73"/>
    </row>
    <row r="63" spans="1:36" ht="15.75" customHeight="1" x14ac:dyDescent="0.25">
      <c r="A63" s="151"/>
      <c r="B63" s="162">
        <v>1</v>
      </c>
      <c r="C63" s="4186" t="s">
        <v>138</v>
      </c>
      <c r="D63" s="4171"/>
      <c r="E63" s="4171"/>
      <c r="F63" s="4171"/>
      <c r="G63" s="4171"/>
      <c r="H63" s="4171"/>
      <c r="I63" s="4171"/>
      <c r="J63" s="4171"/>
      <c r="K63" s="4171"/>
      <c r="L63" s="4171"/>
      <c r="M63" s="4171"/>
      <c r="N63" s="4171"/>
      <c r="O63" s="4171"/>
      <c r="P63" s="4171"/>
      <c r="Q63" s="4171"/>
      <c r="R63" s="4171"/>
      <c r="S63" s="4171"/>
      <c r="T63" s="4171"/>
      <c r="U63" s="4171"/>
      <c r="V63" s="4171"/>
      <c r="W63" s="4171"/>
      <c r="X63" s="4171"/>
      <c r="Y63" s="4171"/>
      <c r="Z63" s="4171"/>
      <c r="AA63" s="4171"/>
      <c r="AB63" s="4172"/>
      <c r="AC63" s="152"/>
      <c r="AG63" s="73"/>
      <c r="AH63" s="73"/>
      <c r="AI63" s="73"/>
      <c r="AJ63" s="73"/>
    </row>
    <row r="64" spans="1:36" ht="219" customHeight="1" x14ac:dyDescent="0.25">
      <c r="A64" s="151"/>
      <c r="B64" s="162"/>
      <c r="C64" s="162"/>
      <c r="D64" s="4187" t="str">
        <f>'FKS(PAP-03)'!D380</f>
        <v>Berdasarkan hasil veriikasi diketahui bahwa lokasi usaha bertetap di area kawasan industri, tepatnya di  Jl. Rungkut Kidul Industri Surabaya, dimana disekelilingnya terdapat beberapa usaha sejenis (leasing &amp; BPR). Kondisi tempat usaha dapat dikatakan sangat layak, dengan kondisi terawat, Perijinan lokasi perusahaan telah memenuhi syarat sebagai mana diatur dalam ketentuan pemerintah. Mengenai status kepemilikan lokasi usaha,telah menjadi milik perusahaan. Kondisi lokasi usaha dengan skor rata-rata 4.25</v>
      </c>
      <c r="E64" s="4188"/>
      <c r="F64" s="4188"/>
      <c r="G64" s="4188"/>
      <c r="H64" s="4188"/>
      <c r="I64" s="4188"/>
      <c r="J64" s="4188"/>
      <c r="K64" s="4188"/>
      <c r="L64" s="4188"/>
      <c r="M64" s="4188"/>
      <c r="N64" s="4188"/>
      <c r="O64" s="4189"/>
      <c r="P64" s="4190"/>
      <c r="Q64" s="4190"/>
      <c r="R64" s="4190"/>
      <c r="S64" s="4190"/>
      <c r="T64" s="4157">
        <f>'FKS(PAP-03)'!T382:U382</f>
        <v>4.25</v>
      </c>
      <c r="U64" s="4191"/>
      <c r="V64" s="4156">
        <v>5</v>
      </c>
      <c r="W64" s="4156"/>
      <c r="X64" s="4157">
        <f>IFERROR(((V64/T64)),"0")</f>
        <v>1.1764705882352942</v>
      </c>
      <c r="Y64" s="4157"/>
      <c r="Z64" s="4157"/>
      <c r="AA64" s="4157"/>
      <c r="AB64" s="4157"/>
      <c r="AC64" s="152"/>
      <c r="AG64" s="73"/>
      <c r="AH64" s="73"/>
      <c r="AI64" s="73"/>
      <c r="AJ64" s="73"/>
    </row>
    <row r="65" spans="1:36" ht="15.75" customHeight="1" x14ac:dyDescent="0.25">
      <c r="A65" s="151"/>
      <c r="B65" s="162">
        <v>2</v>
      </c>
      <c r="C65" s="4186" t="s">
        <v>144</v>
      </c>
      <c r="D65" s="4171"/>
      <c r="E65" s="4171"/>
      <c r="F65" s="4171"/>
      <c r="G65" s="4171"/>
      <c r="H65" s="4171"/>
      <c r="I65" s="4171"/>
      <c r="J65" s="4171"/>
      <c r="K65" s="4171"/>
      <c r="L65" s="4171"/>
      <c r="M65" s="4171"/>
      <c r="N65" s="4171"/>
      <c r="O65" s="4171"/>
      <c r="P65" s="4171"/>
      <c r="Q65" s="4171"/>
      <c r="R65" s="4171"/>
      <c r="S65" s="4171"/>
      <c r="T65" s="4171"/>
      <c r="U65" s="4171"/>
      <c r="V65" s="4171"/>
      <c r="W65" s="4171"/>
      <c r="X65" s="4171"/>
      <c r="Y65" s="4171"/>
      <c r="Z65" s="4171"/>
      <c r="AA65" s="4171"/>
      <c r="AB65" s="4172"/>
      <c r="AC65" s="152"/>
      <c r="AG65" s="73"/>
      <c r="AH65" s="73"/>
      <c r="AI65" s="73"/>
      <c r="AJ65" s="73"/>
    </row>
    <row r="66" spans="1:36" ht="219" customHeight="1" x14ac:dyDescent="0.25">
      <c r="A66" s="151"/>
      <c r="B66" s="162"/>
      <c r="C66" s="162"/>
      <c r="D66" s="4187" t="str">
        <f>'FKS(PAP-03)'!D428</f>
        <v>Terkait dengan kondisi sarana/peralatan diketahui bahwa dibandingkan dengan perusahaan sejenis jumlahnya telah diatas rata-rata, dengan kapasitas pemakaian mencapai 80%.  Sarana yang digunakan juga terbilang modern. 'Semua pegawai menggunakan PC sebagai penunjang pekerjaan di perusahaan.'Kondisi Brankas dalam keadaan baik dan sudah memenuhi stadar serta memiliki tingkat keamaan yang sangat baik, 'salah satu keunggulan yang dimiliki oleh perusaahaan adalah Layanan jemput bola ke nasabah/debitur/Nasabah, sehingga membuat nasabah merasa sangat di bantu dan mudah dalam proses transaksi keuangannya. Skor rata-rata kondisi peralatan adalah 3,83</v>
      </c>
      <c r="E66" s="4188"/>
      <c r="F66" s="4188"/>
      <c r="G66" s="4188"/>
      <c r="H66" s="4188"/>
      <c r="I66" s="4188"/>
      <c r="J66" s="4188"/>
      <c r="K66" s="4188"/>
      <c r="L66" s="4188"/>
      <c r="M66" s="4188"/>
      <c r="N66" s="4188"/>
      <c r="O66" s="4189"/>
      <c r="P66" s="4190"/>
      <c r="Q66" s="4190"/>
      <c r="R66" s="4190"/>
      <c r="S66" s="4190"/>
      <c r="T66" s="4157">
        <f>'FKS(PAP-03)'!T430:U430</f>
        <v>3.8333333333333335</v>
      </c>
      <c r="U66" s="4191"/>
      <c r="V66" s="4156">
        <v>5</v>
      </c>
      <c r="W66" s="4156"/>
      <c r="X66" s="4157">
        <f>IFERROR(((V66/T66)),"0")</f>
        <v>1.3043478260869565</v>
      </c>
      <c r="Y66" s="4157"/>
      <c r="Z66" s="4157"/>
      <c r="AA66" s="4157"/>
      <c r="AB66" s="4157"/>
      <c r="AC66" s="152"/>
      <c r="AG66" s="73"/>
      <c r="AH66" s="73"/>
      <c r="AI66" s="73"/>
      <c r="AJ66" s="73"/>
    </row>
    <row r="67" spans="1:36" ht="32.25" customHeight="1" x14ac:dyDescent="0.25">
      <c r="A67" s="151"/>
      <c r="B67" s="4158" t="s">
        <v>896</v>
      </c>
      <c r="C67" s="4159"/>
      <c r="D67" s="4159"/>
      <c r="E67" s="4159"/>
      <c r="F67" s="4159"/>
      <c r="G67" s="4159"/>
      <c r="H67" s="4159"/>
      <c r="I67" s="4159"/>
      <c r="J67" s="4159"/>
      <c r="K67" s="4159"/>
      <c r="L67" s="4159"/>
      <c r="M67" s="4159"/>
      <c r="N67" s="4159"/>
      <c r="O67" s="4160"/>
      <c r="P67" s="4161"/>
      <c r="Q67" s="4162"/>
      <c r="R67" s="4162"/>
      <c r="S67" s="4163"/>
      <c r="T67" s="4161"/>
      <c r="U67" s="4163"/>
      <c r="V67" s="4164"/>
      <c r="W67" s="4165"/>
      <c r="X67" s="4182">
        <f>IFERROR(((SUM(X64,X66)/2)),"0")</f>
        <v>1.2404092071611252</v>
      </c>
      <c r="Y67" s="4183"/>
      <c r="Z67" s="4183"/>
      <c r="AA67" s="4183"/>
      <c r="AB67" s="4184"/>
      <c r="AC67" s="152"/>
      <c r="AG67" s="73"/>
      <c r="AH67" s="73"/>
      <c r="AI67" s="73"/>
      <c r="AJ67" s="73"/>
    </row>
    <row r="68" spans="1:36" s="80" customFormat="1" ht="15.75" customHeight="1" x14ac:dyDescent="0.25">
      <c r="A68" s="4185"/>
      <c r="B68" s="4185"/>
      <c r="C68" s="4185"/>
      <c r="D68" s="4185"/>
      <c r="E68" s="4185"/>
      <c r="F68" s="4185"/>
      <c r="G68" s="4185"/>
      <c r="H68" s="4185"/>
      <c r="I68" s="4185"/>
      <c r="J68" s="4185"/>
      <c r="K68" s="4185"/>
      <c r="L68" s="4185"/>
      <c r="M68" s="4185"/>
      <c r="N68" s="4185"/>
      <c r="O68" s="4185"/>
      <c r="P68" s="4185"/>
      <c r="Q68" s="4185"/>
      <c r="R68" s="4185"/>
      <c r="S68" s="4185"/>
      <c r="T68" s="4185"/>
      <c r="U68" s="4185"/>
      <c r="V68" s="4185"/>
      <c r="W68" s="4185"/>
      <c r="X68" s="4185"/>
      <c r="Y68" s="4185"/>
      <c r="Z68" s="4185"/>
      <c r="AA68" s="4185"/>
      <c r="AB68" s="4185"/>
      <c r="AC68" s="1566"/>
      <c r="AD68" s="74"/>
      <c r="AE68" s="74"/>
      <c r="AF68" s="2413"/>
      <c r="AG68" s="74"/>
      <c r="AH68" s="74"/>
      <c r="AI68" s="74"/>
      <c r="AJ68" s="74"/>
    </row>
    <row r="69" spans="1:36" s="79" customFormat="1" ht="33.75" customHeight="1" x14ac:dyDescent="0.25">
      <c r="A69" s="160"/>
      <c r="B69" s="4173"/>
      <c r="C69" s="4174"/>
      <c r="D69" s="4174"/>
      <c r="E69" s="4174"/>
      <c r="F69" s="4174"/>
      <c r="G69" s="4174"/>
      <c r="H69" s="4174"/>
      <c r="I69" s="4174"/>
      <c r="J69" s="4174"/>
      <c r="K69" s="4174"/>
      <c r="L69" s="4174"/>
      <c r="M69" s="4174"/>
      <c r="N69" s="4174"/>
      <c r="O69" s="4175"/>
      <c r="P69" s="4176" t="s">
        <v>876</v>
      </c>
      <c r="Q69" s="4177"/>
      <c r="R69" s="4177"/>
      <c r="S69" s="4178"/>
      <c r="T69" s="4176" t="s">
        <v>345</v>
      </c>
      <c r="U69" s="4178"/>
      <c r="V69" s="4176" t="s">
        <v>877</v>
      </c>
      <c r="W69" s="4178"/>
      <c r="X69" s="4176" t="s">
        <v>878</v>
      </c>
      <c r="Y69" s="4177"/>
      <c r="Z69" s="4177"/>
      <c r="AA69" s="4177"/>
      <c r="AB69" s="4178"/>
      <c r="AC69" s="161"/>
      <c r="AD69" s="78"/>
      <c r="AE69" s="78"/>
      <c r="AF69" s="2412"/>
      <c r="AG69" s="78"/>
      <c r="AH69" s="78"/>
      <c r="AI69" s="78"/>
      <c r="AJ69" s="78"/>
    </row>
    <row r="70" spans="1:36" ht="15.75" customHeight="1" x14ac:dyDescent="0.25">
      <c r="A70" s="151"/>
      <c r="B70" s="4179" t="s">
        <v>897</v>
      </c>
      <c r="C70" s="4180"/>
      <c r="D70" s="4180"/>
      <c r="E70" s="4180"/>
      <c r="F70" s="4180"/>
      <c r="G70" s="4180"/>
      <c r="H70" s="4180"/>
      <c r="I70" s="4180"/>
      <c r="J70" s="4180"/>
      <c r="K70" s="4180"/>
      <c r="L70" s="4180"/>
      <c r="M70" s="4180"/>
      <c r="N70" s="4180"/>
      <c r="O70" s="4180"/>
      <c r="P70" s="4180"/>
      <c r="Q70" s="4180"/>
      <c r="R70" s="4180"/>
      <c r="S70" s="4180"/>
      <c r="T70" s="4180"/>
      <c r="U70" s="4180"/>
      <c r="V70" s="4180"/>
      <c r="W70" s="4180"/>
      <c r="X70" s="4180"/>
      <c r="Y70" s="4180"/>
      <c r="Z70" s="4180"/>
      <c r="AA70" s="4180"/>
      <c r="AB70" s="4181"/>
      <c r="AC70" s="152"/>
      <c r="AG70" s="73"/>
      <c r="AH70" s="73"/>
      <c r="AI70" s="73"/>
      <c r="AJ70" s="73"/>
    </row>
    <row r="71" spans="1:36" ht="15.75" customHeight="1" x14ac:dyDescent="0.25">
      <c r="A71" s="151"/>
      <c r="B71" s="162"/>
      <c r="C71" s="4170" t="s">
        <v>193</v>
      </c>
      <c r="D71" s="4171"/>
      <c r="E71" s="4171"/>
      <c r="F71" s="4171"/>
      <c r="G71" s="4171"/>
      <c r="H71" s="4171"/>
      <c r="I71" s="4171"/>
      <c r="J71" s="4171"/>
      <c r="K71" s="4171"/>
      <c r="L71" s="4171"/>
      <c r="M71" s="4171"/>
      <c r="N71" s="4171"/>
      <c r="O71" s="4171"/>
      <c r="P71" s="4171"/>
      <c r="Q71" s="4171"/>
      <c r="R71" s="4171"/>
      <c r="S71" s="4171"/>
      <c r="T71" s="4171"/>
      <c r="U71" s="4171"/>
      <c r="V71" s="4171"/>
      <c r="W71" s="4171"/>
      <c r="X71" s="4171"/>
      <c r="Y71" s="4171"/>
      <c r="Z71" s="4171"/>
      <c r="AA71" s="4171"/>
      <c r="AB71" s="4172"/>
      <c r="AC71" s="152"/>
      <c r="AG71" s="73"/>
      <c r="AH71" s="73"/>
      <c r="AI71" s="73"/>
      <c r="AJ71" s="73"/>
    </row>
    <row r="72" spans="1:36" ht="15.75" customHeight="1" x14ac:dyDescent="0.25">
      <c r="A72" s="151"/>
      <c r="B72" s="162"/>
      <c r="C72" s="162">
        <v>1</v>
      </c>
      <c r="D72" s="4129" t="str">
        <f>'FKS(PAP-03)'!C170</f>
        <v>KPMM (Kewajiban Penyertaan Modal Minimum) / CAR</v>
      </c>
      <c r="E72" s="4130"/>
      <c r="F72" s="4130"/>
      <c r="G72" s="4130"/>
      <c r="H72" s="4130"/>
      <c r="I72" s="4130"/>
      <c r="J72" s="4130"/>
      <c r="K72" s="4130"/>
      <c r="L72" s="4130"/>
      <c r="M72" s="4130"/>
      <c r="N72" s="4130"/>
      <c r="O72" s="4130"/>
      <c r="P72" s="4154">
        <f>'FKS(PAP-03)'!H170</f>
        <v>0.5835159746465115</v>
      </c>
      <c r="Q72" s="4154"/>
      <c r="R72" s="4154"/>
      <c r="S72" s="4154"/>
      <c r="T72" s="4155">
        <f>'FKS(PAP-03)'!AB170</f>
        <v>5</v>
      </c>
      <c r="U72" s="4155"/>
      <c r="V72" s="4156">
        <v>5</v>
      </c>
      <c r="W72" s="4156"/>
      <c r="X72" s="4157">
        <f>IFERROR(V72/T72,0)</f>
        <v>1</v>
      </c>
      <c r="Y72" s="4157"/>
      <c r="Z72" s="4157"/>
      <c r="AA72" s="4157"/>
      <c r="AB72" s="4157"/>
      <c r="AC72" s="152"/>
      <c r="AG72" s="73"/>
      <c r="AH72" s="73"/>
      <c r="AI72" s="73"/>
      <c r="AJ72" s="73"/>
    </row>
    <row r="73" spans="1:36" ht="15.75" customHeight="1" x14ac:dyDescent="0.25">
      <c r="A73" s="151"/>
      <c r="B73" s="162"/>
      <c r="C73" s="162">
        <v>2</v>
      </c>
      <c r="D73" s="4129" t="str">
        <f>'FKS(PAP-03)'!C171</f>
        <v>Rasio Pinjaman Bermasalah (RPM) / NPL</v>
      </c>
      <c r="E73" s="4130"/>
      <c r="F73" s="4130"/>
      <c r="G73" s="4130"/>
      <c r="H73" s="4130"/>
      <c r="I73" s="4130"/>
      <c r="J73" s="4130"/>
      <c r="K73" s="4130"/>
      <c r="L73" s="4130"/>
      <c r="M73" s="4130"/>
      <c r="N73" s="4130"/>
      <c r="O73" s="4130"/>
      <c r="P73" s="4154">
        <f>'FKS(PAP-03)'!H171</f>
        <v>4.3786250970971143E-2</v>
      </c>
      <c r="Q73" s="4154"/>
      <c r="R73" s="4154"/>
      <c r="S73" s="4154"/>
      <c r="T73" s="4155">
        <f>'FKS(PAP-03)'!AB171</f>
        <v>4</v>
      </c>
      <c r="U73" s="4155"/>
      <c r="V73" s="4156">
        <v>5</v>
      </c>
      <c r="W73" s="4156"/>
      <c r="X73" s="4157">
        <f t="shared" ref="X73:X81" si="0">IFERROR((V73/T73),"0")</f>
        <v>1.25</v>
      </c>
      <c r="Y73" s="4157"/>
      <c r="Z73" s="4157"/>
      <c r="AA73" s="4157"/>
      <c r="AB73" s="4157"/>
      <c r="AC73" s="152"/>
      <c r="AG73" s="73"/>
      <c r="AH73" s="73"/>
      <c r="AI73" s="73"/>
      <c r="AJ73" s="73"/>
    </row>
    <row r="74" spans="1:36" ht="15.75" customHeight="1" x14ac:dyDescent="0.25">
      <c r="A74" s="151"/>
      <c r="B74" s="162"/>
      <c r="C74" s="162">
        <v>3</v>
      </c>
      <c r="D74" s="4129" t="str">
        <f>'FKS(PAP-03)'!C172</f>
        <v>Biaya Operasional Pendapatan Operasional (BOPO)</v>
      </c>
      <c r="E74" s="4130"/>
      <c r="F74" s="4130"/>
      <c r="G74" s="4130"/>
      <c r="H74" s="4130"/>
      <c r="I74" s="4130"/>
      <c r="J74" s="4130"/>
      <c r="K74" s="4130"/>
      <c r="L74" s="4130"/>
      <c r="M74" s="4130"/>
      <c r="N74" s="4130"/>
      <c r="O74" s="4130"/>
      <c r="P74" s="4154">
        <f>'FKS(PAP-03)'!H172</f>
        <v>0.57255173506880719</v>
      </c>
      <c r="Q74" s="4154"/>
      <c r="R74" s="4154"/>
      <c r="S74" s="4154"/>
      <c r="T74" s="4155">
        <f>'FKS(PAP-03)'!AB172</f>
        <v>5</v>
      </c>
      <c r="U74" s="4155"/>
      <c r="V74" s="4156">
        <v>5</v>
      </c>
      <c r="W74" s="4156"/>
      <c r="X74" s="4157">
        <f t="shared" si="0"/>
        <v>1</v>
      </c>
      <c r="Y74" s="4157"/>
      <c r="Z74" s="4157"/>
      <c r="AA74" s="4157"/>
      <c r="AB74" s="4157"/>
      <c r="AC74" s="152"/>
      <c r="AG74" s="73"/>
      <c r="AH74" s="73"/>
      <c r="AI74" s="73"/>
      <c r="AJ74" s="73"/>
    </row>
    <row r="75" spans="1:36" ht="15.75" customHeight="1" x14ac:dyDescent="0.25">
      <c r="A75" s="151"/>
      <c r="B75" s="162"/>
      <c r="C75" s="162">
        <v>4</v>
      </c>
      <c r="D75" s="4129" t="str">
        <f>'FKS(PAP-03)'!C173</f>
        <v>CASH  RATIO (CR)</v>
      </c>
      <c r="E75" s="4130"/>
      <c r="F75" s="4130"/>
      <c r="G75" s="4130"/>
      <c r="H75" s="4130"/>
      <c r="I75" s="4130"/>
      <c r="J75" s="4130"/>
      <c r="K75" s="4130"/>
      <c r="L75" s="4130"/>
      <c r="M75" s="4130"/>
      <c r="N75" s="4130"/>
      <c r="O75" s="4130"/>
      <c r="P75" s="4154">
        <f>'FKS(PAP-03)'!H173</f>
        <v>0.41972357675350841</v>
      </c>
      <c r="Q75" s="4154"/>
      <c r="R75" s="4154"/>
      <c r="S75" s="4154"/>
      <c r="T75" s="4155">
        <f>'FKS(PAP-03)'!AB173</f>
        <v>2</v>
      </c>
      <c r="U75" s="4155"/>
      <c r="V75" s="4156">
        <v>5</v>
      </c>
      <c r="W75" s="4156"/>
      <c r="X75" s="4157">
        <f t="shared" si="0"/>
        <v>2.5</v>
      </c>
      <c r="Y75" s="4157"/>
      <c r="Z75" s="4157"/>
      <c r="AA75" s="4157"/>
      <c r="AB75" s="4157"/>
      <c r="AC75" s="152"/>
      <c r="AG75" s="73"/>
      <c r="AH75" s="73"/>
      <c r="AI75" s="73"/>
      <c r="AJ75" s="73"/>
    </row>
    <row r="76" spans="1:36" ht="15.75" customHeight="1" x14ac:dyDescent="0.25">
      <c r="A76" s="151"/>
      <c r="B76" s="162"/>
      <c r="C76" s="162">
        <v>5</v>
      </c>
      <c r="D76" s="4129" t="str">
        <f>'FKS(PAP-03)'!C174</f>
        <v>LOAN TO DEPOSIT RATIO (LDR)</v>
      </c>
      <c r="E76" s="4130"/>
      <c r="F76" s="4130"/>
      <c r="G76" s="4130"/>
      <c r="H76" s="4130"/>
      <c r="I76" s="4130"/>
      <c r="J76" s="4130"/>
      <c r="K76" s="4130"/>
      <c r="L76" s="4130"/>
      <c r="M76" s="4130"/>
      <c r="N76" s="4130"/>
      <c r="O76" s="4130"/>
      <c r="P76" s="4154">
        <f>'FKS(PAP-03)'!H174</f>
        <v>0.79167742091493443</v>
      </c>
      <c r="Q76" s="4154"/>
      <c r="R76" s="4154"/>
      <c r="S76" s="4154"/>
      <c r="T76" s="4155">
        <f>'FKS(PAP-03)'!AB174</f>
        <v>2</v>
      </c>
      <c r="U76" s="4155"/>
      <c r="V76" s="4156">
        <v>5</v>
      </c>
      <c r="W76" s="4156"/>
      <c r="X76" s="4157">
        <f t="shared" si="0"/>
        <v>2.5</v>
      </c>
      <c r="Y76" s="4157"/>
      <c r="Z76" s="4157"/>
      <c r="AA76" s="4157"/>
      <c r="AB76" s="4157"/>
      <c r="AC76" s="152"/>
      <c r="AG76" s="73"/>
      <c r="AH76" s="73"/>
      <c r="AI76" s="73"/>
      <c r="AJ76" s="73"/>
    </row>
    <row r="77" spans="1:36" ht="20.25" customHeight="1" x14ac:dyDescent="0.25">
      <c r="A77" s="151"/>
      <c r="B77" s="162"/>
      <c r="C77" s="162">
        <v>6</v>
      </c>
      <c r="D77" s="4169" t="str">
        <f>'FKS(PAP-03)'!C175</f>
        <v>RETURN ON ASSET(ROA)</v>
      </c>
      <c r="E77" s="4169"/>
      <c r="F77" s="4169"/>
      <c r="G77" s="4169"/>
      <c r="H77" s="4169"/>
      <c r="I77" s="4169"/>
      <c r="J77" s="4169"/>
      <c r="K77" s="4169"/>
      <c r="L77" s="4169"/>
      <c r="M77" s="4169"/>
      <c r="N77" s="4169"/>
      <c r="O77" s="4169"/>
      <c r="P77" s="4154">
        <f>'FKS(PAP-03)'!H175</f>
        <v>1.1873597427415847E-2</v>
      </c>
      <c r="Q77" s="4154"/>
      <c r="R77" s="4154"/>
      <c r="S77" s="4154"/>
      <c r="T77" s="4155">
        <f>'FKS(PAP-03)'!AB175</f>
        <v>5</v>
      </c>
      <c r="U77" s="4155"/>
      <c r="V77" s="4156">
        <v>5</v>
      </c>
      <c r="W77" s="4156"/>
      <c r="X77" s="4157">
        <f t="shared" si="0"/>
        <v>1</v>
      </c>
      <c r="Y77" s="4157"/>
      <c r="Z77" s="4157"/>
      <c r="AA77" s="4157"/>
      <c r="AB77" s="4157"/>
      <c r="AC77" s="152"/>
      <c r="AG77" s="73"/>
      <c r="AH77" s="73"/>
      <c r="AI77" s="73"/>
      <c r="AJ77" s="73"/>
    </row>
    <row r="78" spans="1:36" ht="15.75" customHeight="1" x14ac:dyDescent="0.25">
      <c r="A78" s="151"/>
      <c r="B78" s="162"/>
      <c r="C78" s="162">
        <v>7</v>
      </c>
      <c r="D78" s="4129" t="str">
        <f>'FKS(PAP-03)'!C176</f>
        <v>RETURN ON EQUITY(ROE)</v>
      </c>
      <c r="E78" s="4130"/>
      <c r="F78" s="4130"/>
      <c r="G78" s="4130"/>
      <c r="H78" s="4130"/>
      <c r="I78" s="4130"/>
      <c r="J78" s="4130"/>
      <c r="K78" s="4130"/>
      <c r="L78" s="4130"/>
      <c r="M78" s="4130"/>
      <c r="N78" s="4130"/>
      <c r="O78" s="4130"/>
      <c r="P78" s="4154">
        <f>'FKS(PAP-03)'!H176</f>
        <v>4.4308090235220053E-2</v>
      </c>
      <c r="Q78" s="4154"/>
      <c r="R78" s="4154"/>
      <c r="S78" s="4154"/>
      <c r="T78" s="4155">
        <f>'FKS(PAP-03)'!AB176</f>
        <v>5</v>
      </c>
      <c r="U78" s="4155"/>
      <c r="V78" s="4156">
        <v>5</v>
      </c>
      <c r="W78" s="4156"/>
      <c r="X78" s="4157">
        <f t="shared" si="0"/>
        <v>1</v>
      </c>
      <c r="Y78" s="4157"/>
      <c r="Z78" s="4157"/>
      <c r="AA78" s="4157"/>
      <c r="AB78" s="4157"/>
      <c r="AC78" s="152"/>
      <c r="AG78" s="73"/>
      <c r="AH78" s="73"/>
      <c r="AI78" s="73"/>
      <c r="AJ78" s="73"/>
    </row>
    <row r="79" spans="1:36" ht="23.25" customHeight="1" x14ac:dyDescent="0.25">
      <c r="A79" s="151"/>
      <c r="B79" s="162"/>
      <c r="C79" s="162">
        <v>8</v>
      </c>
      <c r="D79" s="4129" t="str">
        <f>'FKS(PAP-03)'!C177</f>
        <v>Modal Sendiri Terhadap Asset</v>
      </c>
      <c r="E79" s="4130"/>
      <c r="F79" s="4130"/>
      <c r="G79" s="4130"/>
      <c r="H79" s="4130"/>
      <c r="I79" s="4130"/>
      <c r="J79" s="4130"/>
      <c r="K79" s="4130"/>
      <c r="L79" s="4130"/>
      <c r="M79" s="4130"/>
      <c r="N79" s="4130"/>
      <c r="O79" s="4130"/>
      <c r="P79" s="4154">
        <f>'FKS(PAP-03)'!H177</f>
        <v>0.50380627366848352</v>
      </c>
      <c r="Q79" s="4154"/>
      <c r="R79" s="4154"/>
      <c r="S79" s="4154"/>
      <c r="T79" s="4155">
        <f>'FKS(PAP-03)'!AB177</f>
        <v>5</v>
      </c>
      <c r="U79" s="4155"/>
      <c r="V79" s="4156">
        <v>5</v>
      </c>
      <c r="W79" s="4156"/>
      <c r="X79" s="4157">
        <f t="shared" si="0"/>
        <v>1</v>
      </c>
      <c r="Y79" s="4157"/>
      <c r="Z79" s="4157"/>
      <c r="AA79" s="4157"/>
      <c r="AB79" s="4157"/>
      <c r="AC79" s="152"/>
      <c r="AG79" s="73"/>
      <c r="AH79" s="73"/>
      <c r="AI79" s="73"/>
      <c r="AJ79" s="73"/>
    </row>
    <row r="80" spans="1:36" ht="15.75" customHeight="1" x14ac:dyDescent="0.25">
      <c r="A80" s="151"/>
      <c r="B80" s="162"/>
      <c r="C80" s="162">
        <v>9</v>
      </c>
      <c r="D80" s="4129" t="str">
        <f>'FKS(PAP-03)'!C178</f>
        <v>DER (Debt Equity Ratio)</v>
      </c>
      <c r="E80" s="4130"/>
      <c r="F80" s="4130"/>
      <c r="G80" s="4130"/>
      <c r="H80" s="4130"/>
      <c r="I80" s="4130"/>
      <c r="J80" s="4130"/>
      <c r="K80" s="4130"/>
      <c r="L80" s="4130"/>
      <c r="M80" s="4130"/>
      <c r="N80" s="4130"/>
      <c r="O80" s="4130"/>
      <c r="P80" s="4154">
        <f>'FKS(PAP-03)'!H178</f>
        <v>0.98488993143825687</v>
      </c>
      <c r="Q80" s="4154"/>
      <c r="R80" s="4154"/>
      <c r="S80" s="4154"/>
      <c r="T80" s="4155">
        <f>'FKS(PAP-03)'!AB178</f>
        <v>4</v>
      </c>
      <c r="U80" s="4155"/>
      <c r="V80" s="4156">
        <v>5</v>
      </c>
      <c r="W80" s="4156"/>
      <c r="X80" s="4157">
        <f t="shared" si="0"/>
        <v>1.25</v>
      </c>
      <c r="Y80" s="4157"/>
      <c r="Z80" s="4157"/>
      <c r="AA80" s="4157"/>
      <c r="AB80" s="4157"/>
      <c r="AC80" s="152"/>
      <c r="AG80" s="73"/>
      <c r="AH80" s="73"/>
      <c r="AI80" s="73"/>
      <c r="AJ80" s="73"/>
    </row>
    <row r="81" spans="1:36" ht="15.75" customHeight="1" x14ac:dyDescent="0.25">
      <c r="A81" s="151"/>
      <c r="B81" s="162"/>
      <c r="C81" s="162">
        <v>10</v>
      </c>
      <c r="D81" s="4129" t="str">
        <f>'FKS(PAP-03)'!C179</f>
        <v>Net Interest Margin (NIM)</v>
      </c>
      <c r="E81" s="4130"/>
      <c r="F81" s="4130"/>
      <c r="G81" s="4130"/>
      <c r="H81" s="4130"/>
      <c r="I81" s="4130"/>
      <c r="J81" s="4130"/>
      <c r="K81" s="4130"/>
      <c r="L81" s="4130"/>
      <c r="M81" s="4130"/>
      <c r="N81" s="4130"/>
      <c r="O81" s="4130"/>
      <c r="P81" s="4154">
        <f>'FKS(PAP-03)'!H179</f>
        <v>0.10812737229624191</v>
      </c>
      <c r="Q81" s="4154"/>
      <c r="R81" s="4154"/>
      <c r="S81" s="4154"/>
      <c r="T81" s="4155">
        <f>'FKS(PAP-03)'!AB179</f>
        <v>5</v>
      </c>
      <c r="U81" s="4155"/>
      <c r="V81" s="4156">
        <v>5</v>
      </c>
      <c r="W81" s="4156"/>
      <c r="X81" s="4157">
        <f t="shared" si="0"/>
        <v>1</v>
      </c>
      <c r="Y81" s="4157"/>
      <c r="Z81" s="4157"/>
      <c r="AA81" s="4157"/>
      <c r="AB81" s="4157"/>
      <c r="AC81" s="152"/>
      <c r="AG81" s="73"/>
      <c r="AH81" s="73"/>
      <c r="AI81" s="73"/>
      <c r="AJ81" s="73"/>
    </row>
    <row r="82" spans="1:36" ht="15.75" customHeight="1" x14ac:dyDescent="0.25">
      <c r="A82" s="151"/>
      <c r="B82" s="4158" t="s">
        <v>898</v>
      </c>
      <c r="C82" s="4159"/>
      <c r="D82" s="4159"/>
      <c r="E82" s="4159"/>
      <c r="F82" s="4159"/>
      <c r="G82" s="4159"/>
      <c r="H82" s="4159"/>
      <c r="I82" s="4159"/>
      <c r="J82" s="4159"/>
      <c r="K82" s="4159"/>
      <c r="L82" s="4159"/>
      <c r="M82" s="4159"/>
      <c r="N82" s="4159"/>
      <c r="O82" s="4160"/>
      <c r="P82" s="4161"/>
      <c r="Q82" s="4162"/>
      <c r="R82" s="4162"/>
      <c r="S82" s="4163"/>
      <c r="T82" s="4161"/>
      <c r="U82" s="4163"/>
      <c r="V82" s="4164"/>
      <c r="W82" s="4165"/>
      <c r="X82" s="4166">
        <f>IFERROR((SUM(X72:AB81)/AF82),"0")</f>
        <v>1.35</v>
      </c>
      <c r="Y82" s="4167"/>
      <c r="Z82" s="4167"/>
      <c r="AA82" s="4167"/>
      <c r="AB82" s="4168"/>
      <c r="AC82" s="152"/>
      <c r="AF82" s="2411">
        <f>COUNTIF(X72:AB81,"&gt;0")</f>
        <v>10</v>
      </c>
      <c r="AG82" s="73"/>
      <c r="AH82" s="73"/>
      <c r="AI82" s="73"/>
      <c r="AJ82" s="73"/>
    </row>
    <row r="83" spans="1:36" x14ac:dyDescent="0.25">
      <c r="A83" s="152"/>
      <c r="B83" s="155"/>
      <c r="C83" s="155"/>
      <c r="D83" s="155"/>
      <c r="E83" s="155"/>
      <c r="F83" s="155"/>
      <c r="G83" s="155"/>
      <c r="H83" s="155"/>
      <c r="I83" s="155"/>
      <c r="J83" s="155"/>
      <c r="K83" s="155"/>
      <c r="L83" s="155"/>
      <c r="M83" s="155"/>
      <c r="N83" s="155"/>
      <c r="O83" s="155"/>
      <c r="P83" s="152"/>
      <c r="Q83" s="152"/>
      <c r="R83" s="152"/>
      <c r="S83" s="152"/>
      <c r="T83" s="152"/>
      <c r="U83" s="152"/>
      <c r="V83" s="152"/>
      <c r="W83" s="152"/>
      <c r="X83" s="152"/>
      <c r="Y83" s="152"/>
      <c r="Z83" s="152"/>
      <c r="AA83" s="152"/>
      <c r="AB83" s="152"/>
      <c r="AC83" s="152"/>
      <c r="AG83" s="73"/>
      <c r="AH83" s="73"/>
      <c r="AI83" s="73"/>
      <c r="AJ83" s="73"/>
    </row>
    <row r="84" spans="1:36" ht="28.5" customHeight="1" x14ac:dyDescent="0.25">
      <c r="A84" s="151"/>
      <c r="B84" s="4087" t="s">
        <v>899</v>
      </c>
      <c r="C84" s="4087"/>
      <c r="D84" s="4087"/>
      <c r="E84" s="4087"/>
      <c r="F84" s="4087"/>
      <c r="G84" s="4087"/>
      <c r="H84" s="4087"/>
      <c r="I84" s="4087"/>
      <c r="J84" s="4087"/>
      <c r="K84" s="4087"/>
      <c r="L84" s="4087"/>
      <c r="M84" s="4087"/>
      <c r="N84" s="4087"/>
      <c r="O84" s="4087"/>
      <c r="P84" s="4087"/>
      <c r="Q84" s="4087"/>
      <c r="R84" s="4087"/>
      <c r="S84" s="4087"/>
      <c r="T84" s="4087"/>
      <c r="U84" s="4087"/>
      <c r="V84" s="4087"/>
      <c r="W84" s="4087"/>
      <c r="X84" s="4087"/>
      <c r="Y84" s="4087"/>
      <c r="Z84" s="4087"/>
      <c r="AA84" s="4087"/>
      <c r="AB84" s="151"/>
      <c r="AC84" s="152"/>
      <c r="AG84" s="73"/>
      <c r="AH84" s="73"/>
      <c r="AI84" s="73"/>
      <c r="AJ84" s="73"/>
    </row>
    <row r="85" spans="1:36" ht="21" customHeight="1" x14ac:dyDescent="0.25">
      <c r="A85" s="151"/>
      <c r="B85" s="2407"/>
      <c r="C85" s="4134" t="s">
        <v>900</v>
      </c>
      <c r="D85" s="4135"/>
      <c r="E85" s="4135"/>
      <c r="F85" s="4135"/>
      <c r="G85" s="4135"/>
      <c r="H85" s="4135"/>
      <c r="I85" s="4135"/>
      <c r="J85" s="4135"/>
      <c r="K85" s="4135"/>
      <c r="L85" s="4135"/>
      <c r="M85" s="4135"/>
      <c r="N85" s="4135"/>
      <c r="O85" s="4135"/>
      <c r="P85" s="4135"/>
      <c r="Q85" s="4135"/>
      <c r="R85" s="4135"/>
      <c r="S85" s="4135"/>
      <c r="T85" s="4135"/>
      <c r="U85" s="4135"/>
      <c r="V85" s="4135"/>
      <c r="W85" s="4135"/>
      <c r="X85" s="4135"/>
      <c r="Y85" s="4135"/>
      <c r="Z85" s="4135"/>
      <c r="AA85" s="4135"/>
      <c r="AB85" s="4135"/>
      <c r="AC85" s="152"/>
      <c r="AG85" s="73"/>
      <c r="AH85" s="73"/>
      <c r="AI85" s="73"/>
      <c r="AJ85" s="73"/>
    </row>
    <row r="86" spans="1:36" x14ac:dyDescent="0.25">
      <c r="A86" s="151"/>
      <c r="B86" s="2407"/>
      <c r="C86" s="2407"/>
      <c r="D86" s="2407"/>
      <c r="E86" s="2407"/>
      <c r="F86" s="2407"/>
      <c r="G86" s="2407"/>
      <c r="H86" s="2407"/>
      <c r="I86" s="2407"/>
      <c r="J86" s="2407"/>
      <c r="K86" s="2407"/>
      <c r="L86" s="2407"/>
      <c r="M86" s="2407"/>
      <c r="N86" s="2407"/>
      <c r="O86" s="2407"/>
      <c r="P86" s="151"/>
      <c r="Q86" s="151"/>
      <c r="R86" s="151"/>
      <c r="S86" s="151"/>
      <c r="T86" s="151"/>
      <c r="U86" s="151"/>
      <c r="V86" s="151"/>
      <c r="W86" s="151"/>
      <c r="X86" s="151"/>
      <c r="Y86" s="151"/>
      <c r="Z86" s="151"/>
      <c r="AA86" s="151"/>
      <c r="AB86" s="151"/>
      <c r="AC86" s="152"/>
      <c r="AG86" s="73"/>
      <c r="AH86" s="73"/>
      <c r="AI86" s="73"/>
      <c r="AJ86" s="73"/>
    </row>
    <row r="87" spans="1:36" x14ac:dyDescent="0.25">
      <c r="A87" s="151"/>
      <c r="B87" s="4136" t="s">
        <v>901</v>
      </c>
      <c r="C87" s="4137"/>
      <c r="D87" s="4137"/>
      <c r="E87" s="4137"/>
      <c r="F87" s="4137"/>
      <c r="G87" s="4137"/>
      <c r="H87" s="4137"/>
      <c r="I87" s="4137"/>
      <c r="J87" s="4137"/>
      <c r="K87" s="4137"/>
      <c r="L87" s="4138"/>
      <c r="M87" s="4131" t="s">
        <v>902</v>
      </c>
      <c r="N87" s="4132"/>
      <c r="O87" s="4132"/>
      <c r="P87" s="4132"/>
      <c r="Q87" s="4132"/>
      <c r="R87" s="4132"/>
      <c r="S87" s="4132"/>
      <c r="T87" s="4132"/>
      <c r="U87" s="4132"/>
      <c r="V87" s="4132"/>
      <c r="W87" s="4132"/>
      <c r="X87" s="4132"/>
      <c r="Y87" s="4132"/>
      <c r="Z87" s="4132"/>
      <c r="AA87" s="4133"/>
      <c r="AB87" s="151"/>
      <c r="AC87" s="152"/>
      <c r="AG87" s="73"/>
      <c r="AH87" s="73"/>
      <c r="AI87" s="73"/>
      <c r="AJ87" s="73"/>
    </row>
    <row r="88" spans="1:36" x14ac:dyDescent="0.25">
      <c r="A88" s="151"/>
      <c r="B88" s="4139"/>
      <c r="C88" s="4140"/>
      <c r="D88" s="4140"/>
      <c r="E88" s="4140"/>
      <c r="F88" s="4140"/>
      <c r="G88" s="4140"/>
      <c r="H88" s="4140"/>
      <c r="I88" s="4140"/>
      <c r="J88" s="4140"/>
      <c r="K88" s="4140"/>
      <c r="L88" s="4141"/>
      <c r="M88" s="4145"/>
      <c r="N88" s="4146"/>
      <c r="O88" s="4146"/>
      <c r="P88" s="4146"/>
      <c r="Q88" s="4146"/>
      <c r="R88" s="4146"/>
      <c r="S88" s="4146"/>
      <c r="T88" s="4146"/>
      <c r="U88" s="4146"/>
      <c r="V88" s="4146"/>
      <c r="W88" s="4146"/>
      <c r="X88" s="4146"/>
      <c r="Y88" s="4146"/>
      <c r="Z88" s="4146"/>
      <c r="AA88" s="4147"/>
      <c r="AB88" s="151"/>
      <c r="AC88" s="152"/>
      <c r="AG88" s="73"/>
      <c r="AH88" s="73"/>
      <c r="AI88" s="73"/>
      <c r="AJ88" s="73"/>
    </row>
    <row r="89" spans="1:36" x14ac:dyDescent="0.25">
      <c r="A89" s="151"/>
      <c r="B89" s="4139"/>
      <c r="C89" s="4140"/>
      <c r="D89" s="4140"/>
      <c r="E89" s="4140"/>
      <c r="F89" s="4140"/>
      <c r="G89" s="4140"/>
      <c r="H89" s="4140"/>
      <c r="I89" s="4140"/>
      <c r="J89" s="4140"/>
      <c r="K89" s="4140"/>
      <c r="L89" s="4141"/>
      <c r="M89" s="4148" t="s">
        <v>903</v>
      </c>
      <c r="N89" s="4149"/>
      <c r="O89" s="4150"/>
      <c r="P89" s="4131" t="s">
        <v>904</v>
      </c>
      <c r="Q89" s="4132"/>
      <c r="R89" s="4132"/>
      <c r="S89" s="4132"/>
      <c r="T89" s="4133"/>
      <c r="U89" s="4131" t="s">
        <v>905</v>
      </c>
      <c r="V89" s="4133"/>
      <c r="W89" s="4131" t="s">
        <v>906</v>
      </c>
      <c r="X89" s="4133"/>
      <c r="Y89" s="4131" t="s">
        <v>907</v>
      </c>
      <c r="Z89" s="4132"/>
      <c r="AA89" s="4133"/>
      <c r="AB89" s="151"/>
      <c r="AC89" s="152"/>
      <c r="AG89" s="73"/>
      <c r="AH89" s="73"/>
      <c r="AI89" s="73"/>
      <c r="AJ89" s="73"/>
    </row>
    <row r="90" spans="1:36" ht="37.5" customHeight="1" x14ac:dyDescent="0.25">
      <c r="A90" s="151"/>
      <c r="B90" s="4139"/>
      <c r="C90" s="4140"/>
      <c r="D90" s="4140"/>
      <c r="E90" s="4140"/>
      <c r="F90" s="4140"/>
      <c r="G90" s="4140"/>
      <c r="H90" s="4140"/>
      <c r="I90" s="4140"/>
      <c r="J90" s="4140"/>
      <c r="K90" s="4140"/>
      <c r="L90" s="4141"/>
      <c r="M90" s="4151"/>
      <c r="N90" s="4152"/>
      <c r="O90" s="4153"/>
      <c r="P90" s="4145"/>
      <c r="Q90" s="4146"/>
      <c r="R90" s="4146"/>
      <c r="S90" s="4146"/>
      <c r="T90" s="4147"/>
      <c r="U90" s="4145"/>
      <c r="V90" s="4147"/>
      <c r="W90" s="4145"/>
      <c r="X90" s="4147"/>
      <c r="Y90" s="4145"/>
      <c r="Z90" s="4146"/>
      <c r="AA90" s="4147"/>
      <c r="AB90" s="151"/>
      <c r="AC90" s="152"/>
      <c r="AG90" s="73"/>
      <c r="AH90" s="73"/>
      <c r="AI90" s="73"/>
      <c r="AJ90" s="73"/>
    </row>
    <row r="91" spans="1:36" x14ac:dyDescent="0.25">
      <c r="A91" s="151"/>
      <c r="B91" s="4142"/>
      <c r="C91" s="4143"/>
      <c r="D91" s="4143"/>
      <c r="E91" s="4143"/>
      <c r="F91" s="4143"/>
      <c r="G91" s="4143"/>
      <c r="H91" s="4143"/>
      <c r="I91" s="4143"/>
      <c r="J91" s="4143"/>
      <c r="K91" s="4143"/>
      <c r="L91" s="4144"/>
      <c r="M91" s="4131">
        <v>1</v>
      </c>
      <c r="N91" s="4132"/>
      <c r="O91" s="4133"/>
      <c r="P91" s="4131">
        <v>2</v>
      </c>
      <c r="Q91" s="4132"/>
      <c r="R91" s="4132"/>
      <c r="S91" s="4132"/>
      <c r="T91" s="4133"/>
      <c r="U91" s="4131">
        <v>3</v>
      </c>
      <c r="V91" s="4133"/>
      <c r="W91" s="4131">
        <v>4</v>
      </c>
      <c r="X91" s="4133"/>
      <c r="Y91" s="4131">
        <v>5</v>
      </c>
      <c r="Z91" s="4132"/>
      <c r="AA91" s="4133"/>
      <c r="AB91" s="151"/>
      <c r="AC91" s="152"/>
      <c r="AG91" s="73"/>
      <c r="AH91" s="73"/>
      <c r="AI91" s="73"/>
      <c r="AJ91" s="73"/>
    </row>
    <row r="92" spans="1:36" ht="32.25" customHeight="1" x14ac:dyDescent="0.25">
      <c r="A92" s="151"/>
      <c r="B92" s="4129" t="s">
        <v>908</v>
      </c>
      <c r="C92" s="4130"/>
      <c r="D92" s="4130"/>
      <c r="E92" s="4130"/>
      <c r="F92" s="4130"/>
      <c r="G92" s="4130"/>
      <c r="H92" s="4130"/>
      <c r="I92" s="4130"/>
      <c r="J92" s="4130"/>
      <c r="K92" s="4130"/>
      <c r="L92" s="4130"/>
      <c r="M92" s="4041"/>
      <c r="N92" s="4041"/>
      <c r="O92" s="4041"/>
      <c r="P92" s="4041"/>
      <c r="Q92" s="4041"/>
      <c r="R92" s="4041"/>
      <c r="S92" s="4041"/>
      <c r="T92" s="4041"/>
      <c r="U92" s="4041"/>
      <c r="V92" s="4041"/>
      <c r="W92" s="4041"/>
      <c r="X92" s="4041"/>
      <c r="Y92" s="4041" t="s">
        <v>194</v>
      </c>
      <c r="Z92" s="4041"/>
      <c r="AA92" s="4041"/>
      <c r="AB92" s="152"/>
      <c r="AC92" s="152"/>
      <c r="AD92" s="2404">
        <v>1</v>
      </c>
      <c r="AG92" s="73"/>
      <c r="AH92" s="73"/>
      <c r="AI92" s="73"/>
      <c r="AJ92" s="73"/>
    </row>
    <row r="93" spans="1:36" ht="32.25" customHeight="1" x14ac:dyDescent="0.25">
      <c r="A93" s="151"/>
      <c r="B93" s="4129" t="s">
        <v>909</v>
      </c>
      <c r="C93" s="4130"/>
      <c r="D93" s="4130"/>
      <c r="E93" s="4130"/>
      <c r="F93" s="4130"/>
      <c r="G93" s="4130"/>
      <c r="H93" s="4130"/>
      <c r="I93" s="4130"/>
      <c r="J93" s="4130"/>
      <c r="K93" s="4130"/>
      <c r="L93" s="4130"/>
      <c r="M93" s="4041"/>
      <c r="N93" s="4041"/>
      <c r="O93" s="4041"/>
      <c r="P93" s="4041" t="s">
        <v>194</v>
      </c>
      <c r="Q93" s="4041"/>
      <c r="R93" s="4041"/>
      <c r="S93" s="4041"/>
      <c r="T93" s="4041"/>
      <c r="U93" s="4041"/>
      <c r="V93" s="4041"/>
      <c r="W93" s="4041"/>
      <c r="X93" s="4041"/>
      <c r="Y93" s="4041"/>
      <c r="Z93" s="4041"/>
      <c r="AA93" s="4041"/>
      <c r="AB93" s="152"/>
      <c r="AC93" s="152"/>
      <c r="AD93" s="2404">
        <v>1</v>
      </c>
      <c r="AG93" s="73"/>
      <c r="AH93" s="73"/>
      <c r="AI93" s="73"/>
      <c r="AJ93" s="73"/>
    </row>
    <row r="94" spans="1:36" ht="32.25" customHeight="1" x14ac:dyDescent="0.25">
      <c r="A94" s="151"/>
      <c r="B94" s="4129" t="s">
        <v>910</v>
      </c>
      <c r="C94" s="4130"/>
      <c r="D94" s="4130"/>
      <c r="E94" s="4130"/>
      <c r="F94" s="4130"/>
      <c r="G94" s="4130"/>
      <c r="H94" s="4130"/>
      <c r="I94" s="4130"/>
      <c r="J94" s="4130"/>
      <c r="K94" s="4130"/>
      <c r="L94" s="4130"/>
      <c r="M94" s="4041"/>
      <c r="N94" s="4041"/>
      <c r="O94" s="4041"/>
      <c r="P94" s="4041" t="s">
        <v>194</v>
      </c>
      <c r="Q94" s="4041"/>
      <c r="R94" s="4041"/>
      <c r="S94" s="4041"/>
      <c r="T94" s="4041"/>
      <c r="U94" s="4041"/>
      <c r="V94" s="4041"/>
      <c r="W94" s="4041"/>
      <c r="X94" s="4041"/>
      <c r="Y94" s="4041"/>
      <c r="Z94" s="4041"/>
      <c r="AA94" s="4041"/>
      <c r="AB94" s="152"/>
      <c r="AC94" s="152"/>
      <c r="AD94" s="2404">
        <v>1</v>
      </c>
      <c r="AG94" s="73"/>
      <c r="AH94" s="73"/>
      <c r="AI94" s="73"/>
      <c r="AJ94" s="73"/>
    </row>
    <row r="95" spans="1:36" ht="32.25" customHeight="1" x14ac:dyDescent="0.25">
      <c r="A95" s="151"/>
      <c r="B95" s="4129" t="s">
        <v>911</v>
      </c>
      <c r="C95" s="4130"/>
      <c r="D95" s="4130"/>
      <c r="E95" s="4130"/>
      <c r="F95" s="4130"/>
      <c r="G95" s="4130"/>
      <c r="H95" s="4130"/>
      <c r="I95" s="4130"/>
      <c r="J95" s="4130"/>
      <c r="K95" s="4130"/>
      <c r="L95" s="4130"/>
      <c r="M95" s="4041" t="s">
        <v>194</v>
      </c>
      <c r="N95" s="4041"/>
      <c r="O95" s="4041"/>
      <c r="P95" s="4041"/>
      <c r="Q95" s="4041"/>
      <c r="R95" s="4041"/>
      <c r="S95" s="4041"/>
      <c r="T95" s="4041"/>
      <c r="U95" s="4041"/>
      <c r="V95" s="4041"/>
      <c r="W95" s="4041"/>
      <c r="X95" s="4041"/>
      <c r="Y95" s="4041"/>
      <c r="Z95" s="4041"/>
      <c r="AA95" s="4041"/>
      <c r="AB95" s="152"/>
      <c r="AC95" s="152"/>
      <c r="AD95" s="2404">
        <v>1</v>
      </c>
      <c r="AG95" s="73"/>
      <c r="AH95" s="73"/>
      <c r="AI95" s="73"/>
      <c r="AJ95" s="73"/>
    </row>
    <row r="96" spans="1:36" ht="32.25" customHeight="1" x14ac:dyDescent="0.25">
      <c r="A96" s="151"/>
      <c r="B96" s="4129" t="s">
        <v>912</v>
      </c>
      <c r="C96" s="4130"/>
      <c r="D96" s="4130"/>
      <c r="E96" s="4130"/>
      <c r="F96" s="4130"/>
      <c r="G96" s="4130"/>
      <c r="H96" s="4130"/>
      <c r="I96" s="4130"/>
      <c r="J96" s="4130"/>
      <c r="K96" s="4130"/>
      <c r="L96" s="4130"/>
      <c r="M96" s="4041"/>
      <c r="N96" s="4041"/>
      <c r="O96" s="4041"/>
      <c r="P96" s="4041" t="s">
        <v>194</v>
      </c>
      <c r="Q96" s="4041"/>
      <c r="R96" s="4041"/>
      <c r="S96" s="4041"/>
      <c r="T96" s="4041"/>
      <c r="U96" s="4041"/>
      <c r="V96" s="4041"/>
      <c r="W96" s="4041"/>
      <c r="X96" s="4041"/>
      <c r="Y96" s="4041"/>
      <c r="Z96" s="4041"/>
      <c r="AA96" s="4041"/>
      <c r="AB96" s="152"/>
      <c r="AC96" s="152"/>
      <c r="AD96" s="2404">
        <v>2</v>
      </c>
      <c r="AG96" s="73"/>
      <c r="AH96" s="73"/>
      <c r="AI96" s="73"/>
      <c r="AJ96" s="73"/>
    </row>
    <row r="97" spans="1:36" ht="32.25" customHeight="1" thickBot="1" x14ac:dyDescent="0.3">
      <c r="A97" s="151"/>
      <c r="B97" s="4129" t="s">
        <v>913</v>
      </c>
      <c r="C97" s="4130"/>
      <c r="D97" s="4130"/>
      <c r="E97" s="4130"/>
      <c r="F97" s="4130"/>
      <c r="G97" s="4130"/>
      <c r="H97" s="4130"/>
      <c r="I97" s="4130"/>
      <c r="J97" s="4130"/>
      <c r="K97" s="4130"/>
      <c r="L97" s="4130"/>
      <c r="M97" s="4037"/>
      <c r="N97" s="4037"/>
      <c r="O97" s="4037"/>
      <c r="P97" s="4037" t="s">
        <v>194</v>
      </c>
      <c r="Q97" s="4037"/>
      <c r="R97" s="4037"/>
      <c r="S97" s="4037"/>
      <c r="T97" s="4037"/>
      <c r="U97" s="4037"/>
      <c r="V97" s="4037"/>
      <c r="W97" s="4037"/>
      <c r="X97" s="4037"/>
      <c r="Y97" s="4037"/>
      <c r="Z97" s="4037"/>
      <c r="AA97" s="4037"/>
      <c r="AB97" s="152"/>
      <c r="AC97" s="152"/>
      <c r="AD97" s="2404">
        <v>1</v>
      </c>
      <c r="AG97" s="73"/>
      <c r="AH97" s="73"/>
      <c r="AI97" s="73"/>
      <c r="AJ97" s="73"/>
    </row>
    <row r="98" spans="1:36" ht="32.25" customHeight="1" x14ac:dyDescent="0.25">
      <c r="A98" s="151"/>
      <c r="B98" s="4126" t="s">
        <v>914</v>
      </c>
      <c r="C98" s="4127"/>
      <c r="D98" s="4127"/>
      <c r="E98" s="4127"/>
      <c r="F98" s="4127"/>
      <c r="G98" s="4128"/>
      <c r="H98" s="4128"/>
      <c r="I98" s="4128"/>
      <c r="J98" s="4128"/>
      <c r="K98" s="4128"/>
      <c r="L98" s="4128"/>
      <c r="M98" s="4094">
        <f>COUNTIF(AD92:AD97,"1")*M91</f>
        <v>5</v>
      </c>
      <c r="N98" s="4095"/>
      <c r="O98" s="4095"/>
      <c r="P98" s="4095">
        <f>COUNTIF(AD92:AD97,"2")*P91</f>
        <v>2</v>
      </c>
      <c r="Q98" s="4095"/>
      <c r="R98" s="4095"/>
      <c r="S98" s="4095"/>
      <c r="T98" s="4095"/>
      <c r="U98" s="4095">
        <f>COUNTIF(AD92:AD97,"3")*U91</f>
        <v>0</v>
      </c>
      <c r="V98" s="4095"/>
      <c r="W98" s="4095">
        <f>COUNTIF(AD92:AD97,"4")*W91</f>
        <v>0</v>
      </c>
      <c r="X98" s="4095"/>
      <c r="Y98" s="4096">
        <f>COUNTIF(AD92:AD97,"5")*Y91</f>
        <v>0</v>
      </c>
      <c r="Z98" s="4097"/>
      <c r="AA98" s="4098"/>
      <c r="AB98" s="152"/>
      <c r="AC98" s="152"/>
      <c r="AG98" s="73"/>
      <c r="AH98" s="73"/>
      <c r="AI98" s="73"/>
      <c r="AJ98" s="73"/>
    </row>
    <row r="99" spans="1:36" ht="16.5" customHeight="1" x14ac:dyDescent="0.35">
      <c r="A99" s="151"/>
      <c r="B99" s="4013" t="s">
        <v>235</v>
      </c>
      <c r="C99" s="3809"/>
      <c r="D99" s="3809"/>
      <c r="E99" s="3809"/>
      <c r="F99" s="3809"/>
      <c r="G99" s="3809"/>
      <c r="H99" s="3809"/>
      <c r="I99" s="3809"/>
      <c r="J99" s="3809"/>
      <c r="K99" s="3809"/>
      <c r="L99" s="3750"/>
      <c r="M99" s="4117">
        <f>SUM(M98:AA98)</f>
        <v>7</v>
      </c>
      <c r="N99" s="4118"/>
      <c r="O99" s="4118"/>
      <c r="P99" s="4118"/>
      <c r="Q99" s="4118"/>
      <c r="R99" s="4118"/>
      <c r="S99" s="4118"/>
      <c r="T99" s="4118"/>
      <c r="U99" s="4118"/>
      <c r="V99" s="4118"/>
      <c r="W99" s="4118"/>
      <c r="X99" s="4118"/>
      <c r="Y99" s="4118"/>
      <c r="Z99" s="4118"/>
      <c r="AA99" s="4119"/>
      <c r="AB99" s="152"/>
      <c r="AC99" s="152"/>
      <c r="AG99" s="73"/>
      <c r="AH99" s="73"/>
      <c r="AI99" s="73"/>
      <c r="AJ99" s="73"/>
    </row>
    <row r="100" spans="1:36" ht="35.25" customHeight="1" x14ac:dyDescent="0.25">
      <c r="A100" s="151"/>
      <c r="B100" s="4017" t="s">
        <v>915</v>
      </c>
      <c r="C100" s="3028"/>
      <c r="D100" s="3028"/>
      <c r="E100" s="3028"/>
      <c r="F100" s="3028"/>
      <c r="G100" s="3028"/>
      <c r="H100" s="3028"/>
      <c r="I100" s="3028"/>
      <c r="J100" s="3028"/>
      <c r="K100" s="3028"/>
      <c r="L100" s="3082"/>
      <c r="M100" s="4120">
        <f>IFERROR(((M99/AF100)),"0")</f>
        <v>1.1666666666666667</v>
      </c>
      <c r="N100" s="4121"/>
      <c r="O100" s="4121"/>
      <c r="P100" s="4121"/>
      <c r="Q100" s="4121"/>
      <c r="R100" s="4121"/>
      <c r="S100" s="4121"/>
      <c r="T100" s="4121"/>
      <c r="U100" s="4121"/>
      <c r="V100" s="4121"/>
      <c r="W100" s="4121"/>
      <c r="X100" s="4121"/>
      <c r="Y100" s="4121"/>
      <c r="Z100" s="4121"/>
      <c r="AA100" s="4122"/>
      <c r="AB100" s="152"/>
      <c r="AC100" s="152"/>
      <c r="AF100" s="2411">
        <f>COUNTIF(AD92:AD97,"&gt;0")</f>
        <v>6</v>
      </c>
      <c r="AG100" s="73"/>
      <c r="AH100" s="73"/>
      <c r="AI100" s="73"/>
      <c r="AJ100" s="73"/>
    </row>
    <row r="101" spans="1:36" ht="16.5" customHeight="1" thickBot="1" x14ac:dyDescent="0.3">
      <c r="A101" s="1553"/>
      <c r="B101" s="4021" t="s">
        <v>916</v>
      </c>
      <c r="C101" s="4022"/>
      <c r="D101" s="4022"/>
      <c r="E101" s="4022"/>
      <c r="F101" s="4022"/>
      <c r="G101" s="4022"/>
      <c r="H101" s="4022"/>
      <c r="I101" s="4022"/>
      <c r="J101" s="4022"/>
      <c r="K101" s="4022"/>
      <c r="L101" s="4023"/>
      <c r="M101" s="4123">
        <f>IFERROR(((SUM(X82,M100)/2)),"0")</f>
        <v>1.2583333333333333</v>
      </c>
      <c r="N101" s="4124"/>
      <c r="O101" s="4124"/>
      <c r="P101" s="4124"/>
      <c r="Q101" s="4124"/>
      <c r="R101" s="4124"/>
      <c r="S101" s="4124"/>
      <c r="T101" s="4124"/>
      <c r="U101" s="4124"/>
      <c r="V101" s="4124"/>
      <c r="W101" s="4124"/>
      <c r="X101" s="4124"/>
      <c r="Y101" s="4124"/>
      <c r="Z101" s="4124"/>
      <c r="AA101" s="4125"/>
      <c r="AB101" s="152"/>
      <c r="AC101" s="152"/>
      <c r="AG101" s="73"/>
      <c r="AH101" s="73"/>
      <c r="AI101" s="73"/>
      <c r="AJ101" s="73"/>
    </row>
    <row r="102" spans="1:36" ht="16.5" customHeight="1" x14ac:dyDescent="0.35">
      <c r="A102" s="1552"/>
      <c r="B102" s="1552"/>
      <c r="C102" s="164"/>
      <c r="D102" s="164"/>
      <c r="E102" s="164"/>
      <c r="F102" s="164"/>
      <c r="G102" s="164"/>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G102" s="73"/>
      <c r="AH102" s="73"/>
      <c r="AI102" s="73"/>
      <c r="AJ102" s="73"/>
    </row>
    <row r="103" spans="1:36" ht="16.5" customHeight="1" thickBot="1" x14ac:dyDescent="0.3">
      <c r="A103" s="152"/>
      <c r="B103" s="3988" t="s">
        <v>917</v>
      </c>
      <c r="C103" s="3988"/>
      <c r="D103" s="3988"/>
      <c r="E103" s="3988"/>
      <c r="F103" s="3988"/>
      <c r="G103" s="3988"/>
      <c r="H103" s="3988"/>
      <c r="I103" s="3988"/>
      <c r="J103" s="3988"/>
      <c r="K103" s="3988"/>
      <c r="L103" s="3988"/>
      <c r="M103" s="3988"/>
      <c r="N103" s="3988"/>
      <c r="O103" s="3988"/>
      <c r="P103" s="3988"/>
      <c r="Q103" s="3988"/>
      <c r="R103" s="3988"/>
      <c r="S103" s="3988"/>
      <c r="T103" s="3988"/>
      <c r="U103" s="3988"/>
      <c r="V103" s="3988"/>
      <c r="W103" s="3988"/>
      <c r="X103" s="3988"/>
      <c r="Y103" s="3988"/>
      <c r="Z103" s="3988"/>
      <c r="AA103" s="3988"/>
      <c r="AB103" s="3988"/>
      <c r="AC103" s="152"/>
      <c r="AG103" s="73"/>
      <c r="AH103" s="73"/>
      <c r="AI103" s="73"/>
      <c r="AJ103" s="73"/>
    </row>
    <row r="104" spans="1:36" ht="36.75" customHeight="1" x14ac:dyDescent="0.25">
      <c r="A104" s="152"/>
      <c r="B104" s="4072" t="s">
        <v>1833</v>
      </c>
      <c r="C104" s="4073"/>
      <c r="D104" s="4073"/>
      <c r="E104" s="4073"/>
      <c r="F104" s="4073"/>
      <c r="G104" s="4073"/>
      <c r="H104" s="4073"/>
      <c r="I104" s="4073"/>
      <c r="J104" s="4073"/>
      <c r="K104" s="4073"/>
      <c r="L104" s="4073"/>
      <c r="M104" s="4073"/>
      <c r="N104" s="4073"/>
      <c r="O104" s="4073"/>
      <c r="P104" s="4073"/>
      <c r="Q104" s="4073"/>
      <c r="R104" s="4073"/>
      <c r="S104" s="4073"/>
      <c r="T104" s="4073"/>
      <c r="U104" s="4073"/>
      <c r="V104" s="4073"/>
      <c r="W104" s="4073"/>
      <c r="X104" s="4074"/>
      <c r="Y104" s="3998">
        <f>M101</f>
        <v>1.2583333333333333</v>
      </c>
      <c r="Z104" s="4001" t="str">
        <f>IF(ROUND(Y104,0)&lt;=1,"MINIMUM RISK",IF(ROUND(Y104,0)=2,"ACCEPTABLE RISK ",IF(ROUND(Y104,0)=3,"AVERAGE RISK",IF(ROUND(Y104,0)=4,"ALLOWABLE RIKS",IF(ROUND(Y104,0)=5,"MARGINAL RISK")))))</f>
        <v>MINIMUM RISK</v>
      </c>
      <c r="AA104" s="4002"/>
      <c r="AB104" s="4003"/>
      <c r="AC104" s="152"/>
      <c r="AE104" s="83"/>
      <c r="AG104" s="73"/>
      <c r="AH104" s="73"/>
      <c r="AI104" s="73"/>
      <c r="AJ104" s="73"/>
    </row>
    <row r="105" spans="1:36" ht="32.25" customHeight="1" x14ac:dyDescent="0.25">
      <c r="A105" s="152"/>
      <c r="B105" s="4075"/>
      <c r="C105" s="4076"/>
      <c r="D105" s="4076"/>
      <c r="E105" s="4076"/>
      <c r="F105" s="4076"/>
      <c r="G105" s="4076"/>
      <c r="H105" s="4076"/>
      <c r="I105" s="4076"/>
      <c r="J105" s="4076"/>
      <c r="K105" s="4076"/>
      <c r="L105" s="4076"/>
      <c r="M105" s="4076"/>
      <c r="N105" s="4076"/>
      <c r="O105" s="4076"/>
      <c r="P105" s="4076"/>
      <c r="Q105" s="4076"/>
      <c r="R105" s="4076"/>
      <c r="S105" s="4076"/>
      <c r="T105" s="4076"/>
      <c r="U105" s="4076"/>
      <c r="V105" s="4076"/>
      <c r="W105" s="4076"/>
      <c r="X105" s="4077"/>
      <c r="Y105" s="3999"/>
      <c r="Z105" s="4004"/>
      <c r="AA105" s="4005"/>
      <c r="AB105" s="4006"/>
      <c r="AC105" s="152"/>
      <c r="AE105" s="83"/>
      <c r="AG105" s="73"/>
      <c r="AH105" s="73"/>
      <c r="AI105" s="73"/>
      <c r="AJ105" s="73"/>
    </row>
    <row r="106" spans="1:36" ht="79.5" customHeight="1" x14ac:dyDescent="0.25">
      <c r="A106" s="152"/>
      <c r="B106" s="4075"/>
      <c r="C106" s="4076"/>
      <c r="D106" s="4076"/>
      <c r="E106" s="4076"/>
      <c r="F106" s="4076"/>
      <c r="G106" s="4076"/>
      <c r="H106" s="4076"/>
      <c r="I106" s="4076"/>
      <c r="J106" s="4076"/>
      <c r="K106" s="4076"/>
      <c r="L106" s="4076"/>
      <c r="M106" s="4076"/>
      <c r="N106" s="4076"/>
      <c r="O106" s="4076"/>
      <c r="P106" s="4076"/>
      <c r="Q106" s="4076"/>
      <c r="R106" s="4076"/>
      <c r="S106" s="4076"/>
      <c r="T106" s="4076"/>
      <c r="U106" s="4076"/>
      <c r="V106" s="4076"/>
      <c r="W106" s="4076"/>
      <c r="X106" s="4077"/>
      <c r="Y106" s="3999"/>
      <c r="Z106" s="4004"/>
      <c r="AA106" s="4005"/>
      <c r="AB106" s="4006"/>
      <c r="AC106" s="152"/>
      <c r="AG106" s="73"/>
      <c r="AH106" s="73"/>
      <c r="AI106" s="73"/>
      <c r="AJ106" s="73"/>
    </row>
    <row r="107" spans="1:36" ht="17.25" thickBot="1" x14ac:dyDescent="0.3">
      <c r="A107" s="152"/>
      <c r="B107" s="4078"/>
      <c r="C107" s="4079"/>
      <c r="D107" s="4079"/>
      <c r="E107" s="4079"/>
      <c r="F107" s="4079"/>
      <c r="G107" s="4079"/>
      <c r="H107" s="4079"/>
      <c r="I107" s="4079"/>
      <c r="J107" s="4079"/>
      <c r="K107" s="4079"/>
      <c r="L107" s="4079"/>
      <c r="M107" s="4079"/>
      <c r="N107" s="4079"/>
      <c r="O107" s="4079"/>
      <c r="P107" s="4079"/>
      <c r="Q107" s="4079"/>
      <c r="R107" s="4079"/>
      <c r="S107" s="4079"/>
      <c r="T107" s="4079"/>
      <c r="U107" s="4079"/>
      <c r="V107" s="4079"/>
      <c r="W107" s="4079"/>
      <c r="X107" s="4080"/>
      <c r="Y107" s="4000"/>
      <c r="Z107" s="4007"/>
      <c r="AA107" s="4008"/>
      <c r="AB107" s="4009"/>
      <c r="AC107" s="152"/>
      <c r="AG107" s="73"/>
      <c r="AH107" s="73"/>
      <c r="AI107" s="73"/>
      <c r="AJ107" s="73"/>
    </row>
    <row r="108" spans="1:36" x14ac:dyDescent="0.25">
      <c r="A108" s="152"/>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c r="AA108" s="155"/>
      <c r="AB108" s="155"/>
      <c r="AC108" s="152"/>
      <c r="AG108" s="73"/>
      <c r="AH108" s="73"/>
      <c r="AI108" s="73"/>
      <c r="AJ108" s="73"/>
    </row>
    <row r="109" spans="1:36" x14ac:dyDescent="0.25">
      <c r="A109" s="152"/>
      <c r="B109" s="4110" t="s">
        <v>918</v>
      </c>
      <c r="C109" s="4110"/>
      <c r="D109" s="4110"/>
      <c r="E109" s="4110"/>
      <c r="F109" s="4110"/>
      <c r="G109" s="4110"/>
      <c r="H109" s="4110"/>
      <c r="I109" s="4110"/>
      <c r="J109" s="4110"/>
      <c r="K109" s="4110"/>
      <c r="L109" s="4110"/>
      <c r="M109" s="4110"/>
      <c r="N109" s="4110"/>
      <c r="O109" s="4110"/>
      <c r="P109" s="4110"/>
      <c r="Q109" s="4110"/>
      <c r="R109" s="4110"/>
      <c r="S109" s="4110"/>
      <c r="T109" s="4110"/>
      <c r="U109" s="4110"/>
      <c r="V109" s="4110"/>
      <c r="W109" s="4110"/>
      <c r="X109" s="4110"/>
      <c r="Y109" s="4110"/>
      <c r="Z109" s="4110"/>
      <c r="AA109" s="4110"/>
      <c r="AB109" s="152"/>
      <c r="AC109" s="152"/>
      <c r="AG109" s="73"/>
      <c r="AH109" s="73"/>
      <c r="AI109" s="73"/>
      <c r="AJ109" s="73"/>
    </row>
    <row r="110" spans="1:36" x14ac:dyDescent="0.25">
      <c r="A110" s="152"/>
      <c r="B110" s="165"/>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7"/>
      <c r="AB110" s="168"/>
      <c r="AC110" s="152"/>
      <c r="AG110" s="73"/>
      <c r="AH110" s="73"/>
      <c r="AI110" s="73"/>
      <c r="AJ110" s="73"/>
    </row>
    <row r="111" spans="1:36" ht="80.25" customHeight="1" x14ac:dyDescent="0.25">
      <c r="A111" s="152"/>
      <c r="B111" s="169"/>
      <c r="C111" s="4111" t="s">
        <v>1834</v>
      </c>
      <c r="D111" s="4112"/>
      <c r="E111" s="4112"/>
      <c r="F111" s="4112"/>
      <c r="G111" s="4112"/>
      <c r="H111" s="4112"/>
      <c r="I111" s="4112"/>
      <c r="J111" s="4112"/>
      <c r="K111" s="4112"/>
      <c r="L111" s="4112"/>
      <c r="M111" s="4112"/>
      <c r="N111" s="4112"/>
      <c r="O111" s="4112"/>
      <c r="P111" s="4112"/>
      <c r="Q111" s="4112"/>
      <c r="R111" s="4112"/>
      <c r="S111" s="4112"/>
      <c r="T111" s="4112"/>
      <c r="U111" s="4112"/>
      <c r="V111" s="4112"/>
      <c r="W111" s="4112"/>
      <c r="X111" s="4112"/>
      <c r="Y111" s="4112"/>
      <c r="Z111" s="4112"/>
      <c r="AA111" s="4113"/>
      <c r="AB111" s="170"/>
      <c r="AC111" s="152"/>
      <c r="AG111" s="73"/>
      <c r="AH111" s="73"/>
      <c r="AI111" s="73"/>
      <c r="AJ111" s="73"/>
    </row>
    <row r="112" spans="1:36" ht="80.25" customHeight="1" x14ac:dyDescent="0.25">
      <c r="A112" s="152"/>
      <c r="B112" s="169"/>
      <c r="C112" s="4114"/>
      <c r="D112" s="4115"/>
      <c r="E112" s="4115"/>
      <c r="F112" s="4115"/>
      <c r="G112" s="4115"/>
      <c r="H112" s="4115"/>
      <c r="I112" s="4115"/>
      <c r="J112" s="4115"/>
      <c r="K112" s="4115"/>
      <c r="L112" s="4115"/>
      <c r="M112" s="4115"/>
      <c r="N112" s="4115"/>
      <c r="O112" s="4115"/>
      <c r="P112" s="4115"/>
      <c r="Q112" s="4115"/>
      <c r="R112" s="4115"/>
      <c r="S112" s="4115"/>
      <c r="T112" s="4115"/>
      <c r="U112" s="4115"/>
      <c r="V112" s="4115"/>
      <c r="W112" s="4115"/>
      <c r="X112" s="4115"/>
      <c r="Y112" s="4115"/>
      <c r="Z112" s="4115"/>
      <c r="AA112" s="4116"/>
      <c r="AB112" s="170"/>
      <c r="AC112" s="155"/>
      <c r="AG112" s="73"/>
      <c r="AH112" s="73"/>
      <c r="AI112" s="73"/>
      <c r="AJ112" s="73"/>
    </row>
    <row r="113" spans="1:36" x14ac:dyDescent="0.25">
      <c r="A113" s="152"/>
      <c r="B113" s="171"/>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67"/>
      <c r="AB113" s="173"/>
      <c r="AC113" s="152"/>
      <c r="AG113" s="73"/>
      <c r="AH113" s="73"/>
      <c r="AI113" s="73"/>
      <c r="AJ113" s="73"/>
    </row>
    <row r="114" spans="1:36" x14ac:dyDescent="0.25">
      <c r="A114" s="152"/>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c r="AA114" s="155"/>
      <c r="AB114" s="155"/>
      <c r="AC114" s="152"/>
      <c r="AG114" s="73"/>
      <c r="AH114" s="73"/>
      <c r="AI114" s="73"/>
      <c r="AJ114" s="73"/>
    </row>
    <row r="115" spans="1:36" x14ac:dyDescent="0.25">
      <c r="A115" s="152"/>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52"/>
      <c r="AC115" s="152"/>
      <c r="AG115" s="73"/>
      <c r="AH115" s="73"/>
      <c r="AI115" s="73"/>
      <c r="AJ115" s="73"/>
    </row>
    <row r="116" spans="1:36" x14ac:dyDescent="0.25">
      <c r="A116" s="152"/>
      <c r="B116" s="155"/>
      <c r="C116" s="4108" t="s">
        <v>919</v>
      </c>
      <c r="D116" s="4108"/>
      <c r="E116" s="4108"/>
      <c r="F116" s="4108"/>
      <c r="G116" s="4108"/>
      <c r="H116" s="4108"/>
      <c r="I116" s="4108"/>
      <c r="J116" s="4108"/>
      <c r="K116" s="4108"/>
      <c r="L116" s="4108"/>
      <c r="M116" s="4108"/>
      <c r="N116" s="4108"/>
      <c r="O116" s="4108"/>
      <c r="P116" s="4108"/>
      <c r="Q116" s="4108"/>
      <c r="R116" s="4108"/>
      <c r="S116" s="4108"/>
      <c r="T116" s="4108"/>
      <c r="U116" s="4108"/>
      <c r="V116" s="4108"/>
      <c r="W116" s="4108"/>
      <c r="X116" s="4108"/>
      <c r="Y116" s="4108"/>
      <c r="Z116" s="4108"/>
      <c r="AA116" s="4108"/>
      <c r="AB116" s="4108"/>
      <c r="AC116" s="152"/>
      <c r="AG116" s="73"/>
      <c r="AH116" s="73"/>
      <c r="AI116" s="73"/>
      <c r="AJ116" s="73"/>
    </row>
    <row r="117" spans="1:36" ht="16.5" customHeight="1" x14ac:dyDescent="0.25">
      <c r="A117" s="152"/>
      <c r="B117" s="155"/>
      <c r="C117" s="1565"/>
      <c r="D117" s="4109" t="s">
        <v>983</v>
      </c>
      <c r="E117" s="4109"/>
      <c r="F117" s="4109"/>
      <c r="G117" s="4109"/>
      <c r="H117" s="4109"/>
      <c r="I117" s="4109"/>
      <c r="J117" s="4109"/>
      <c r="K117" s="4109"/>
      <c r="L117" s="4109"/>
      <c r="M117" s="4109"/>
      <c r="N117" s="4109"/>
      <c r="O117" s="3986"/>
      <c r="P117" s="3986"/>
      <c r="Q117" s="3986"/>
      <c r="R117" s="3986"/>
      <c r="S117" s="3986" t="s">
        <v>920</v>
      </c>
      <c r="T117" s="3986"/>
      <c r="U117" s="3986"/>
      <c r="V117" s="1566"/>
      <c r="W117" s="1566"/>
      <c r="X117" s="1566"/>
      <c r="Y117" s="1566"/>
      <c r="Z117" s="1566"/>
      <c r="AA117" s="1566"/>
      <c r="AB117" s="152"/>
      <c r="AC117" s="152"/>
      <c r="AG117" s="73"/>
      <c r="AH117" s="73"/>
      <c r="AI117" s="73"/>
      <c r="AJ117" s="73"/>
    </row>
    <row r="118" spans="1:36" ht="16.5" customHeight="1" x14ac:dyDescent="0.25">
      <c r="A118" s="152"/>
      <c r="B118" s="155"/>
      <c r="C118" s="1565"/>
      <c r="D118" s="4109" t="s">
        <v>984</v>
      </c>
      <c r="E118" s="4109"/>
      <c r="F118" s="4109"/>
      <c r="G118" s="4109"/>
      <c r="H118" s="4109"/>
      <c r="I118" s="4109"/>
      <c r="J118" s="4109"/>
      <c r="K118" s="4109"/>
      <c r="L118" s="4109"/>
      <c r="M118" s="4109"/>
      <c r="N118" s="4109"/>
      <c r="O118" s="3986"/>
      <c r="P118" s="3986"/>
      <c r="Q118" s="3986"/>
      <c r="R118" s="3986"/>
      <c r="S118" s="3986" t="s">
        <v>920</v>
      </c>
      <c r="T118" s="3986"/>
      <c r="U118" s="3986"/>
      <c r="V118" s="1566"/>
      <c r="W118" s="1566"/>
      <c r="X118" s="1566"/>
      <c r="Y118" s="1566"/>
      <c r="Z118" s="1566"/>
      <c r="AA118" s="1566"/>
      <c r="AB118" s="1566"/>
      <c r="AC118" s="152"/>
      <c r="AG118" s="73"/>
      <c r="AH118" s="73"/>
      <c r="AI118" s="73"/>
      <c r="AJ118" s="73"/>
    </row>
    <row r="119" spans="1:36" x14ac:dyDescent="0.25">
      <c r="A119" s="152"/>
      <c r="B119" s="155"/>
      <c r="C119" s="1565"/>
      <c r="D119" s="1565"/>
      <c r="E119" s="1565"/>
      <c r="F119" s="1565"/>
      <c r="G119" s="1565"/>
      <c r="H119" s="1565"/>
      <c r="I119" s="1565"/>
      <c r="J119" s="1565"/>
      <c r="K119" s="1565"/>
      <c r="L119" s="1565"/>
      <c r="M119" s="1565"/>
      <c r="N119" s="1565"/>
      <c r="O119" s="1565"/>
      <c r="P119" s="1565"/>
      <c r="Q119" s="1565"/>
      <c r="R119" s="1565"/>
      <c r="S119" s="1565"/>
      <c r="T119" s="1565"/>
      <c r="U119" s="1565"/>
      <c r="V119" s="1565"/>
      <c r="W119" s="1565"/>
      <c r="X119" s="1565"/>
      <c r="Y119" s="1565"/>
      <c r="Z119" s="1565"/>
      <c r="AA119" s="1565"/>
      <c r="AB119" s="1565"/>
      <c r="AC119" s="152"/>
      <c r="AG119" s="73"/>
      <c r="AH119" s="73"/>
      <c r="AI119" s="73"/>
      <c r="AJ119" s="73"/>
    </row>
    <row r="120" spans="1:36" ht="16.5" customHeight="1" x14ac:dyDescent="0.25">
      <c r="A120" s="151"/>
      <c r="B120" s="4053" t="s">
        <v>901</v>
      </c>
      <c r="C120" s="4054"/>
      <c r="D120" s="4054"/>
      <c r="E120" s="4054"/>
      <c r="F120" s="4054"/>
      <c r="G120" s="4054"/>
      <c r="H120" s="4054"/>
      <c r="I120" s="4054"/>
      <c r="J120" s="4054"/>
      <c r="K120" s="4054"/>
      <c r="L120" s="4055"/>
      <c r="M120" s="4099" t="s">
        <v>902</v>
      </c>
      <c r="N120" s="4104"/>
      <c r="O120" s="4104"/>
      <c r="P120" s="4104"/>
      <c r="Q120" s="4104"/>
      <c r="R120" s="4104"/>
      <c r="S120" s="4104"/>
      <c r="T120" s="4104"/>
      <c r="U120" s="4104"/>
      <c r="V120" s="4104"/>
      <c r="W120" s="4104"/>
      <c r="X120" s="4104"/>
      <c r="Y120" s="4104"/>
      <c r="Z120" s="4104"/>
      <c r="AA120" s="4100"/>
      <c r="AB120" s="152"/>
      <c r="AC120" s="152"/>
      <c r="AG120" s="73"/>
      <c r="AH120" s="73"/>
      <c r="AI120" s="73"/>
      <c r="AJ120" s="73"/>
    </row>
    <row r="121" spans="1:36" x14ac:dyDescent="0.25">
      <c r="A121" s="151"/>
      <c r="B121" s="4056"/>
      <c r="C121" s="4057"/>
      <c r="D121" s="4057"/>
      <c r="E121" s="4057"/>
      <c r="F121" s="4057"/>
      <c r="G121" s="4057"/>
      <c r="H121" s="4057"/>
      <c r="I121" s="4057"/>
      <c r="J121" s="4057"/>
      <c r="K121" s="4057"/>
      <c r="L121" s="4058"/>
      <c r="M121" s="4105"/>
      <c r="N121" s="4106"/>
      <c r="O121" s="4106"/>
      <c r="P121" s="4106"/>
      <c r="Q121" s="4106"/>
      <c r="R121" s="4106"/>
      <c r="S121" s="4106"/>
      <c r="T121" s="4106"/>
      <c r="U121" s="4106"/>
      <c r="V121" s="4106"/>
      <c r="W121" s="4106"/>
      <c r="X121" s="4106"/>
      <c r="Y121" s="4106"/>
      <c r="Z121" s="4106"/>
      <c r="AA121" s="4107"/>
      <c r="AB121" s="152"/>
      <c r="AC121" s="152"/>
      <c r="AG121" s="73"/>
      <c r="AH121" s="73"/>
      <c r="AI121" s="73"/>
      <c r="AJ121" s="73"/>
    </row>
    <row r="122" spans="1:36" ht="16.5" customHeight="1" x14ac:dyDescent="0.25">
      <c r="A122" s="151"/>
      <c r="B122" s="4056"/>
      <c r="C122" s="4057"/>
      <c r="D122" s="4057"/>
      <c r="E122" s="4057"/>
      <c r="F122" s="4057"/>
      <c r="G122" s="4057"/>
      <c r="H122" s="4057"/>
      <c r="I122" s="4057"/>
      <c r="J122" s="4057"/>
      <c r="K122" s="4057"/>
      <c r="L122" s="4058"/>
      <c r="M122" s="4099" t="s">
        <v>921</v>
      </c>
      <c r="N122" s="4104"/>
      <c r="O122" s="4100"/>
      <c r="P122" s="4099" t="s">
        <v>904</v>
      </c>
      <c r="Q122" s="4104"/>
      <c r="R122" s="4104"/>
      <c r="S122" s="4104"/>
      <c r="T122" s="4100"/>
      <c r="U122" s="4099" t="s">
        <v>905</v>
      </c>
      <c r="V122" s="4100"/>
      <c r="W122" s="4099" t="s">
        <v>906</v>
      </c>
      <c r="X122" s="4100"/>
      <c r="Y122" s="4099" t="s">
        <v>907</v>
      </c>
      <c r="Z122" s="4104"/>
      <c r="AA122" s="4100"/>
      <c r="AB122" s="152"/>
      <c r="AC122" s="152"/>
      <c r="AG122" s="73"/>
      <c r="AH122" s="73"/>
      <c r="AI122" s="73"/>
      <c r="AJ122" s="73"/>
    </row>
    <row r="123" spans="1:36" ht="27" customHeight="1" x14ac:dyDescent="0.25">
      <c r="A123" s="151"/>
      <c r="B123" s="4056"/>
      <c r="C123" s="4057"/>
      <c r="D123" s="4057"/>
      <c r="E123" s="4057"/>
      <c r="F123" s="4057"/>
      <c r="G123" s="4057"/>
      <c r="H123" s="4057"/>
      <c r="I123" s="4057"/>
      <c r="J123" s="4057"/>
      <c r="K123" s="4057"/>
      <c r="L123" s="4058"/>
      <c r="M123" s="4105"/>
      <c r="N123" s="4106"/>
      <c r="O123" s="4107"/>
      <c r="P123" s="4105"/>
      <c r="Q123" s="4106"/>
      <c r="R123" s="4106"/>
      <c r="S123" s="4106"/>
      <c r="T123" s="4107"/>
      <c r="U123" s="4105"/>
      <c r="V123" s="4107"/>
      <c r="W123" s="4105"/>
      <c r="X123" s="4107"/>
      <c r="Y123" s="4105"/>
      <c r="Z123" s="4106"/>
      <c r="AA123" s="4107"/>
      <c r="AB123" s="152"/>
      <c r="AC123" s="152"/>
      <c r="AG123" s="73"/>
      <c r="AH123" s="73"/>
      <c r="AI123" s="73"/>
      <c r="AJ123" s="73"/>
    </row>
    <row r="124" spans="1:36" x14ac:dyDescent="0.25">
      <c r="A124" s="151"/>
      <c r="B124" s="4059"/>
      <c r="C124" s="4060"/>
      <c r="D124" s="4060"/>
      <c r="E124" s="4060"/>
      <c r="F124" s="4060"/>
      <c r="G124" s="4060"/>
      <c r="H124" s="4060"/>
      <c r="I124" s="4060"/>
      <c r="J124" s="4060"/>
      <c r="K124" s="4060"/>
      <c r="L124" s="4061"/>
      <c r="M124" s="4099">
        <v>1</v>
      </c>
      <c r="N124" s="4104"/>
      <c r="O124" s="4100"/>
      <c r="P124" s="4099">
        <v>2</v>
      </c>
      <c r="Q124" s="4104"/>
      <c r="R124" s="4104"/>
      <c r="S124" s="4104"/>
      <c r="T124" s="4100"/>
      <c r="U124" s="4099">
        <v>3</v>
      </c>
      <c r="V124" s="4100"/>
      <c r="W124" s="4099">
        <v>4</v>
      </c>
      <c r="X124" s="4100"/>
      <c r="Y124" s="4101">
        <v>5</v>
      </c>
      <c r="Z124" s="4102"/>
      <c r="AA124" s="4103"/>
      <c r="AB124" s="152"/>
      <c r="AC124" s="152"/>
      <c r="AG124" s="73"/>
      <c r="AH124" s="73"/>
      <c r="AI124" s="73"/>
      <c r="AJ124" s="73"/>
    </row>
    <row r="125" spans="1:36" ht="18.75" customHeight="1" x14ac:dyDescent="0.25">
      <c r="A125" s="151"/>
      <c r="B125" s="4034" t="s">
        <v>983</v>
      </c>
      <c r="C125" s="4035"/>
      <c r="D125" s="4035"/>
      <c r="E125" s="4035"/>
      <c r="F125" s="4035"/>
      <c r="G125" s="4035"/>
      <c r="H125" s="4035"/>
      <c r="I125" s="4035"/>
      <c r="J125" s="4035"/>
      <c r="K125" s="4035"/>
      <c r="L125" s="4036"/>
      <c r="M125" s="4041"/>
      <c r="N125" s="4041"/>
      <c r="O125" s="4041"/>
      <c r="P125" s="4041"/>
      <c r="Q125" s="4041"/>
      <c r="R125" s="4041"/>
      <c r="S125" s="4041"/>
      <c r="T125" s="4041"/>
      <c r="U125" s="4041"/>
      <c r="V125" s="4041"/>
      <c r="W125" s="4041"/>
      <c r="X125" s="4041"/>
      <c r="Y125" s="4042"/>
      <c r="Z125" s="4043"/>
      <c r="AA125" s="4044"/>
      <c r="AB125" s="152"/>
      <c r="AC125" s="152"/>
      <c r="AD125" s="73">
        <v>3</v>
      </c>
      <c r="AG125" s="73"/>
      <c r="AH125" s="73"/>
      <c r="AI125" s="73"/>
      <c r="AJ125" s="73"/>
    </row>
    <row r="126" spans="1:36" ht="18.75" customHeight="1" thickBot="1" x14ac:dyDescent="0.3">
      <c r="A126" s="151"/>
      <c r="B126" s="4034" t="s">
        <v>984</v>
      </c>
      <c r="C126" s="4035"/>
      <c r="D126" s="4035"/>
      <c r="E126" s="4035"/>
      <c r="F126" s="4035"/>
      <c r="G126" s="4035"/>
      <c r="H126" s="4035"/>
      <c r="I126" s="4035"/>
      <c r="J126" s="4035"/>
      <c r="K126" s="4035"/>
      <c r="L126" s="4036"/>
      <c r="M126" s="4037"/>
      <c r="N126" s="4037"/>
      <c r="O126" s="4037"/>
      <c r="P126" s="4037"/>
      <c r="Q126" s="4037"/>
      <c r="R126" s="4037"/>
      <c r="S126" s="4037"/>
      <c r="T126" s="4037"/>
      <c r="U126" s="4037"/>
      <c r="V126" s="4037"/>
      <c r="W126" s="4037"/>
      <c r="X126" s="4037"/>
      <c r="Y126" s="4038"/>
      <c r="Z126" s="4039"/>
      <c r="AA126" s="4040"/>
      <c r="AB126" s="152"/>
      <c r="AC126" s="152"/>
      <c r="AD126" s="73">
        <v>3</v>
      </c>
      <c r="AG126" s="73"/>
      <c r="AH126" s="73"/>
      <c r="AI126" s="73"/>
      <c r="AJ126" s="73"/>
    </row>
    <row r="127" spans="1:36" ht="18.75" customHeight="1" x14ac:dyDescent="0.25">
      <c r="A127" s="151"/>
      <c r="B127" s="4027" t="s">
        <v>914</v>
      </c>
      <c r="C127" s="4028"/>
      <c r="D127" s="4028"/>
      <c r="E127" s="4028"/>
      <c r="F127" s="4028"/>
      <c r="G127" s="4028"/>
      <c r="H127" s="4028"/>
      <c r="I127" s="4028"/>
      <c r="J127" s="4028"/>
      <c r="K127" s="4028"/>
      <c r="L127" s="4028"/>
      <c r="M127" s="4094">
        <f>COUNTIF(AD125:AD126,"1")*M124</f>
        <v>0</v>
      </c>
      <c r="N127" s="4095"/>
      <c r="O127" s="4095"/>
      <c r="P127" s="4095">
        <f>COUNTIF(AD125:AD126,"2")*P124</f>
        <v>0</v>
      </c>
      <c r="Q127" s="4095"/>
      <c r="R127" s="4095"/>
      <c r="S127" s="4095"/>
      <c r="T127" s="4095"/>
      <c r="U127" s="4095">
        <f>COUNTIF(AD125:AD126,"3")*U124</f>
        <v>6</v>
      </c>
      <c r="V127" s="4095"/>
      <c r="W127" s="4095">
        <f>COUNTIF(AD125:AD126,"4")*W124</f>
        <v>0</v>
      </c>
      <c r="X127" s="4095"/>
      <c r="Y127" s="4096">
        <f>COUNTIF(AD125:AD126,"5")*Y124</f>
        <v>0</v>
      </c>
      <c r="Z127" s="4097"/>
      <c r="AA127" s="4098"/>
      <c r="AB127" s="152"/>
      <c r="AC127" s="152"/>
      <c r="AG127" s="73"/>
      <c r="AH127" s="73"/>
      <c r="AI127" s="73"/>
      <c r="AJ127" s="73"/>
    </row>
    <row r="128" spans="1:36" x14ac:dyDescent="0.35">
      <c r="A128" s="151"/>
      <c r="B128" s="4013" t="s">
        <v>235</v>
      </c>
      <c r="C128" s="3809"/>
      <c r="D128" s="3809"/>
      <c r="E128" s="3809"/>
      <c r="F128" s="3809"/>
      <c r="G128" s="3809"/>
      <c r="H128" s="3809"/>
      <c r="I128" s="3809"/>
      <c r="J128" s="3809"/>
      <c r="K128" s="3809"/>
      <c r="L128" s="3750"/>
      <c r="M128" s="4088">
        <f>SUM(M127:AA127)</f>
        <v>6</v>
      </c>
      <c r="N128" s="4089"/>
      <c r="O128" s="4089"/>
      <c r="P128" s="4089"/>
      <c r="Q128" s="4089"/>
      <c r="R128" s="4089"/>
      <c r="S128" s="4089"/>
      <c r="T128" s="4089"/>
      <c r="U128" s="4089"/>
      <c r="V128" s="4089"/>
      <c r="W128" s="4089"/>
      <c r="X128" s="4089"/>
      <c r="Y128" s="4089"/>
      <c r="Z128" s="4089"/>
      <c r="AA128" s="4090"/>
      <c r="AB128" s="152"/>
      <c r="AC128" s="152"/>
      <c r="AG128" s="73"/>
      <c r="AH128" s="73"/>
      <c r="AI128" s="73"/>
      <c r="AJ128" s="73"/>
    </row>
    <row r="129" spans="1:36" ht="31.5" customHeight="1" x14ac:dyDescent="0.25">
      <c r="A129" s="151"/>
      <c r="B129" s="4017" t="s">
        <v>922</v>
      </c>
      <c r="C129" s="3028"/>
      <c r="D129" s="3028"/>
      <c r="E129" s="3028"/>
      <c r="F129" s="3028"/>
      <c r="G129" s="3028"/>
      <c r="H129" s="3028"/>
      <c r="I129" s="3028"/>
      <c r="J129" s="3028"/>
      <c r="K129" s="3028"/>
      <c r="L129" s="3082"/>
      <c r="M129" s="4091">
        <f>IFERROR((M128/AF129),"0")</f>
        <v>3</v>
      </c>
      <c r="N129" s="4092"/>
      <c r="O129" s="4092"/>
      <c r="P129" s="4092"/>
      <c r="Q129" s="4092"/>
      <c r="R129" s="4092"/>
      <c r="S129" s="4092"/>
      <c r="T129" s="4092"/>
      <c r="U129" s="4092"/>
      <c r="V129" s="4092"/>
      <c r="W129" s="4092"/>
      <c r="X129" s="4092"/>
      <c r="Y129" s="4092"/>
      <c r="Z129" s="4092"/>
      <c r="AA129" s="4093"/>
      <c r="AB129" s="152"/>
      <c r="AC129" s="152"/>
      <c r="AF129" s="2414">
        <f>COUNTIF(AD125:AD126,"&gt;0")</f>
        <v>2</v>
      </c>
      <c r="AG129" s="73"/>
      <c r="AH129" s="73"/>
      <c r="AI129" s="73"/>
      <c r="AJ129" s="73"/>
    </row>
    <row r="130" spans="1:36" ht="15" customHeight="1" thickBot="1" x14ac:dyDescent="0.3">
      <c r="A130" s="151"/>
      <c r="B130" s="4021" t="s">
        <v>916</v>
      </c>
      <c r="C130" s="4022"/>
      <c r="D130" s="4022"/>
      <c r="E130" s="4022"/>
      <c r="F130" s="4022"/>
      <c r="G130" s="4022"/>
      <c r="H130" s="4022"/>
      <c r="I130" s="4022"/>
      <c r="J130" s="4022"/>
      <c r="K130" s="4022"/>
      <c r="L130" s="4023"/>
      <c r="M130" s="4024">
        <f>IFERROR((SUM(M101,M129)/2),"0")</f>
        <v>2.1291666666666664</v>
      </c>
      <c r="N130" s="4025"/>
      <c r="O130" s="4025"/>
      <c r="P130" s="4025"/>
      <c r="Q130" s="4025"/>
      <c r="R130" s="4025"/>
      <c r="S130" s="4025"/>
      <c r="T130" s="4025"/>
      <c r="U130" s="4025"/>
      <c r="V130" s="4025"/>
      <c r="W130" s="4025"/>
      <c r="X130" s="4025"/>
      <c r="Y130" s="4025"/>
      <c r="Z130" s="4025"/>
      <c r="AA130" s="4026"/>
      <c r="AB130" s="152"/>
      <c r="AC130" s="152"/>
      <c r="AG130" s="73"/>
      <c r="AH130" s="73"/>
      <c r="AI130" s="73"/>
      <c r="AJ130" s="73"/>
    </row>
    <row r="131" spans="1:36" ht="16.5" customHeight="1" x14ac:dyDescent="0.25">
      <c r="A131" s="152"/>
      <c r="B131" s="152"/>
      <c r="C131" s="152"/>
      <c r="D131" s="152"/>
      <c r="E131" s="152"/>
      <c r="F131" s="152"/>
      <c r="G131" s="152"/>
      <c r="H131" s="152"/>
      <c r="I131" s="152"/>
      <c r="J131" s="152"/>
      <c r="K131" s="152"/>
      <c r="L131" s="152"/>
      <c r="M131" s="151"/>
      <c r="N131" s="151"/>
      <c r="O131" s="151"/>
      <c r="P131" s="151"/>
      <c r="Q131" s="151"/>
      <c r="R131" s="151"/>
      <c r="S131" s="151"/>
      <c r="T131" s="151"/>
      <c r="U131" s="151"/>
      <c r="V131" s="151"/>
      <c r="W131" s="151"/>
      <c r="X131" s="151"/>
      <c r="Y131" s="151"/>
      <c r="Z131" s="151"/>
      <c r="AA131" s="151"/>
      <c r="AB131" s="152"/>
      <c r="AC131" s="152"/>
      <c r="AG131" s="73"/>
      <c r="AH131" s="73"/>
      <c r="AI131" s="73"/>
      <c r="AJ131" s="73"/>
    </row>
    <row r="132" spans="1:36" ht="16.5" customHeight="1" thickBot="1" x14ac:dyDescent="0.3">
      <c r="A132" s="152"/>
      <c r="B132" s="3988" t="s">
        <v>917</v>
      </c>
      <c r="C132" s="3988"/>
      <c r="D132" s="3988"/>
      <c r="E132" s="3988"/>
      <c r="F132" s="3988"/>
      <c r="G132" s="3988"/>
      <c r="H132" s="3988"/>
      <c r="I132" s="3988"/>
      <c r="J132" s="3988"/>
      <c r="K132" s="3988"/>
      <c r="L132" s="3988"/>
      <c r="M132" s="3988"/>
      <c r="N132" s="3988"/>
      <c r="O132" s="3988"/>
      <c r="P132" s="3988"/>
      <c r="Q132" s="3988"/>
      <c r="R132" s="3988"/>
      <c r="S132" s="3988"/>
      <c r="T132" s="3988"/>
      <c r="U132" s="3988"/>
      <c r="V132" s="3988"/>
      <c r="W132" s="3988"/>
      <c r="X132" s="3988"/>
      <c r="Y132" s="3988"/>
      <c r="Z132" s="3988"/>
      <c r="AA132" s="3988"/>
      <c r="AB132" s="3988"/>
      <c r="AC132" s="152"/>
      <c r="AG132" s="73"/>
      <c r="AH132" s="73"/>
      <c r="AI132" s="73"/>
      <c r="AJ132" s="73"/>
    </row>
    <row r="133" spans="1:36" ht="16.5" customHeight="1" x14ac:dyDescent="0.25">
      <c r="A133" s="152"/>
      <c r="B133" s="4072" t="s">
        <v>1835</v>
      </c>
      <c r="C133" s="4073"/>
      <c r="D133" s="4073"/>
      <c r="E133" s="4073"/>
      <c r="F133" s="4073"/>
      <c r="G133" s="4073"/>
      <c r="H133" s="4073"/>
      <c r="I133" s="4073"/>
      <c r="J133" s="4073"/>
      <c r="K133" s="4073"/>
      <c r="L133" s="4073"/>
      <c r="M133" s="4073"/>
      <c r="N133" s="4073"/>
      <c r="O133" s="4073"/>
      <c r="P133" s="4073"/>
      <c r="Q133" s="4073"/>
      <c r="R133" s="4073"/>
      <c r="S133" s="4073"/>
      <c r="T133" s="4073"/>
      <c r="U133" s="4073"/>
      <c r="V133" s="4073"/>
      <c r="W133" s="4073"/>
      <c r="X133" s="4074"/>
      <c r="Y133" s="4081">
        <f>M130</f>
        <v>2.1291666666666664</v>
      </c>
      <c r="Z133" s="4084" t="str">
        <f>IF(ROUND(Y133,0)&lt;=1,"MINIMUM RISK",IF(ROUND(Y133,0)=2,"ACCEPTABLE RISK ",IF(ROUND(Y133,0)=3,"AVERAGE RISK",IF(ROUND(Y133,0)=4,"ALLOWABLE RIKS",IF(ROUND(Y133,0)=5,"MARGINAL RISK")))))</f>
        <v xml:space="preserve">ACCEPTABLE RISK </v>
      </c>
      <c r="AA133" s="4002"/>
      <c r="AB133" s="4002"/>
      <c r="AC133" s="4003"/>
      <c r="AG133" s="73"/>
      <c r="AH133" s="73"/>
      <c r="AI133" s="73"/>
      <c r="AJ133" s="73"/>
    </row>
    <row r="134" spans="1:36" ht="66.75" customHeight="1" x14ac:dyDescent="0.25">
      <c r="A134" s="152"/>
      <c r="B134" s="4075"/>
      <c r="C134" s="4076"/>
      <c r="D134" s="4076"/>
      <c r="E134" s="4076"/>
      <c r="F134" s="4076"/>
      <c r="G134" s="4076"/>
      <c r="H134" s="4076"/>
      <c r="I134" s="4076"/>
      <c r="J134" s="4076"/>
      <c r="K134" s="4076"/>
      <c r="L134" s="4076"/>
      <c r="M134" s="4076"/>
      <c r="N134" s="4076"/>
      <c r="O134" s="4076"/>
      <c r="P134" s="4076"/>
      <c r="Q134" s="4076"/>
      <c r="R134" s="4076"/>
      <c r="S134" s="4076"/>
      <c r="T134" s="4076"/>
      <c r="U134" s="4076"/>
      <c r="V134" s="4076"/>
      <c r="W134" s="4076"/>
      <c r="X134" s="4077"/>
      <c r="Y134" s="4082"/>
      <c r="Z134" s="4085"/>
      <c r="AA134" s="4005"/>
      <c r="AB134" s="4005"/>
      <c r="AC134" s="4006"/>
      <c r="AG134" s="73"/>
      <c r="AH134" s="73"/>
      <c r="AI134" s="73"/>
      <c r="AJ134" s="73"/>
    </row>
    <row r="135" spans="1:36" ht="66.75" customHeight="1" thickBot="1" x14ac:dyDescent="0.3">
      <c r="A135" s="152"/>
      <c r="B135" s="4078"/>
      <c r="C135" s="4079"/>
      <c r="D135" s="4079"/>
      <c r="E135" s="4079"/>
      <c r="F135" s="4079"/>
      <c r="G135" s="4079"/>
      <c r="H135" s="4079"/>
      <c r="I135" s="4079"/>
      <c r="J135" s="4079"/>
      <c r="K135" s="4079"/>
      <c r="L135" s="4079"/>
      <c r="M135" s="4079"/>
      <c r="N135" s="4079"/>
      <c r="O135" s="4079"/>
      <c r="P135" s="4079"/>
      <c r="Q135" s="4079"/>
      <c r="R135" s="4079"/>
      <c r="S135" s="4079"/>
      <c r="T135" s="4079"/>
      <c r="U135" s="4079"/>
      <c r="V135" s="4079"/>
      <c r="W135" s="4079"/>
      <c r="X135" s="4080"/>
      <c r="Y135" s="4083"/>
      <c r="Z135" s="4086"/>
      <c r="AA135" s="4008"/>
      <c r="AB135" s="4008"/>
      <c r="AC135" s="4009"/>
      <c r="AG135" s="73"/>
      <c r="AH135" s="73"/>
      <c r="AI135" s="73"/>
      <c r="AJ135" s="73"/>
    </row>
    <row r="136" spans="1:36" x14ac:dyDescent="0.25">
      <c r="A136" s="152"/>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c r="AA136" s="155"/>
      <c r="AB136" s="155"/>
      <c r="AC136" s="152"/>
      <c r="AG136" s="73"/>
      <c r="AH136" s="73"/>
      <c r="AI136" s="73"/>
      <c r="AJ136" s="73"/>
    </row>
    <row r="137" spans="1:36" x14ac:dyDescent="0.25">
      <c r="A137" s="152"/>
      <c r="B137" s="152"/>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G137" s="73"/>
      <c r="AH137" s="73"/>
      <c r="AI137" s="73"/>
      <c r="AJ137" s="73"/>
    </row>
    <row r="138" spans="1:36" ht="22.5" customHeight="1" x14ac:dyDescent="0.25">
      <c r="A138" s="152"/>
      <c r="B138" s="4087" t="s">
        <v>923</v>
      </c>
      <c r="C138" s="4087"/>
      <c r="D138" s="4087"/>
      <c r="E138" s="4087"/>
      <c r="F138" s="4087"/>
      <c r="G138" s="4087"/>
      <c r="H138" s="4087"/>
      <c r="I138" s="4087"/>
      <c r="J138" s="4087"/>
      <c r="K138" s="4087"/>
      <c r="L138" s="4087"/>
      <c r="M138" s="4087"/>
      <c r="N138" s="2417" t="s">
        <v>0</v>
      </c>
      <c r="O138" s="1567">
        <f>M130</f>
        <v>2.1291666666666664</v>
      </c>
      <c r="P138" s="2417"/>
      <c r="Q138" s="576"/>
      <c r="R138" s="576"/>
      <c r="S138" s="576"/>
      <c r="T138" s="576"/>
      <c r="U138" s="576"/>
      <c r="V138" s="576"/>
      <c r="W138" s="576"/>
      <c r="X138" s="576"/>
      <c r="Y138" s="576"/>
      <c r="Z138" s="576"/>
      <c r="AA138" s="576"/>
      <c r="AB138" s="152"/>
      <c r="AC138" s="152"/>
      <c r="AG138" s="73"/>
      <c r="AH138" s="73"/>
      <c r="AI138" s="73"/>
      <c r="AJ138" s="73"/>
    </row>
    <row r="139" spans="1:36" x14ac:dyDescent="0.25">
      <c r="A139" s="152"/>
      <c r="B139" s="15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76"/>
      <c r="AG139" s="73"/>
      <c r="AH139" s="73"/>
      <c r="AI139" s="73"/>
      <c r="AJ139" s="73"/>
    </row>
    <row r="140" spans="1:36" ht="16.5" customHeight="1" x14ac:dyDescent="0.25">
      <c r="A140" s="151"/>
      <c r="B140" s="4087" t="s">
        <v>924</v>
      </c>
      <c r="C140" s="4087"/>
      <c r="D140" s="4087"/>
      <c r="E140" s="4087"/>
      <c r="F140" s="4087"/>
      <c r="G140" s="4087"/>
      <c r="H140" s="4087"/>
      <c r="I140" s="4087"/>
      <c r="J140" s="4087"/>
      <c r="K140" s="4087"/>
      <c r="L140" s="4087"/>
      <c r="M140" s="4087"/>
      <c r="N140" s="4087"/>
      <c r="O140" s="4087"/>
      <c r="P140" s="4087"/>
      <c r="Q140" s="4087"/>
      <c r="R140" s="4087"/>
      <c r="S140" s="4087"/>
      <c r="T140" s="4087"/>
      <c r="U140" s="4087"/>
      <c r="V140" s="4087"/>
      <c r="W140" s="4087"/>
      <c r="X140" s="4087"/>
      <c r="Y140" s="4087"/>
      <c r="Z140" s="4087"/>
      <c r="AA140" s="4087"/>
      <c r="AB140" s="151"/>
      <c r="AC140" s="152"/>
      <c r="AD140" s="76"/>
      <c r="AG140" s="73"/>
      <c r="AH140" s="73"/>
      <c r="AI140" s="73"/>
      <c r="AJ140" s="73"/>
    </row>
    <row r="141" spans="1:36" ht="16.5" customHeight="1" x14ac:dyDescent="0.25">
      <c r="A141" s="151"/>
      <c r="B141" s="2418"/>
      <c r="C141" s="2418"/>
      <c r="D141" s="2418"/>
      <c r="E141" s="2418"/>
      <c r="F141" s="2418"/>
      <c r="G141" s="2418"/>
      <c r="H141" s="2418"/>
      <c r="I141" s="2418"/>
      <c r="J141" s="2418"/>
      <c r="K141" s="2418"/>
      <c r="L141" s="2418"/>
      <c r="M141" s="2418"/>
      <c r="N141" s="2418"/>
      <c r="O141" s="2418"/>
      <c r="P141" s="2418"/>
      <c r="Q141" s="2418"/>
      <c r="R141" s="2418"/>
      <c r="S141" s="2418"/>
      <c r="T141" s="2418"/>
      <c r="U141" s="2418"/>
      <c r="V141" s="2418"/>
      <c r="W141" s="2418"/>
      <c r="X141" s="2418"/>
      <c r="Y141" s="2418"/>
      <c r="Z141" s="2418"/>
      <c r="AA141" s="2418"/>
      <c r="AB141" s="151"/>
      <c r="AC141" s="152"/>
      <c r="AD141" s="76"/>
      <c r="AG141" s="73"/>
      <c r="AH141" s="73"/>
      <c r="AI141" s="73"/>
      <c r="AJ141" s="73"/>
    </row>
    <row r="142" spans="1:36" ht="16.5" customHeight="1" x14ac:dyDescent="0.25">
      <c r="A142" s="151"/>
      <c r="B142" s="2418"/>
      <c r="C142" s="4053" t="s">
        <v>901</v>
      </c>
      <c r="D142" s="4054"/>
      <c r="E142" s="4054"/>
      <c r="F142" s="4054"/>
      <c r="G142" s="4054"/>
      <c r="H142" s="4054"/>
      <c r="I142" s="4054"/>
      <c r="J142" s="4054"/>
      <c r="K142" s="4054"/>
      <c r="L142" s="4054"/>
      <c r="M142" s="4055"/>
      <c r="N142" s="4045" t="s">
        <v>925</v>
      </c>
      <c r="O142" s="4062"/>
      <c r="P142" s="4062"/>
      <c r="Q142" s="4062"/>
      <c r="R142" s="4062"/>
      <c r="S142" s="4062"/>
      <c r="T142" s="4062"/>
      <c r="U142" s="4062"/>
      <c r="V142" s="4062"/>
      <c r="W142" s="4062"/>
      <c r="X142" s="4062"/>
      <c r="Y142" s="4062"/>
      <c r="Z142" s="4062"/>
      <c r="AA142" s="4062"/>
      <c r="AB142" s="4046"/>
      <c r="AC142" s="152"/>
      <c r="AD142" s="76"/>
      <c r="AG142" s="73"/>
      <c r="AH142" s="73"/>
      <c r="AI142" s="73"/>
      <c r="AJ142" s="73"/>
    </row>
    <row r="143" spans="1:36" ht="16.5" customHeight="1" x14ac:dyDescent="0.25">
      <c r="A143" s="151"/>
      <c r="B143" s="2418"/>
      <c r="C143" s="4056"/>
      <c r="D143" s="4057"/>
      <c r="E143" s="4057"/>
      <c r="F143" s="4057"/>
      <c r="G143" s="4057"/>
      <c r="H143" s="4057"/>
      <c r="I143" s="4057"/>
      <c r="J143" s="4057"/>
      <c r="K143" s="4057"/>
      <c r="L143" s="4057"/>
      <c r="M143" s="4058"/>
      <c r="N143" s="4063"/>
      <c r="O143" s="4064"/>
      <c r="P143" s="4064"/>
      <c r="Q143" s="4064"/>
      <c r="R143" s="4064"/>
      <c r="S143" s="4064"/>
      <c r="T143" s="4064"/>
      <c r="U143" s="4064"/>
      <c r="V143" s="4064"/>
      <c r="W143" s="4064"/>
      <c r="X143" s="4064"/>
      <c r="Y143" s="4064"/>
      <c r="Z143" s="4064"/>
      <c r="AA143" s="4064"/>
      <c r="AB143" s="4065"/>
      <c r="AC143" s="152"/>
      <c r="AD143" s="76"/>
      <c r="AG143" s="73"/>
      <c r="AH143" s="73"/>
      <c r="AI143" s="73"/>
      <c r="AJ143" s="73"/>
    </row>
    <row r="144" spans="1:36" ht="16.5" customHeight="1" x14ac:dyDescent="0.25">
      <c r="A144" s="151"/>
      <c r="B144" s="2418"/>
      <c r="C144" s="4056"/>
      <c r="D144" s="4057"/>
      <c r="E144" s="4057"/>
      <c r="F144" s="4057"/>
      <c r="G144" s="4057"/>
      <c r="H144" s="4057"/>
      <c r="I144" s="4057"/>
      <c r="J144" s="4057"/>
      <c r="K144" s="4057"/>
      <c r="L144" s="4057"/>
      <c r="M144" s="4058"/>
      <c r="N144" s="4066" t="s">
        <v>903</v>
      </c>
      <c r="O144" s="4067"/>
      <c r="P144" s="4068"/>
      <c r="Q144" s="4045" t="s">
        <v>904</v>
      </c>
      <c r="R144" s="4062"/>
      <c r="S144" s="4062"/>
      <c r="T144" s="4062"/>
      <c r="U144" s="4046"/>
      <c r="V144" s="4045" t="s">
        <v>905</v>
      </c>
      <c r="W144" s="4046"/>
      <c r="X144" s="4045" t="s">
        <v>906</v>
      </c>
      <c r="Y144" s="4046"/>
      <c r="Z144" s="4045" t="s">
        <v>907</v>
      </c>
      <c r="AA144" s="4062"/>
      <c r="AB144" s="4046"/>
      <c r="AC144" s="152"/>
      <c r="AD144" s="76"/>
      <c r="AG144" s="73"/>
      <c r="AH144" s="73"/>
      <c r="AI144" s="73"/>
      <c r="AJ144" s="73"/>
    </row>
    <row r="145" spans="1:36" ht="16.5" customHeight="1" x14ac:dyDescent="0.25">
      <c r="A145" s="151"/>
      <c r="B145" s="2418"/>
      <c r="C145" s="4056"/>
      <c r="D145" s="4057"/>
      <c r="E145" s="4057"/>
      <c r="F145" s="4057"/>
      <c r="G145" s="4057"/>
      <c r="H145" s="4057"/>
      <c r="I145" s="4057"/>
      <c r="J145" s="4057"/>
      <c r="K145" s="4057"/>
      <c r="L145" s="4057"/>
      <c r="M145" s="4058"/>
      <c r="N145" s="4069"/>
      <c r="O145" s="4070"/>
      <c r="P145" s="4071"/>
      <c r="Q145" s="4063"/>
      <c r="R145" s="4064"/>
      <c r="S145" s="4064"/>
      <c r="T145" s="4064"/>
      <c r="U145" s="4065"/>
      <c r="V145" s="4063"/>
      <c r="W145" s="4065"/>
      <c r="X145" s="4063"/>
      <c r="Y145" s="4065"/>
      <c r="Z145" s="4063"/>
      <c r="AA145" s="4064"/>
      <c r="AB145" s="4065"/>
      <c r="AC145" s="152"/>
      <c r="AD145" s="76"/>
      <c r="AG145" s="73"/>
      <c r="AH145" s="73"/>
      <c r="AI145" s="73"/>
      <c r="AJ145" s="73"/>
    </row>
    <row r="146" spans="1:36" ht="16.5" customHeight="1" x14ac:dyDescent="0.25">
      <c r="A146" s="151"/>
      <c r="B146" s="2418"/>
      <c r="C146" s="4059"/>
      <c r="D146" s="4060"/>
      <c r="E146" s="4060"/>
      <c r="F146" s="4060"/>
      <c r="G146" s="4060"/>
      <c r="H146" s="4060"/>
      <c r="I146" s="4060"/>
      <c r="J146" s="4060"/>
      <c r="K146" s="4060"/>
      <c r="L146" s="4060"/>
      <c r="M146" s="4061"/>
      <c r="N146" s="4045">
        <v>1</v>
      </c>
      <c r="O146" s="4062"/>
      <c r="P146" s="4046"/>
      <c r="Q146" s="4045">
        <v>2</v>
      </c>
      <c r="R146" s="4062"/>
      <c r="S146" s="4062"/>
      <c r="T146" s="4062"/>
      <c r="U146" s="4046"/>
      <c r="V146" s="4045">
        <v>3</v>
      </c>
      <c r="W146" s="4046"/>
      <c r="X146" s="4045">
        <v>4</v>
      </c>
      <c r="Y146" s="4046"/>
      <c r="Z146" s="4047">
        <v>5</v>
      </c>
      <c r="AA146" s="4048"/>
      <c r="AB146" s="4049"/>
      <c r="AC146" s="152"/>
      <c r="AD146" s="76"/>
      <c r="AG146" s="73"/>
      <c r="AH146" s="73"/>
      <c r="AI146" s="73"/>
      <c r="AJ146" s="73"/>
    </row>
    <row r="147" spans="1:36" ht="19.5" customHeight="1" x14ac:dyDescent="0.25">
      <c r="A147" s="151"/>
      <c r="B147" s="151"/>
      <c r="C147" s="4050" t="s">
        <v>926</v>
      </c>
      <c r="D147" s="4051"/>
      <c r="E147" s="4051"/>
      <c r="F147" s="4051"/>
      <c r="G147" s="4051"/>
      <c r="H147" s="4051"/>
      <c r="I147" s="4051"/>
      <c r="J147" s="4051"/>
      <c r="K147" s="4051"/>
      <c r="L147" s="4051"/>
      <c r="M147" s="4052"/>
      <c r="N147" s="4041"/>
      <c r="O147" s="4041"/>
      <c r="P147" s="4041"/>
      <c r="Q147" s="4041"/>
      <c r="R147" s="4041"/>
      <c r="S147" s="4041"/>
      <c r="T147" s="4041"/>
      <c r="U147" s="4041"/>
      <c r="V147" s="4041"/>
      <c r="W147" s="4041"/>
      <c r="X147" s="4041"/>
      <c r="Y147" s="4041"/>
      <c r="Z147" s="4042"/>
      <c r="AA147" s="4043"/>
      <c r="AB147" s="4044"/>
      <c r="AC147" s="152"/>
      <c r="AD147" s="76">
        <v>3</v>
      </c>
      <c r="AG147" s="73"/>
      <c r="AH147" s="73"/>
      <c r="AI147" s="73"/>
      <c r="AJ147" s="73"/>
    </row>
    <row r="148" spans="1:36" ht="19.5" customHeight="1" x14ac:dyDescent="0.25">
      <c r="A148" s="151"/>
      <c r="B148" s="151"/>
      <c r="C148" s="4034" t="s">
        <v>927</v>
      </c>
      <c r="D148" s="4035"/>
      <c r="E148" s="4035"/>
      <c r="F148" s="4035"/>
      <c r="G148" s="4035"/>
      <c r="H148" s="4035"/>
      <c r="I148" s="4035"/>
      <c r="J148" s="4035"/>
      <c r="K148" s="4035"/>
      <c r="L148" s="4035"/>
      <c r="M148" s="4036"/>
      <c r="N148" s="4041"/>
      <c r="O148" s="4041"/>
      <c r="P148" s="4041"/>
      <c r="Q148" s="4041"/>
      <c r="R148" s="4041"/>
      <c r="S148" s="4041"/>
      <c r="T148" s="4041"/>
      <c r="U148" s="4041"/>
      <c r="V148" s="4041"/>
      <c r="W148" s="4041"/>
      <c r="X148" s="4041"/>
      <c r="Y148" s="4041"/>
      <c r="Z148" s="4042"/>
      <c r="AA148" s="4043"/>
      <c r="AB148" s="4044"/>
      <c r="AC148" s="152"/>
      <c r="AD148" s="81">
        <v>3</v>
      </c>
      <c r="AG148" s="83"/>
      <c r="AH148" s="73"/>
      <c r="AI148" s="73"/>
      <c r="AJ148" s="73"/>
    </row>
    <row r="149" spans="1:36" ht="19.5" customHeight="1" x14ac:dyDescent="0.25">
      <c r="A149" s="151"/>
      <c r="B149" s="151"/>
      <c r="C149" s="4034" t="s">
        <v>928</v>
      </c>
      <c r="D149" s="4035"/>
      <c r="E149" s="4035"/>
      <c r="F149" s="4035"/>
      <c r="G149" s="4035"/>
      <c r="H149" s="4035"/>
      <c r="I149" s="4035"/>
      <c r="J149" s="4035"/>
      <c r="K149" s="4035"/>
      <c r="L149" s="4035"/>
      <c r="M149" s="4036"/>
      <c r="N149" s="4041"/>
      <c r="O149" s="4041"/>
      <c r="P149" s="4041"/>
      <c r="Q149" s="4041"/>
      <c r="R149" s="4041"/>
      <c r="S149" s="4041"/>
      <c r="T149" s="4041"/>
      <c r="U149" s="4041"/>
      <c r="V149" s="4041"/>
      <c r="W149" s="4041"/>
      <c r="X149" s="4041"/>
      <c r="Y149" s="4041"/>
      <c r="Z149" s="4042"/>
      <c r="AA149" s="4043"/>
      <c r="AB149" s="4044"/>
      <c r="AC149" s="152"/>
      <c r="AD149" s="81">
        <v>3</v>
      </c>
      <c r="AG149" s="83"/>
      <c r="AH149" s="73"/>
      <c r="AI149" s="73"/>
      <c r="AJ149" s="73"/>
    </row>
    <row r="150" spans="1:36" ht="19.5" customHeight="1" x14ac:dyDescent="0.25">
      <c r="A150" s="151"/>
      <c r="B150" s="151"/>
      <c r="C150" s="4034" t="s">
        <v>929</v>
      </c>
      <c r="D150" s="4035"/>
      <c r="E150" s="4035"/>
      <c r="F150" s="4035"/>
      <c r="G150" s="4035"/>
      <c r="H150" s="4035"/>
      <c r="I150" s="4035"/>
      <c r="J150" s="4035"/>
      <c r="K150" s="4035"/>
      <c r="L150" s="4035"/>
      <c r="M150" s="4036"/>
      <c r="N150" s="4041"/>
      <c r="O150" s="4041"/>
      <c r="P150" s="4041"/>
      <c r="Q150" s="4041"/>
      <c r="R150" s="4041"/>
      <c r="S150" s="4041"/>
      <c r="T150" s="4041"/>
      <c r="U150" s="4041"/>
      <c r="V150" s="4041"/>
      <c r="W150" s="4041"/>
      <c r="X150" s="4041"/>
      <c r="Y150" s="4041"/>
      <c r="Z150" s="4042"/>
      <c r="AA150" s="4043"/>
      <c r="AB150" s="4044"/>
      <c r="AC150" s="152"/>
      <c r="AD150" s="81">
        <v>3</v>
      </c>
      <c r="AG150" s="83"/>
      <c r="AH150" s="73"/>
      <c r="AI150" s="73"/>
      <c r="AJ150" s="73"/>
    </row>
    <row r="151" spans="1:36" ht="19.5" customHeight="1" thickBot="1" x14ac:dyDescent="0.3">
      <c r="A151" s="151"/>
      <c r="B151" s="151"/>
      <c r="C151" s="4034" t="s">
        <v>930</v>
      </c>
      <c r="D151" s="4035"/>
      <c r="E151" s="4035"/>
      <c r="F151" s="4035"/>
      <c r="G151" s="4035"/>
      <c r="H151" s="4035"/>
      <c r="I151" s="4035"/>
      <c r="J151" s="4035"/>
      <c r="K151" s="4035"/>
      <c r="L151" s="4035"/>
      <c r="M151" s="4036"/>
      <c r="N151" s="4037"/>
      <c r="O151" s="4037"/>
      <c r="P151" s="4037"/>
      <c r="Q151" s="4037"/>
      <c r="R151" s="4037"/>
      <c r="S151" s="4037"/>
      <c r="T151" s="4037"/>
      <c r="U151" s="4037"/>
      <c r="V151" s="4037"/>
      <c r="W151" s="4037"/>
      <c r="X151" s="4037"/>
      <c r="Y151" s="4037"/>
      <c r="Z151" s="4038"/>
      <c r="AA151" s="4039"/>
      <c r="AB151" s="4040"/>
      <c r="AC151" s="152"/>
      <c r="AD151" s="81">
        <v>2</v>
      </c>
      <c r="AG151" s="83"/>
      <c r="AH151" s="73"/>
      <c r="AI151" s="73"/>
      <c r="AJ151" s="73"/>
    </row>
    <row r="152" spans="1:36" x14ac:dyDescent="0.25">
      <c r="A152" s="151"/>
      <c r="B152" s="151"/>
      <c r="C152" s="4027" t="s">
        <v>914</v>
      </c>
      <c r="D152" s="4028"/>
      <c r="E152" s="4028"/>
      <c r="F152" s="4028"/>
      <c r="G152" s="4028"/>
      <c r="H152" s="4028"/>
      <c r="I152" s="4028"/>
      <c r="J152" s="4028"/>
      <c r="K152" s="4028"/>
      <c r="L152" s="4028"/>
      <c r="M152" s="4028"/>
      <c r="N152" s="4029">
        <f>COUNTIF(AD147:AD151,"1")*N146</f>
        <v>0</v>
      </c>
      <c r="O152" s="4030"/>
      <c r="P152" s="4030"/>
      <c r="Q152" s="4030">
        <f>COUNTIF(AD147:AD151,"2")*Q146</f>
        <v>2</v>
      </c>
      <c r="R152" s="4030"/>
      <c r="S152" s="4030"/>
      <c r="T152" s="4030"/>
      <c r="U152" s="4030"/>
      <c r="V152" s="4030">
        <f>COUNTIF(AD147:AD151,"3")*V146</f>
        <v>12</v>
      </c>
      <c r="W152" s="4030"/>
      <c r="X152" s="4030">
        <f>COUNTIF(AD147:AD151,"4")*X146</f>
        <v>0</v>
      </c>
      <c r="Y152" s="4030"/>
      <c r="Z152" s="4031">
        <f>COUNTIF(AD147:AD151,"5")*Z146</f>
        <v>0</v>
      </c>
      <c r="AA152" s="4032"/>
      <c r="AB152" s="4033"/>
      <c r="AC152" s="152"/>
      <c r="AD152" s="81"/>
      <c r="AG152" s="83"/>
      <c r="AH152" s="73"/>
      <c r="AI152" s="73"/>
      <c r="AJ152" s="73"/>
    </row>
    <row r="153" spans="1:36" ht="16.5" customHeight="1" x14ac:dyDescent="0.35">
      <c r="A153" s="151"/>
      <c r="B153" s="151"/>
      <c r="C153" s="4013" t="s">
        <v>235</v>
      </c>
      <c r="D153" s="3809"/>
      <c r="E153" s="3809"/>
      <c r="F153" s="3809"/>
      <c r="G153" s="3809"/>
      <c r="H153" s="3809"/>
      <c r="I153" s="3809"/>
      <c r="J153" s="3809"/>
      <c r="K153" s="3809"/>
      <c r="L153" s="3809"/>
      <c r="M153" s="3750"/>
      <c r="N153" s="4014">
        <f>SUM(N152:AB152)</f>
        <v>14</v>
      </c>
      <c r="O153" s="4015"/>
      <c r="P153" s="4015"/>
      <c r="Q153" s="4015"/>
      <c r="R153" s="4015"/>
      <c r="S153" s="4015"/>
      <c r="T153" s="4015"/>
      <c r="U153" s="4015"/>
      <c r="V153" s="4015"/>
      <c r="W153" s="4015"/>
      <c r="X153" s="4015"/>
      <c r="Y153" s="4015"/>
      <c r="Z153" s="4015"/>
      <c r="AA153" s="4015"/>
      <c r="AB153" s="4016"/>
      <c r="AC153" s="152"/>
      <c r="AD153" s="82"/>
      <c r="AG153" s="83"/>
      <c r="AH153" s="73"/>
      <c r="AI153" s="73"/>
      <c r="AJ153" s="73"/>
    </row>
    <row r="154" spans="1:36" ht="27.75" customHeight="1" x14ac:dyDescent="0.25">
      <c r="A154" s="151"/>
      <c r="B154" s="151"/>
      <c r="C154" s="4017" t="s">
        <v>931</v>
      </c>
      <c r="D154" s="3028"/>
      <c r="E154" s="3028"/>
      <c r="F154" s="3028"/>
      <c r="G154" s="3028"/>
      <c r="H154" s="3028"/>
      <c r="I154" s="3028"/>
      <c r="J154" s="3028"/>
      <c r="K154" s="3028"/>
      <c r="L154" s="3028"/>
      <c r="M154" s="3082"/>
      <c r="N154" s="4018">
        <f>IFERROR((N153/AF154),"0")</f>
        <v>2.8</v>
      </c>
      <c r="O154" s="4019"/>
      <c r="P154" s="4019"/>
      <c r="Q154" s="4019"/>
      <c r="R154" s="4019"/>
      <c r="S154" s="4019"/>
      <c r="T154" s="4019"/>
      <c r="U154" s="4019"/>
      <c r="V154" s="4019"/>
      <c r="W154" s="4019"/>
      <c r="X154" s="4019"/>
      <c r="Y154" s="4019"/>
      <c r="Z154" s="4019"/>
      <c r="AA154" s="4019"/>
      <c r="AB154" s="4020"/>
      <c r="AC154" s="152"/>
      <c r="AF154" s="2414">
        <f>COUNTIF(AD147:AD151,"&gt;0")</f>
        <v>5</v>
      </c>
      <c r="AG154" s="83"/>
      <c r="AH154" s="73"/>
      <c r="AI154" s="73"/>
      <c r="AJ154" s="73"/>
    </row>
    <row r="155" spans="1:36" ht="30" customHeight="1" thickBot="1" x14ac:dyDescent="0.3">
      <c r="A155" s="151"/>
      <c r="B155" s="151"/>
      <c r="C155" s="4021" t="s">
        <v>916</v>
      </c>
      <c r="D155" s="4022"/>
      <c r="E155" s="4022"/>
      <c r="F155" s="4022"/>
      <c r="G155" s="4022"/>
      <c r="H155" s="4022"/>
      <c r="I155" s="4022"/>
      <c r="J155" s="4022"/>
      <c r="K155" s="4022"/>
      <c r="L155" s="4022"/>
      <c r="M155" s="4023"/>
      <c r="N155" s="4024">
        <f>IFERROR((SUM(M130,N154)/2),"0")</f>
        <v>2.4645833333333331</v>
      </c>
      <c r="O155" s="4025"/>
      <c r="P155" s="4025"/>
      <c r="Q155" s="4025"/>
      <c r="R155" s="4025"/>
      <c r="S155" s="4025"/>
      <c r="T155" s="4025"/>
      <c r="U155" s="4025"/>
      <c r="V155" s="4025"/>
      <c r="W155" s="4025"/>
      <c r="X155" s="4025"/>
      <c r="Y155" s="4025"/>
      <c r="Z155" s="4025"/>
      <c r="AA155" s="4025"/>
      <c r="AB155" s="4026"/>
      <c r="AC155" s="152"/>
      <c r="AD155" s="83"/>
      <c r="AG155" s="73"/>
      <c r="AH155" s="73"/>
      <c r="AI155" s="73"/>
      <c r="AJ155" s="73"/>
    </row>
    <row r="156" spans="1:36" ht="23.25" customHeight="1" x14ac:dyDescent="0.25">
      <c r="A156" s="152"/>
      <c r="B156" s="152"/>
      <c r="C156" s="1552"/>
      <c r="D156" s="1552"/>
      <c r="E156" s="1552"/>
      <c r="F156" s="1552"/>
      <c r="G156" s="1552"/>
      <c r="H156" s="1552"/>
      <c r="I156" s="1552"/>
      <c r="J156" s="1552"/>
      <c r="K156" s="1552"/>
      <c r="L156" s="1552"/>
      <c r="M156" s="1552"/>
      <c r="N156" s="174"/>
      <c r="O156" s="174"/>
      <c r="P156" s="174"/>
      <c r="Q156" s="174"/>
      <c r="R156" s="174"/>
      <c r="S156" s="174"/>
      <c r="T156" s="174"/>
      <c r="U156" s="174"/>
      <c r="V156" s="174"/>
      <c r="W156" s="174"/>
      <c r="X156" s="174"/>
      <c r="Y156" s="174"/>
      <c r="Z156" s="174"/>
      <c r="AA156" s="174"/>
      <c r="AB156" s="174"/>
      <c r="AC156" s="152"/>
      <c r="AG156" s="73"/>
      <c r="AH156" s="73"/>
      <c r="AI156" s="73"/>
      <c r="AJ156" s="73"/>
    </row>
    <row r="157" spans="1:36" ht="20.25" customHeight="1" thickBot="1" x14ac:dyDescent="0.3">
      <c r="A157" s="152"/>
      <c r="B157" s="152"/>
      <c r="C157" s="3988" t="s">
        <v>917</v>
      </c>
      <c r="D157" s="3988"/>
      <c r="E157" s="3988"/>
      <c r="F157" s="3988"/>
      <c r="G157" s="3988"/>
      <c r="H157" s="3988"/>
      <c r="I157" s="3988"/>
      <c r="J157" s="3988"/>
      <c r="K157" s="3988"/>
      <c r="L157" s="3988"/>
      <c r="M157" s="3988"/>
      <c r="N157" s="3988"/>
      <c r="O157" s="3988"/>
      <c r="P157" s="3988"/>
      <c r="Q157" s="3988"/>
      <c r="R157" s="3988"/>
      <c r="S157" s="3988"/>
      <c r="T157" s="3988"/>
      <c r="U157" s="3988"/>
      <c r="V157" s="3988"/>
      <c r="W157" s="3988"/>
      <c r="X157" s="3988"/>
      <c r="Y157" s="3988"/>
      <c r="Z157" s="3988"/>
      <c r="AA157" s="3988"/>
      <c r="AB157" s="3988"/>
      <c r="AC157" s="3988"/>
      <c r="AG157" s="73"/>
      <c r="AH157" s="73"/>
      <c r="AI157" s="73"/>
      <c r="AJ157" s="73"/>
    </row>
    <row r="158" spans="1:36" ht="20.25" customHeight="1" x14ac:dyDescent="0.25">
      <c r="A158" s="152"/>
      <c r="B158" s="3989" t="s">
        <v>1838</v>
      </c>
      <c r="C158" s="3990"/>
      <c r="D158" s="3990"/>
      <c r="E158" s="3990"/>
      <c r="F158" s="3990"/>
      <c r="G158" s="3990"/>
      <c r="H158" s="3990"/>
      <c r="I158" s="3990"/>
      <c r="J158" s="3990"/>
      <c r="K158" s="3990"/>
      <c r="L158" s="3990"/>
      <c r="M158" s="3990"/>
      <c r="N158" s="3990"/>
      <c r="O158" s="3990"/>
      <c r="P158" s="3990"/>
      <c r="Q158" s="3990"/>
      <c r="R158" s="3990"/>
      <c r="S158" s="3990"/>
      <c r="T158" s="3990"/>
      <c r="U158" s="3990"/>
      <c r="V158" s="3990"/>
      <c r="W158" s="3990"/>
      <c r="X158" s="3991"/>
      <c r="Y158" s="3998">
        <f>N155</f>
        <v>2.4645833333333331</v>
      </c>
      <c r="Z158" s="4001" t="str">
        <f>IF(ROUND(Y158,0)&lt;=1,"MINIMUM RISK",IF(ROUND(Y158,0)=2,"ACCEPTABLE RISK ",IF(ROUND(Y158,0)=3,"AVERAGE RISK",IF(ROUND(Y158,0)=4,"ALLOWABLE RIKS",IF(ROUND(Y158,0)=5,"MARGINAL RISK")))))</f>
        <v xml:space="preserve">ACCEPTABLE RISK </v>
      </c>
      <c r="AA158" s="4002"/>
      <c r="AB158" s="4002"/>
      <c r="AC158" s="4003"/>
      <c r="AG158" s="73"/>
      <c r="AH158" s="73"/>
      <c r="AI158" s="73"/>
      <c r="AJ158" s="73"/>
    </row>
    <row r="159" spans="1:36" ht="35.25" customHeight="1" x14ac:dyDescent="0.25">
      <c r="A159" s="152"/>
      <c r="B159" s="3992"/>
      <c r="C159" s="3993"/>
      <c r="D159" s="3993"/>
      <c r="E159" s="3993"/>
      <c r="F159" s="3993"/>
      <c r="G159" s="3993"/>
      <c r="H159" s="3993"/>
      <c r="I159" s="3993"/>
      <c r="J159" s="3993"/>
      <c r="K159" s="3993"/>
      <c r="L159" s="3993"/>
      <c r="M159" s="3993"/>
      <c r="N159" s="3993"/>
      <c r="O159" s="3993"/>
      <c r="P159" s="3993"/>
      <c r="Q159" s="3993"/>
      <c r="R159" s="3993"/>
      <c r="S159" s="3993"/>
      <c r="T159" s="3993"/>
      <c r="U159" s="3993"/>
      <c r="V159" s="3993"/>
      <c r="W159" s="3993"/>
      <c r="X159" s="3994"/>
      <c r="Y159" s="3999"/>
      <c r="Z159" s="4004"/>
      <c r="AA159" s="4005"/>
      <c r="AB159" s="4005"/>
      <c r="AC159" s="4006"/>
      <c r="AG159" s="73"/>
      <c r="AH159" s="73"/>
      <c r="AI159" s="73"/>
      <c r="AJ159" s="73"/>
    </row>
    <row r="160" spans="1:36" ht="35.25" customHeight="1" x14ac:dyDescent="0.25">
      <c r="A160" s="152"/>
      <c r="B160" s="3992"/>
      <c r="C160" s="3993"/>
      <c r="D160" s="3993"/>
      <c r="E160" s="3993"/>
      <c r="F160" s="3993"/>
      <c r="G160" s="3993"/>
      <c r="H160" s="3993"/>
      <c r="I160" s="3993"/>
      <c r="J160" s="3993"/>
      <c r="K160" s="3993"/>
      <c r="L160" s="3993"/>
      <c r="M160" s="3993"/>
      <c r="N160" s="3993"/>
      <c r="O160" s="3993"/>
      <c r="P160" s="3993"/>
      <c r="Q160" s="3993"/>
      <c r="R160" s="3993"/>
      <c r="S160" s="3993"/>
      <c r="T160" s="3993"/>
      <c r="U160" s="3993"/>
      <c r="V160" s="3993"/>
      <c r="W160" s="3993"/>
      <c r="X160" s="3994"/>
      <c r="Y160" s="3999"/>
      <c r="Z160" s="4004"/>
      <c r="AA160" s="4005"/>
      <c r="AB160" s="4005"/>
      <c r="AC160" s="4006"/>
      <c r="AG160" s="73"/>
      <c r="AH160" s="73"/>
      <c r="AI160" s="73"/>
      <c r="AJ160" s="73"/>
    </row>
    <row r="161" spans="1:36" ht="20.25" customHeight="1" thickBot="1" x14ac:dyDescent="0.3">
      <c r="A161" s="152"/>
      <c r="B161" s="3995"/>
      <c r="C161" s="3996"/>
      <c r="D161" s="3996"/>
      <c r="E161" s="3996"/>
      <c r="F161" s="3996"/>
      <c r="G161" s="3996"/>
      <c r="H161" s="3996"/>
      <c r="I161" s="3996"/>
      <c r="J161" s="3996"/>
      <c r="K161" s="3996"/>
      <c r="L161" s="3996"/>
      <c r="M161" s="3996"/>
      <c r="N161" s="3996"/>
      <c r="O161" s="3996"/>
      <c r="P161" s="3996"/>
      <c r="Q161" s="3996"/>
      <c r="R161" s="3996"/>
      <c r="S161" s="3996"/>
      <c r="T161" s="3996"/>
      <c r="U161" s="3996"/>
      <c r="V161" s="3996"/>
      <c r="W161" s="3996"/>
      <c r="X161" s="3997"/>
      <c r="Y161" s="4000"/>
      <c r="Z161" s="4007"/>
      <c r="AA161" s="4008"/>
      <c r="AB161" s="4008"/>
      <c r="AC161" s="4009"/>
      <c r="AG161" s="73"/>
      <c r="AH161" s="73"/>
      <c r="AI161" s="73"/>
      <c r="AJ161" s="73"/>
    </row>
    <row r="162" spans="1:36" s="75" customFormat="1" ht="20.25" customHeight="1" x14ac:dyDescent="0.25">
      <c r="A162" s="155"/>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c r="AA162" s="155"/>
      <c r="AB162" s="155"/>
      <c r="AC162" s="155"/>
      <c r="AD162" s="76"/>
      <c r="AE162" s="76"/>
      <c r="AF162" s="2415"/>
      <c r="AG162" s="76"/>
      <c r="AH162" s="76"/>
      <c r="AI162" s="76"/>
      <c r="AJ162" s="76"/>
    </row>
    <row r="163" spans="1:36" x14ac:dyDescent="0.25">
      <c r="A163" s="152"/>
      <c r="B163" s="15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G163" s="73"/>
      <c r="AH163" s="73"/>
      <c r="AI163" s="73"/>
      <c r="AJ163" s="73"/>
    </row>
    <row r="164" spans="1:36" ht="49.5" customHeight="1" x14ac:dyDescent="0.25">
      <c r="A164" s="151"/>
      <c r="B164" s="4010" t="s">
        <v>932</v>
      </c>
      <c r="C164" s="4010"/>
      <c r="D164" s="4010"/>
      <c r="E164" s="4010"/>
      <c r="F164" s="4010"/>
      <c r="G164" s="4010"/>
      <c r="H164" s="4010"/>
      <c r="I164" s="4010"/>
      <c r="J164" s="4010"/>
      <c r="K164" s="4010"/>
      <c r="L164" s="4010"/>
      <c r="M164" s="4010"/>
      <c r="N164" s="153" t="s">
        <v>0</v>
      </c>
      <c r="O164" s="4011">
        <f>N155</f>
        <v>2.4645833333333331</v>
      </c>
      <c r="P164" s="4012"/>
      <c r="Q164" s="4012"/>
      <c r="R164" s="4012"/>
      <c r="S164" s="4012"/>
      <c r="T164" s="4012"/>
      <c r="U164" s="4012"/>
      <c r="V164" s="4012"/>
      <c r="W164" s="4012"/>
      <c r="X164" s="4012"/>
      <c r="Y164" s="4012"/>
      <c r="Z164" s="4012"/>
      <c r="AA164" s="4012"/>
      <c r="AB164" s="152"/>
      <c r="AC164" s="152"/>
      <c r="AG164" s="73"/>
      <c r="AH164" s="73"/>
      <c r="AI164" s="73"/>
      <c r="AJ164" s="73"/>
    </row>
    <row r="165" spans="1:36" x14ac:dyDescent="0.25">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G165" s="73"/>
      <c r="AH165" s="73"/>
      <c r="AI165" s="73"/>
      <c r="AJ165" s="73"/>
    </row>
    <row r="166" spans="1:36" ht="16.5" customHeight="1" x14ac:dyDescent="0.25">
      <c r="A166" s="152"/>
      <c r="B166" s="3986" t="s">
        <v>985</v>
      </c>
      <c r="C166" s="3986"/>
      <c r="D166" s="3986"/>
      <c r="E166" s="3986"/>
      <c r="F166" s="3986"/>
      <c r="G166" s="3986"/>
      <c r="H166" s="3986"/>
      <c r="I166" s="3986"/>
      <c r="J166" s="3986"/>
      <c r="K166" s="3986"/>
      <c r="L166" s="3986"/>
      <c r="M166" s="3986"/>
      <c r="N166" s="3986"/>
      <c r="O166" s="3986"/>
      <c r="P166" s="3986"/>
      <c r="Q166" s="3986"/>
      <c r="R166" s="3986"/>
      <c r="S166" s="3986"/>
      <c r="T166" s="3986"/>
      <c r="U166" s="3986"/>
      <c r="V166" s="3986"/>
      <c r="W166" s="3986"/>
      <c r="X166" s="3986"/>
      <c r="Y166" s="3986"/>
      <c r="Z166" s="3986"/>
      <c r="AA166" s="3986"/>
      <c r="AB166" s="3986"/>
      <c r="AC166" s="152"/>
      <c r="AG166" s="73"/>
      <c r="AH166" s="73"/>
      <c r="AI166" s="73"/>
      <c r="AJ166" s="73"/>
    </row>
    <row r="167" spans="1:36" s="75" customFormat="1" x14ac:dyDescent="0.25">
      <c r="A167" s="155"/>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c r="AA167" s="155"/>
      <c r="AB167" s="155"/>
      <c r="AC167" s="155"/>
      <c r="AD167" s="76"/>
      <c r="AE167" s="76"/>
      <c r="AF167" s="2415"/>
      <c r="AG167" s="76"/>
      <c r="AH167" s="76"/>
      <c r="AI167" s="76"/>
      <c r="AJ167" s="76"/>
    </row>
    <row r="168" spans="1:36" s="85" customFormat="1" ht="15" x14ac:dyDescent="0.25">
      <c r="A168" s="175"/>
      <c r="B168" s="175"/>
      <c r="C168" s="3985" t="s">
        <v>947</v>
      </c>
      <c r="D168" s="3985"/>
      <c r="E168" s="3985"/>
      <c r="F168" s="3985"/>
      <c r="G168" s="3985"/>
      <c r="H168" s="3985"/>
      <c r="I168" s="3985"/>
      <c r="J168" s="3985"/>
      <c r="K168" s="3985"/>
      <c r="L168" s="3985"/>
      <c r="M168" s="3985"/>
      <c r="N168" s="3985"/>
      <c r="O168" s="3985"/>
      <c r="P168" s="3985"/>
      <c r="Q168" s="175"/>
      <c r="R168" s="175"/>
      <c r="S168" s="175"/>
      <c r="T168" s="175"/>
      <c r="U168" s="3985" t="s">
        <v>945</v>
      </c>
      <c r="V168" s="3985"/>
      <c r="W168" s="3985"/>
      <c r="X168" s="3985"/>
      <c r="Y168" s="3985"/>
      <c r="Z168" s="3985"/>
      <c r="AA168" s="175"/>
      <c r="AB168" s="175"/>
      <c r="AC168" s="175"/>
      <c r="AD168" s="84"/>
      <c r="AE168" s="84"/>
      <c r="AF168" s="2416"/>
      <c r="AG168" s="84"/>
      <c r="AH168" s="84"/>
      <c r="AI168" s="84"/>
      <c r="AJ168" s="84"/>
    </row>
    <row r="169" spans="1:36" s="85" customFormat="1" ht="15" x14ac:dyDescent="0.25">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c r="AA169" s="175"/>
      <c r="AB169" s="175"/>
      <c r="AC169" s="175"/>
      <c r="AD169" s="84"/>
      <c r="AE169" s="84"/>
      <c r="AF169" s="2416"/>
      <c r="AG169" s="84"/>
      <c r="AH169" s="84"/>
      <c r="AI169" s="84"/>
      <c r="AJ169" s="84"/>
    </row>
    <row r="170" spans="1:36" s="85" customFormat="1" ht="33" customHeight="1" x14ac:dyDescent="0.25">
      <c r="A170" s="175"/>
      <c r="B170" s="175"/>
      <c r="C170" s="3987" t="str">
        <f>'CEKLIST 002 (BIO DATA)'!A6</f>
        <v>Supervisor Analis Penjaminan</v>
      </c>
      <c r="D170" s="3987"/>
      <c r="E170" s="3987"/>
      <c r="F170" s="3987"/>
      <c r="G170" s="3987"/>
      <c r="H170" s="3987"/>
      <c r="I170" s="3987"/>
      <c r="J170" s="3987"/>
      <c r="K170" s="3987"/>
      <c r="L170" s="3987"/>
      <c r="M170" s="3987"/>
      <c r="N170" s="3987"/>
      <c r="O170" s="3987"/>
      <c r="P170" s="3987"/>
      <c r="Q170" s="2419"/>
      <c r="R170" s="2419"/>
      <c r="S170" s="3987" t="str">
        <f>'CEKLIST 002 (BIO DATA)'!A3</f>
        <v>AO Penjaminan I</v>
      </c>
      <c r="T170" s="3987"/>
      <c r="U170" s="3987"/>
      <c r="V170" s="3987"/>
      <c r="W170" s="3987"/>
      <c r="X170" s="2419"/>
      <c r="Y170" s="3987" t="str">
        <f>'CEKLIST 002 (BIO DATA)'!A4</f>
        <v>AO Penjaminan II</v>
      </c>
      <c r="Z170" s="3987"/>
      <c r="AA170" s="3987"/>
      <c r="AB170" s="3987"/>
      <c r="AC170" s="3987"/>
      <c r="AD170" s="84"/>
      <c r="AE170" s="84"/>
      <c r="AF170" s="2416"/>
      <c r="AG170" s="84"/>
      <c r="AH170" s="84"/>
      <c r="AI170" s="84"/>
      <c r="AJ170" s="84"/>
    </row>
    <row r="171" spans="1:36" s="85" customFormat="1" ht="15" x14ac:dyDescent="0.25">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c r="AA171" s="175"/>
      <c r="AB171" s="175"/>
      <c r="AC171" s="175"/>
      <c r="AD171" s="84"/>
      <c r="AE171" s="84"/>
      <c r="AF171" s="2416"/>
      <c r="AG171" s="84"/>
      <c r="AH171" s="84"/>
      <c r="AI171" s="84"/>
      <c r="AJ171" s="84"/>
    </row>
    <row r="172" spans="1:36" s="85" customFormat="1" ht="15" x14ac:dyDescent="0.25">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c r="AA172" s="175"/>
      <c r="AB172" s="175"/>
      <c r="AC172" s="175"/>
      <c r="AD172" s="84"/>
      <c r="AE172" s="84"/>
      <c r="AF172" s="2416"/>
      <c r="AG172" s="84"/>
      <c r="AH172" s="84"/>
      <c r="AI172" s="84"/>
      <c r="AJ172" s="84"/>
    </row>
    <row r="173" spans="1:36" s="85" customFormat="1" ht="15" x14ac:dyDescent="0.25">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c r="AA173" s="175"/>
      <c r="AB173" s="175"/>
      <c r="AC173" s="175"/>
      <c r="AD173" s="84"/>
      <c r="AE173" s="84"/>
      <c r="AF173" s="2416"/>
      <c r="AG173" s="84"/>
      <c r="AH173" s="84"/>
      <c r="AI173" s="84"/>
      <c r="AJ173" s="84"/>
    </row>
    <row r="174" spans="1:36" s="85" customFormat="1" ht="15" x14ac:dyDescent="0.25">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c r="AA174" s="175"/>
      <c r="AB174" s="175"/>
      <c r="AC174" s="175"/>
      <c r="AD174" s="84"/>
      <c r="AE174" s="84"/>
      <c r="AF174" s="2416"/>
      <c r="AG174" s="84"/>
      <c r="AH174" s="84"/>
      <c r="AI174" s="84"/>
      <c r="AJ174" s="84"/>
    </row>
    <row r="175" spans="1:36" s="85" customFormat="1" ht="15" x14ac:dyDescent="0.25">
      <c r="A175" s="175"/>
      <c r="B175" s="175"/>
      <c r="C175" s="3985" t="str">
        <f>'CEKLIST 002 (BIO DATA)'!D6</f>
        <v>I Wayan Ruspa</v>
      </c>
      <c r="D175" s="3985"/>
      <c r="E175" s="3985"/>
      <c r="F175" s="3985"/>
      <c r="G175" s="3985"/>
      <c r="H175" s="3985"/>
      <c r="I175" s="3985"/>
      <c r="J175" s="3985"/>
      <c r="K175" s="3985"/>
      <c r="L175" s="3985"/>
      <c r="M175" s="3985"/>
      <c r="N175" s="3985"/>
      <c r="O175" s="3985"/>
      <c r="P175" s="3985"/>
      <c r="Q175" s="175"/>
      <c r="R175" s="3985" t="str">
        <f>'CEKLIST 002 (BIO DATA)'!D3</f>
        <v>Adi irawan saputra</v>
      </c>
      <c r="S175" s="3985"/>
      <c r="T175" s="3985"/>
      <c r="U175" s="3985"/>
      <c r="V175" s="3985"/>
      <c r="W175" s="3985"/>
      <c r="X175" s="175"/>
      <c r="Y175" s="3985" t="str">
        <f>'CEKLIST 002 (BIO DATA)'!D4</f>
        <v>Deni Ardian</v>
      </c>
      <c r="Z175" s="3985"/>
      <c r="AA175" s="3985"/>
      <c r="AB175" s="3985"/>
      <c r="AC175" s="3985"/>
      <c r="AD175" s="84"/>
      <c r="AE175" s="84"/>
      <c r="AF175" s="2416"/>
      <c r="AG175" s="84"/>
      <c r="AH175" s="84"/>
      <c r="AI175" s="84"/>
      <c r="AJ175" s="84"/>
    </row>
    <row r="176" spans="1:36" s="75" customFormat="1" x14ac:dyDescent="0.25">
      <c r="A176" s="155"/>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c r="AA176" s="155"/>
      <c r="AB176" s="155"/>
      <c r="AC176" s="155"/>
      <c r="AD176" s="76"/>
      <c r="AE176" s="76"/>
      <c r="AF176" s="2415"/>
      <c r="AG176" s="76"/>
      <c r="AH176" s="76"/>
      <c r="AI176" s="76"/>
      <c r="AJ176" s="76"/>
    </row>
    <row r="177" spans="1:36" s="75" customFormat="1" x14ac:dyDescent="0.2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2415"/>
      <c r="AG177" s="76"/>
      <c r="AH177" s="76"/>
      <c r="AI177" s="76"/>
      <c r="AJ177" s="76"/>
    </row>
  </sheetData>
  <mergeCells count="444">
    <mergeCell ref="B3:AB3"/>
    <mergeCell ref="B5:R5"/>
    <mergeCell ref="T5:AB5"/>
    <mergeCell ref="B6:F6"/>
    <mergeCell ref="H6:R6"/>
    <mergeCell ref="T6:W8"/>
    <mergeCell ref="X6:X7"/>
    <mergeCell ref="Y6:AB7"/>
    <mergeCell ref="B7:F7"/>
    <mergeCell ref="H7:R7"/>
    <mergeCell ref="B10:F10"/>
    <mergeCell ref="H10:R10"/>
    <mergeCell ref="T10:W10"/>
    <mergeCell ref="Y10:AB10"/>
    <mergeCell ref="B11:F11"/>
    <mergeCell ref="H11:R11"/>
    <mergeCell ref="T11:W11"/>
    <mergeCell ref="Y11:AB11"/>
    <mergeCell ref="B8:F8"/>
    <mergeCell ref="H8:R8"/>
    <mergeCell ref="B9:F9"/>
    <mergeCell ref="H9:R9"/>
    <mergeCell ref="T9:W9"/>
    <mergeCell ref="Y9:AB9"/>
    <mergeCell ref="B12:F12"/>
    <mergeCell ref="H12:R12"/>
    <mergeCell ref="T12:W12"/>
    <mergeCell ref="Y12:AB12"/>
    <mergeCell ref="B13:F13"/>
    <mergeCell ref="J13:K13"/>
    <mergeCell ref="M13:N13"/>
    <mergeCell ref="T13:W13"/>
    <mergeCell ref="Y13:AB13"/>
    <mergeCell ref="B18:AB18"/>
    <mergeCell ref="C19:AB19"/>
    <mergeCell ref="D20:O20"/>
    <mergeCell ref="P20:S20"/>
    <mergeCell ref="T20:U20"/>
    <mergeCell ref="V20:W20"/>
    <mergeCell ref="X20:AB20"/>
    <mergeCell ref="B14:F14"/>
    <mergeCell ref="Y14:AB14"/>
    <mergeCell ref="B15:G15"/>
    <mergeCell ref="B16:G16"/>
    <mergeCell ref="B17:O17"/>
    <mergeCell ref="P17:S17"/>
    <mergeCell ref="T17:U17"/>
    <mergeCell ref="V17:W17"/>
    <mergeCell ref="X17:AB17"/>
    <mergeCell ref="B23:O23"/>
    <mergeCell ref="P23:S23"/>
    <mergeCell ref="T23:U23"/>
    <mergeCell ref="V23:W23"/>
    <mergeCell ref="X23:AB23"/>
    <mergeCell ref="A24:AB24"/>
    <mergeCell ref="C21:AB21"/>
    <mergeCell ref="D22:O22"/>
    <mergeCell ref="P22:S22"/>
    <mergeCell ref="T22:U22"/>
    <mergeCell ref="V22:W22"/>
    <mergeCell ref="X22:AB22"/>
    <mergeCell ref="C27:AB27"/>
    <mergeCell ref="D28:O28"/>
    <mergeCell ref="P28:S28"/>
    <mergeCell ref="T28:U28"/>
    <mergeCell ref="V28:W28"/>
    <mergeCell ref="X28:AB28"/>
    <mergeCell ref="B25:O25"/>
    <mergeCell ref="P25:S25"/>
    <mergeCell ref="T25:U25"/>
    <mergeCell ref="V25:W25"/>
    <mergeCell ref="X25:AB25"/>
    <mergeCell ref="B26:AB26"/>
    <mergeCell ref="C31:AB31"/>
    <mergeCell ref="D32:O32"/>
    <mergeCell ref="P32:S32"/>
    <mergeCell ref="T32:U32"/>
    <mergeCell ref="V32:W32"/>
    <mergeCell ref="X32:AB32"/>
    <mergeCell ref="C29:AB29"/>
    <mergeCell ref="D30:O30"/>
    <mergeCell ref="P30:S30"/>
    <mergeCell ref="T30:U30"/>
    <mergeCell ref="V30:W30"/>
    <mergeCell ref="X30:AB30"/>
    <mergeCell ref="C35:AB35"/>
    <mergeCell ref="D36:O36"/>
    <mergeCell ref="P36:S36"/>
    <mergeCell ref="T36:U36"/>
    <mergeCell ref="V36:W36"/>
    <mergeCell ref="X36:AB36"/>
    <mergeCell ref="C33:AB33"/>
    <mergeCell ref="D34:O34"/>
    <mergeCell ref="P34:S34"/>
    <mergeCell ref="T34:U34"/>
    <mergeCell ref="V34:W34"/>
    <mergeCell ref="X34:AB34"/>
    <mergeCell ref="B39:O39"/>
    <mergeCell ref="P39:S39"/>
    <mergeCell ref="T39:U39"/>
    <mergeCell ref="V39:W39"/>
    <mergeCell ref="X39:AB39"/>
    <mergeCell ref="B40:AB40"/>
    <mergeCell ref="B37:O37"/>
    <mergeCell ref="P37:S37"/>
    <mergeCell ref="T37:U37"/>
    <mergeCell ref="V37:W37"/>
    <mergeCell ref="X37:AB37"/>
    <mergeCell ref="A38:AB38"/>
    <mergeCell ref="C43:AB43"/>
    <mergeCell ref="D44:O44"/>
    <mergeCell ref="P44:S44"/>
    <mergeCell ref="T44:U44"/>
    <mergeCell ref="V44:W44"/>
    <mergeCell ref="X44:AB44"/>
    <mergeCell ref="C41:AB41"/>
    <mergeCell ref="D42:O42"/>
    <mergeCell ref="P42:S42"/>
    <mergeCell ref="T42:U42"/>
    <mergeCell ref="V42:W42"/>
    <mergeCell ref="X42:AB42"/>
    <mergeCell ref="B47:O47"/>
    <mergeCell ref="P47:S47"/>
    <mergeCell ref="T47:U47"/>
    <mergeCell ref="V47:W47"/>
    <mergeCell ref="X47:AB47"/>
    <mergeCell ref="A48:AB48"/>
    <mergeCell ref="C45:AB45"/>
    <mergeCell ref="D46:O46"/>
    <mergeCell ref="P46:S46"/>
    <mergeCell ref="T46:U46"/>
    <mergeCell ref="V46:W46"/>
    <mergeCell ref="X46:AB46"/>
    <mergeCell ref="C51:AB51"/>
    <mergeCell ref="D52:O52"/>
    <mergeCell ref="P52:S52"/>
    <mergeCell ref="T52:U52"/>
    <mergeCell ref="V52:W52"/>
    <mergeCell ref="X52:AB52"/>
    <mergeCell ref="B49:O49"/>
    <mergeCell ref="P49:S49"/>
    <mergeCell ref="T49:U49"/>
    <mergeCell ref="V49:W49"/>
    <mergeCell ref="X49:AB49"/>
    <mergeCell ref="B50:AB50"/>
    <mergeCell ref="C55:AB55"/>
    <mergeCell ref="D56:O56"/>
    <mergeCell ref="P56:S56"/>
    <mergeCell ref="T56:U56"/>
    <mergeCell ref="V56:W56"/>
    <mergeCell ref="X56:AB56"/>
    <mergeCell ref="C53:AB53"/>
    <mergeCell ref="D54:O54"/>
    <mergeCell ref="P54:S54"/>
    <mergeCell ref="T54:U54"/>
    <mergeCell ref="V54:W54"/>
    <mergeCell ref="X54:AB54"/>
    <mergeCell ref="B59:O59"/>
    <mergeCell ref="P59:S59"/>
    <mergeCell ref="T59:U59"/>
    <mergeCell ref="V59:W59"/>
    <mergeCell ref="X59:AB59"/>
    <mergeCell ref="A60:AB60"/>
    <mergeCell ref="C57:AB57"/>
    <mergeCell ref="D58:O58"/>
    <mergeCell ref="P58:S58"/>
    <mergeCell ref="T58:U58"/>
    <mergeCell ref="V58:W58"/>
    <mergeCell ref="X58:AB58"/>
    <mergeCell ref="C63:AB63"/>
    <mergeCell ref="D64:O64"/>
    <mergeCell ref="P64:S64"/>
    <mergeCell ref="T64:U64"/>
    <mergeCell ref="V64:W64"/>
    <mergeCell ref="X64:AB64"/>
    <mergeCell ref="B61:O61"/>
    <mergeCell ref="P61:S61"/>
    <mergeCell ref="T61:U61"/>
    <mergeCell ref="V61:W61"/>
    <mergeCell ref="X61:AB61"/>
    <mergeCell ref="B62:AB62"/>
    <mergeCell ref="B67:O67"/>
    <mergeCell ref="P67:S67"/>
    <mergeCell ref="T67:U67"/>
    <mergeCell ref="V67:W67"/>
    <mergeCell ref="X67:AB67"/>
    <mergeCell ref="A68:AB68"/>
    <mergeCell ref="C65:AB65"/>
    <mergeCell ref="D66:O66"/>
    <mergeCell ref="P66:S66"/>
    <mergeCell ref="T66:U66"/>
    <mergeCell ref="V66:W66"/>
    <mergeCell ref="X66:AB66"/>
    <mergeCell ref="C71:AB71"/>
    <mergeCell ref="D72:O72"/>
    <mergeCell ref="P72:S72"/>
    <mergeCell ref="T72:U72"/>
    <mergeCell ref="V72:W72"/>
    <mergeCell ref="X72:AB72"/>
    <mergeCell ref="B69:O69"/>
    <mergeCell ref="P69:S69"/>
    <mergeCell ref="T69:U69"/>
    <mergeCell ref="V69:W69"/>
    <mergeCell ref="X69:AB69"/>
    <mergeCell ref="B70:AB70"/>
    <mergeCell ref="D73:O73"/>
    <mergeCell ref="P73:S73"/>
    <mergeCell ref="T73:U73"/>
    <mergeCell ref="V73:W73"/>
    <mergeCell ref="X73:AB73"/>
    <mergeCell ref="D74:O74"/>
    <mergeCell ref="P74:S74"/>
    <mergeCell ref="T74:U74"/>
    <mergeCell ref="V74:W74"/>
    <mergeCell ref="X74:AB74"/>
    <mergeCell ref="D75:O75"/>
    <mergeCell ref="P75:S75"/>
    <mergeCell ref="T75:U75"/>
    <mergeCell ref="V75:W75"/>
    <mergeCell ref="X75:AB75"/>
    <mergeCell ref="D76:O76"/>
    <mergeCell ref="P76:S76"/>
    <mergeCell ref="T76:U76"/>
    <mergeCell ref="V76:W76"/>
    <mergeCell ref="X76:AB76"/>
    <mergeCell ref="D77:O77"/>
    <mergeCell ref="P77:S77"/>
    <mergeCell ref="T77:U77"/>
    <mergeCell ref="V77:W77"/>
    <mergeCell ref="X77:AB77"/>
    <mergeCell ref="D78:O78"/>
    <mergeCell ref="P78:S78"/>
    <mergeCell ref="T78:U78"/>
    <mergeCell ref="V78:W78"/>
    <mergeCell ref="X78:AB78"/>
    <mergeCell ref="D79:O79"/>
    <mergeCell ref="P79:S79"/>
    <mergeCell ref="T79:U79"/>
    <mergeCell ref="V79:W79"/>
    <mergeCell ref="X79:AB79"/>
    <mergeCell ref="D80:O80"/>
    <mergeCell ref="P80:S80"/>
    <mergeCell ref="T80:U80"/>
    <mergeCell ref="V80:W80"/>
    <mergeCell ref="X80:AB80"/>
    <mergeCell ref="D81:O81"/>
    <mergeCell ref="P81:S81"/>
    <mergeCell ref="T81:U81"/>
    <mergeCell ref="V81:W81"/>
    <mergeCell ref="X81:AB81"/>
    <mergeCell ref="B82:O82"/>
    <mergeCell ref="P82:S82"/>
    <mergeCell ref="T82:U82"/>
    <mergeCell ref="V82:W82"/>
    <mergeCell ref="X82:AB82"/>
    <mergeCell ref="B84:AA84"/>
    <mergeCell ref="C85:AB85"/>
    <mergeCell ref="B87:L91"/>
    <mergeCell ref="M87:AA88"/>
    <mergeCell ref="M89:O90"/>
    <mergeCell ref="P89:T90"/>
    <mergeCell ref="U89:V90"/>
    <mergeCell ref="W89:X90"/>
    <mergeCell ref="Y89:AA90"/>
    <mergeCell ref="M91:O91"/>
    <mergeCell ref="B93:L93"/>
    <mergeCell ref="M93:O93"/>
    <mergeCell ref="P93:T93"/>
    <mergeCell ref="U93:V93"/>
    <mergeCell ref="W93:X93"/>
    <mergeCell ref="Y93:AA93"/>
    <mergeCell ref="P91:T91"/>
    <mergeCell ref="U91:V91"/>
    <mergeCell ref="W91:X91"/>
    <mergeCell ref="Y91:AA91"/>
    <mergeCell ref="B92:L92"/>
    <mergeCell ref="M92:O92"/>
    <mergeCell ref="P92:T92"/>
    <mergeCell ref="U92:V92"/>
    <mergeCell ref="W92:X92"/>
    <mergeCell ref="Y92:AA92"/>
    <mergeCell ref="B95:L95"/>
    <mergeCell ref="M95:O95"/>
    <mergeCell ref="P95:T95"/>
    <mergeCell ref="U95:V95"/>
    <mergeCell ref="W95:X95"/>
    <mergeCell ref="Y95:AA95"/>
    <mergeCell ref="B94:L94"/>
    <mergeCell ref="M94:O94"/>
    <mergeCell ref="P94:T94"/>
    <mergeCell ref="U94:V94"/>
    <mergeCell ref="W94:X94"/>
    <mergeCell ref="Y94:AA94"/>
    <mergeCell ref="B97:L97"/>
    <mergeCell ref="M97:O97"/>
    <mergeCell ref="P97:T97"/>
    <mergeCell ref="U97:V97"/>
    <mergeCell ref="W97:X97"/>
    <mergeCell ref="Y97:AA97"/>
    <mergeCell ref="B96:L96"/>
    <mergeCell ref="M96:O96"/>
    <mergeCell ref="P96:T96"/>
    <mergeCell ref="U96:V96"/>
    <mergeCell ref="W96:X96"/>
    <mergeCell ref="Y96:AA96"/>
    <mergeCell ref="B99:L99"/>
    <mergeCell ref="M99:AA99"/>
    <mergeCell ref="B100:L100"/>
    <mergeCell ref="M100:AA100"/>
    <mergeCell ref="B101:L101"/>
    <mergeCell ref="M101:AA101"/>
    <mergeCell ref="B98:L98"/>
    <mergeCell ref="M98:O98"/>
    <mergeCell ref="P98:T98"/>
    <mergeCell ref="U98:V98"/>
    <mergeCell ref="W98:X98"/>
    <mergeCell ref="Y98:AA98"/>
    <mergeCell ref="C116:AB116"/>
    <mergeCell ref="D117:N117"/>
    <mergeCell ref="O117:R117"/>
    <mergeCell ref="S117:U117"/>
    <mergeCell ref="D118:N118"/>
    <mergeCell ref="O118:R118"/>
    <mergeCell ref="S118:U118"/>
    <mergeCell ref="B103:AB103"/>
    <mergeCell ref="B104:X107"/>
    <mergeCell ref="Y104:Y107"/>
    <mergeCell ref="Z104:AB107"/>
    <mergeCell ref="B109:AA109"/>
    <mergeCell ref="C111:AA112"/>
    <mergeCell ref="W124:X124"/>
    <mergeCell ref="Y124:AA124"/>
    <mergeCell ref="B125:L125"/>
    <mergeCell ref="M125:O125"/>
    <mergeCell ref="P125:T125"/>
    <mergeCell ref="U125:V125"/>
    <mergeCell ref="W125:X125"/>
    <mergeCell ref="Y125:AA125"/>
    <mergeCell ref="B120:L124"/>
    <mergeCell ref="M120:AA121"/>
    <mergeCell ref="M122:O123"/>
    <mergeCell ref="P122:T123"/>
    <mergeCell ref="U122:V123"/>
    <mergeCell ref="W122:X123"/>
    <mergeCell ref="Y122:AA123"/>
    <mergeCell ref="M124:O124"/>
    <mergeCell ref="P124:T124"/>
    <mergeCell ref="U124:V124"/>
    <mergeCell ref="B127:L127"/>
    <mergeCell ref="M127:O127"/>
    <mergeCell ref="P127:T127"/>
    <mergeCell ref="U127:V127"/>
    <mergeCell ref="W127:X127"/>
    <mergeCell ref="Y127:AA127"/>
    <mergeCell ref="B126:L126"/>
    <mergeCell ref="M126:O126"/>
    <mergeCell ref="P126:T126"/>
    <mergeCell ref="U126:V126"/>
    <mergeCell ref="W126:X126"/>
    <mergeCell ref="Y126:AA126"/>
    <mergeCell ref="B132:AB132"/>
    <mergeCell ref="B133:X135"/>
    <mergeCell ref="Y133:Y135"/>
    <mergeCell ref="Z133:AC135"/>
    <mergeCell ref="B138:M138"/>
    <mergeCell ref="B140:AA140"/>
    <mergeCell ref="B128:L128"/>
    <mergeCell ref="M128:AA128"/>
    <mergeCell ref="B129:L129"/>
    <mergeCell ref="M129:AA129"/>
    <mergeCell ref="B130:L130"/>
    <mergeCell ref="M130:AA130"/>
    <mergeCell ref="C148:M148"/>
    <mergeCell ref="N148:P148"/>
    <mergeCell ref="Q148:U148"/>
    <mergeCell ref="V148:W148"/>
    <mergeCell ref="X148:Y148"/>
    <mergeCell ref="Z148:AB148"/>
    <mergeCell ref="X146:Y146"/>
    <mergeCell ref="Z146:AB146"/>
    <mergeCell ref="C147:M147"/>
    <mergeCell ref="N147:P147"/>
    <mergeCell ref="Q147:U147"/>
    <mergeCell ref="V147:W147"/>
    <mergeCell ref="X147:Y147"/>
    <mergeCell ref="Z147:AB147"/>
    <mergeCell ref="C142:M146"/>
    <mergeCell ref="N142:AB143"/>
    <mergeCell ref="N144:P145"/>
    <mergeCell ref="Q144:U145"/>
    <mergeCell ref="V144:W145"/>
    <mergeCell ref="X144:Y145"/>
    <mergeCell ref="Z144:AB145"/>
    <mergeCell ref="N146:P146"/>
    <mergeCell ref="Q146:U146"/>
    <mergeCell ref="V146:W146"/>
    <mergeCell ref="C150:M150"/>
    <mergeCell ref="N150:P150"/>
    <mergeCell ref="Q150:U150"/>
    <mergeCell ref="V150:W150"/>
    <mergeCell ref="X150:Y150"/>
    <mergeCell ref="Z150:AB150"/>
    <mergeCell ref="C149:M149"/>
    <mergeCell ref="N149:P149"/>
    <mergeCell ref="Q149:U149"/>
    <mergeCell ref="V149:W149"/>
    <mergeCell ref="X149:Y149"/>
    <mergeCell ref="Z149:AB149"/>
    <mergeCell ref="C152:M152"/>
    <mergeCell ref="N152:P152"/>
    <mergeCell ref="Q152:U152"/>
    <mergeCell ref="V152:W152"/>
    <mergeCell ref="X152:Y152"/>
    <mergeCell ref="Z152:AB152"/>
    <mergeCell ref="C151:M151"/>
    <mergeCell ref="N151:P151"/>
    <mergeCell ref="Q151:U151"/>
    <mergeCell ref="V151:W151"/>
    <mergeCell ref="X151:Y151"/>
    <mergeCell ref="Z151:AB151"/>
    <mergeCell ref="C157:AC157"/>
    <mergeCell ref="B158:X161"/>
    <mergeCell ref="Y158:Y161"/>
    <mergeCell ref="Z158:AC161"/>
    <mergeCell ref="B164:M164"/>
    <mergeCell ref="O164:AA164"/>
    <mergeCell ref="C153:M153"/>
    <mergeCell ref="N153:AB153"/>
    <mergeCell ref="C154:M154"/>
    <mergeCell ref="N154:AB154"/>
    <mergeCell ref="C155:M155"/>
    <mergeCell ref="N155:AB155"/>
    <mergeCell ref="C175:I175"/>
    <mergeCell ref="J175:P175"/>
    <mergeCell ref="R175:W175"/>
    <mergeCell ref="Y175:AC175"/>
    <mergeCell ref="B166:AB166"/>
    <mergeCell ref="C168:I168"/>
    <mergeCell ref="J168:P168"/>
    <mergeCell ref="U168:Z168"/>
    <mergeCell ref="C170:I170"/>
    <mergeCell ref="J170:P170"/>
    <mergeCell ref="S170:W170"/>
    <mergeCell ref="Y170:AC170"/>
  </mergeCells>
  <conditionalFormatting sqref="Y9:AB9 Y6 B133 B158 B104 C111:AA112">
    <cfRule type="containsBlanks" dxfId="7" priority="3">
      <formula>LEN(TRIM(B6))=0</formula>
    </cfRule>
  </conditionalFormatting>
  <conditionalFormatting sqref="H7:R9 Y10:AB10 Y12:AB13 H12:R12">
    <cfRule type="containsBlanks" dxfId="6" priority="2" stopIfTrue="1">
      <formula>LEN(TRIM(H7))=0</formula>
    </cfRule>
  </conditionalFormatting>
  <conditionalFormatting sqref="B104:X107 C111:AA112 B133:X135 B158:X161">
    <cfRule type="containsBlanks" dxfId="5" priority="1" stopIfTrue="1">
      <formula>LEN(TRIM(B104))=0</formula>
    </cfRule>
  </conditionalFormatting>
  <pageMargins left="0.7" right="0.7" top="0.75" bottom="0.75" header="0.3" footer="0.3"/>
  <pageSetup scale="80" orientation="portrait" r:id="rId1"/>
  <headerFooter>
    <oddFooter>&amp;L&amp;"Tahoma,Regular" FORMULIR RATING TERJAMIN&amp;R&amp;"Tahoma,Regular"Halaman: &amp;P</oddFooter>
  </headerFooter>
  <rowBreaks count="3" manualBreakCount="3">
    <brk id="25" max="28" man="1"/>
    <brk id="83" max="28" man="1"/>
    <brk id="137" max="28" man="1"/>
  </rowBreaks>
  <drawing r:id="rId2"/>
  <legacyDrawing r:id="rId3"/>
  <oleObjects>
    <mc:AlternateContent xmlns:mc="http://schemas.openxmlformats.org/markup-compatibility/2006">
      <mc:Choice Requires="x14">
        <oleObject shapeId="1114114">
          <objectPr defaultSize="0" autoFill="0" autoPict="0" dde="1">
            <anchor moveWithCells="1">
              <from>
                <xdr:col>11</xdr:col>
                <xdr:colOff>266700</xdr:colOff>
                <xdr:row>92</xdr:row>
                <xdr:rowOff>400050</xdr:rowOff>
              </from>
              <to>
                <xdr:col>27</xdr:col>
                <xdr:colOff>9525</xdr:colOff>
                <xdr:row>94</xdr:row>
                <xdr:rowOff>9525</xdr:rowOff>
              </to>
            </anchor>
          </objectPr>
        </oleObject>
      </mc:Choice>
    </mc:AlternateContent>
    <mc:AlternateContent xmlns:mc="http://schemas.openxmlformats.org/markup-compatibility/2006">
      <mc:Choice Requires="x14">
        <oleObject shapeId="1114158">
          <objectPr defaultSize="0" autoFill="0" autoPict="0" dde="1">
            <anchor moveWithCells="1">
              <from>
                <xdr:col>13</xdr:col>
                <xdr:colOff>0</xdr:colOff>
                <xdr:row>148</xdr:row>
                <xdr:rowOff>238125</xdr:rowOff>
              </from>
              <to>
                <xdr:col>27</xdr:col>
                <xdr:colOff>200025</xdr:colOff>
                <xdr:row>150</xdr:row>
                <xdr:rowOff>0</xdr:rowOff>
              </to>
            </anchor>
          </objectPr>
        </oleObject>
      </mc:Choice>
    </mc:AlternateContent>
    <mc:AlternateContent xmlns:mc="http://schemas.openxmlformats.org/markup-compatibility/2006">
      <mc:Choice Requires="x14">
        <oleObject shapeId="1114184">
          <objectPr defaultSize="0" autoFill="0" autoPict="0" dde="1">
            <anchor moveWithCells="1">
              <from>
                <xdr:col>7</xdr:col>
                <xdr:colOff>152400</xdr:colOff>
                <xdr:row>12</xdr:row>
                <xdr:rowOff>0</xdr:rowOff>
              </from>
              <to>
                <xdr:col>14</xdr:col>
                <xdr:colOff>381000</xdr:colOff>
                <xdr:row>13</xdr:row>
                <xdr:rowOff>9525</xdr:rowOff>
              </to>
            </anchor>
          </objectPr>
        </oleObject>
      </mc:Choice>
    </mc:AlternateContent>
    <mc:AlternateContent xmlns:mc="http://schemas.openxmlformats.org/markup-compatibility/2006">
      <mc:Choice Requires="x14">
        <oleObject shapeId="1114187">
          <objectPr defaultSize="0" autoFill="0" autoPict="0" dde="1">
            <anchor moveWithCells="1">
              <from>
                <xdr:col>12</xdr:col>
                <xdr:colOff>0</xdr:colOff>
                <xdr:row>90</xdr:row>
                <xdr:rowOff>200025</xdr:rowOff>
              </from>
              <to>
                <xdr:col>27</xdr:col>
                <xdr:colOff>9525</xdr:colOff>
                <xdr:row>92</xdr:row>
                <xdr:rowOff>9525</xdr:rowOff>
              </to>
            </anchor>
          </objectPr>
        </oleObject>
      </mc:Choice>
    </mc:AlternateContent>
    <mc:AlternateContent xmlns:mc="http://schemas.openxmlformats.org/markup-compatibility/2006">
      <mc:Choice Requires="x14">
        <oleObject shapeId="1114189">
          <objectPr defaultSize="0" autoFill="0" autoPict="0" dde="1">
            <anchor moveWithCells="1">
              <from>
                <xdr:col>11</xdr:col>
                <xdr:colOff>266700</xdr:colOff>
                <xdr:row>124</xdr:row>
                <xdr:rowOff>9525</xdr:rowOff>
              </from>
              <to>
                <xdr:col>26</xdr:col>
                <xdr:colOff>438150</xdr:colOff>
                <xdr:row>125</xdr:row>
                <xdr:rowOff>0</xdr:rowOff>
              </to>
            </anchor>
          </objectPr>
        </oleObject>
      </mc:Choice>
    </mc:AlternateContent>
  </oleObjects>
  <mc:AlternateContent xmlns:mc="http://schemas.openxmlformats.org/markup-compatibility/2006">
    <mc:Choice Requires="x14">
      <controls>
        <mc:AlternateContent xmlns:mc="http://schemas.openxmlformats.org/markup-compatibility/2006">
          <mc:Choice Requires="x14">
            <control shapeId="1114113" r:id="rId4" name="Group Box 1">
              <controlPr defaultSize="0" autoFill="0" autoPict="0">
                <anchor moveWithCells="1">
                  <from>
                    <xdr:col>11</xdr:col>
                    <xdr:colOff>266700</xdr:colOff>
                    <xdr:row>91</xdr:row>
                    <xdr:rowOff>400050</xdr:rowOff>
                  </from>
                  <to>
                    <xdr:col>27</xdr:col>
                    <xdr:colOff>9525</xdr:colOff>
                    <xdr:row>93</xdr:row>
                    <xdr:rowOff>9525</xdr:rowOff>
                  </to>
                </anchor>
              </controlPr>
            </control>
          </mc:Choice>
        </mc:AlternateContent>
        <mc:AlternateContent xmlns:mc="http://schemas.openxmlformats.org/markup-compatibility/2006">
          <mc:Choice Requires="x14">
            <control shapeId="1114114" r:id="rId5" name="Group Box 2">
              <controlPr defaultSize="0" autoFill="0" autoPict="0">
                <anchor moveWithCells="1">
                  <from>
                    <xdr:col>11</xdr:col>
                    <xdr:colOff>266700</xdr:colOff>
                    <xdr:row>92</xdr:row>
                    <xdr:rowOff>400050</xdr:rowOff>
                  </from>
                  <to>
                    <xdr:col>27</xdr:col>
                    <xdr:colOff>9525</xdr:colOff>
                    <xdr:row>94</xdr:row>
                    <xdr:rowOff>9525</xdr:rowOff>
                  </to>
                </anchor>
              </controlPr>
            </control>
          </mc:Choice>
        </mc:AlternateContent>
        <mc:AlternateContent xmlns:mc="http://schemas.openxmlformats.org/markup-compatibility/2006">
          <mc:Choice Requires="x14">
            <control shapeId="1114115" r:id="rId6" name="Group Box 3">
              <controlPr defaultSize="0" autoFill="0" autoPict="0">
                <anchor moveWithCells="1">
                  <from>
                    <xdr:col>11</xdr:col>
                    <xdr:colOff>266700</xdr:colOff>
                    <xdr:row>94</xdr:row>
                    <xdr:rowOff>400050</xdr:rowOff>
                  </from>
                  <to>
                    <xdr:col>27</xdr:col>
                    <xdr:colOff>9525</xdr:colOff>
                    <xdr:row>96</xdr:row>
                    <xdr:rowOff>9525</xdr:rowOff>
                  </to>
                </anchor>
              </controlPr>
            </control>
          </mc:Choice>
        </mc:AlternateContent>
        <mc:AlternateContent xmlns:mc="http://schemas.openxmlformats.org/markup-compatibility/2006">
          <mc:Choice Requires="x14">
            <control shapeId="1114116" r:id="rId7" name="Group Box 4">
              <controlPr defaultSize="0" autoFill="0" autoPict="0">
                <anchor moveWithCells="1">
                  <from>
                    <xdr:col>11</xdr:col>
                    <xdr:colOff>266700</xdr:colOff>
                    <xdr:row>95</xdr:row>
                    <xdr:rowOff>400050</xdr:rowOff>
                  </from>
                  <to>
                    <xdr:col>27</xdr:col>
                    <xdr:colOff>9525</xdr:colOff>
                    <xdr:row>97</xdr:row>
                    <xdr:rowOff>9525</xdr:rowOff>
                  </to>
                </anchor>
              </controlPr>
            </control>
          </mc:Choice>
        </mc:AlternateContent>
        <mc:AlternateContent xmlns:mc="http://schemas.openxmlformats.org/markup-compatibility/2006">
          <mc:Choice Requires="x14">
            <control shapeId="1114117" r:id="rId8" name="Option Button 5">
              <controlPr defaultSize="0" autoFill="0" autoLine="0" autoPict="0">
                <anchor moveWithCells="1">
                  <from>
                    <xdr:col>13</xdr:col>
                    <xdr:colOff>85725</xdr:colOff>
                    <xdr:row>91</xdr:row>
                    <xdr:rowOff>85725</xdr:rowOff>
                  </from>
                  <to>
                    <xdr:col>14</xdr:col>
                    <xdr:colOff>38100</xdr:colOff>
                    <xdr:row>91</xdr:row>
                    <xdr:rowOff>295275</xdr:rowOff>
                  </to>
                </anchor>
              </controlPr>
            </control>
          </mc:Choice>
        </mc:AlternateContent>
        <mc:AlternateContent xmlns:mc="http://schemas.openxmlformats.org/markup-compatibility/2006">
          <mc:Choice Requires="x14">
            <control shapeId="1114118" r:id="rId9" name="Option Button 6">
              <controlPr defaultSize="0" autoFill="0" autoLine="0" autoPict="0">
                <anchor moveWithCells="1">
                  <from>
                    <xdr:col>13</xdr:col>
                    <xdr:colOff>85725</xdr:colOff>
                    <xdr:row>92</xdr:row>
                    <xdr:rowOff>85725</xdr:rowOff>
                  </from>
                  <to>
                    <xdr:col>14</xdr:col>
                    <xdr:colOff>38100</xdr:colOff>
                    <xdr:row>92</xdr:row>
                    <xdr:rowOff>295275</xdr:rowOff>
                  </to>
                </anchor>
              </controlPr>
            </control>
          </mc:Choice>
        </mc:AlternateContent>
        <mc:AlternateContent xmlns:mc="http://schemas.openxmlformats.org/markup-compatibility/2006">
          <mc:Choice Requires="x14">
            <control shapeId="1114119" r:id="rId10" name="Option Button 7">
              <controlPr defaultSize="0" autoFill="0" autoLine="0" autoPict="0">
                <anchor moveWithCells="1">
                  <from>
                    <xdr:col>13</xdr:col>
                    <xdr:colOff>85725</xdr:colOff>
                    <xdr:row>93</xdr:row>
                    <xdr:rowOff>85725</xdr:rowOff>
                  </from>
                  <to>
                    <xdr:col>14</xdr:col>
                    <xdr:colOff>38100</xdr:colOff>
                    <xdr:row>93</xdr:row>
                    <xdr:rowOff>295275</xdr:rowOff>
                  </to>
                </anchor>
              </controlPr>
            </control>
          </mc:Choice>
        </mc:AlternateContent>
        <mc:AlternateContent xmlns:mc="http://schemas.openxmlformats.org/markup-compatibility/2006">
          <mc:Choice Requires="x14">
            <control shapeId="1114120" r:id="rId11" name="Option Button 8">
              <controlPr defaultSize="0" autoFill="0" autoLine="0" autoPict="0">
                <anchor moveWithCells="1">
                  <from>
                    <xdr:col>13</xdr:col>
                    <xdr:colOff>85725</xdr:colOff>
                    <xdr:row>94</xdr:row>
                    <xdr:rowOff>85725</xdr:rowOff>
                  </from>
                  <to>
                    <xdr:col>14</xdr:col>
                    <xdr:colOff>38100</xdr:colOff>
                    <xdr:row>94</xdr:row>
                    <xdr:rowOff>295275</xdr:rowOff>
                  </to>
                </anchor>
              </controlPr>
            </control>
          </mc:Choice>
        </mc:AlternateContent>
        <mc:AlternateContent xmlns:mc="http://schemas.openxmlformats.org/markup-compatibility/2006">
          <mc:Choice Requires="x14">
            <control shapeId="1114121" r:id="rId12" name="Option Button 9">
              <controlPr defaultSize="0" autoFill="0" autoLine="0" autoPict="0">
                <anchor moveWithCells="1">
                  <from>
                    <xdr:col>13</xdr:col>
                    <xdr:colOff>85725</xdr:colOff>
                    <xdr:row>95</xdr:row>
                    <xdr:rowOff>85725</xdr:rowOff>
                  </from>
                  <to>
                    <xdr:col>14</xdr:col>
                    <xdr:colOff>38100</xdr:colOff>
                    <xdr:row>95</xdr:row>
                    <xdr:rowOff>295275</xdr:rowOff>
                  </to>
                </anchor>
              </controlPr>
            </control>
          </mc:Choice>
        </mc:AlternateContent>
        <mc:AlternateContent xmlns:mc="http://schemas.openxmlformats.org/markup-compatibility/2006">
          <mc:Choice Requires="x14">
            <control shapeId="1114122" r:id="rId13" name="Option Button 10">
              <controlPr defaultSize="0" autoFill="0" autoLine="0" autoPict="0">
                <anchor moveWithCells="1">
                  <from>
                    <xdr:col>13</xdr:col>
                    <xdr:colOff>85725</xdr:colOff>
                    <xdr:row>96</xdr:row>
                    <xdr:rowOff>85725</xdr:rowOff>
                  </from>
                  <to>
                    <xdr:col>14</xdr:col>
                    <xdr:colOff>38100</xdr:colOff>
                    <xdr:row>96</xdr:row>
                    <xdr:rowOff>295275</xdr:rowOff>
                  </to>
                </anchor>
              </controlPr>
            </control>
          </mc:Choice>
        </mc:AlternateContent>
        <mc:AlternateContent xmlns:mc="http://schemas.openxmlformats.org/markup-compatibility/2006">
          <mc:Choice Requires="x14">
            <control shapeId="1114123" r:id="rId14" name="Option Button 11">
              <controlPr defaultSize="0" autoFill="0" autoLine="0" autoPict="0">
                <anchor moveWithCells="1">
                  <from>
                    <xdr:col>16</xdr:col>
                    <xdr:colOff>38100</xdr:colOff>
                    <xdr:row>91</xdr:row>
                    <xdr:rowOff>85725</xdr:rowOff>
                  </from>
                  <to>
                    <xdr:col>18</xdr:col>
                    <xdr:colOff>57150</xdr:colOff>
                    <xdr:row>91</xdr:row>
                    <xdr:rowOff>295275</xdr:rowOff>
                  </to>
                </anchor>
              </controlPr>
            </control>
          </mc:Choice>
        </mc:AlternateContent>
        <mc:AlternateContent xmlns:mc="http://schemas.openxmlformats.org/markup-compatibility/2006">
          <mc:Choice Requires="x14">
            <control shapeId="1114124" r:id="rId15" name="Option Button 12">
              <controlPr defaultSize="0" autoFill="0" autoLine="0" autoPict="0">
                <anchor moveWithCells="1">
                  <from>
                    <xdr:col>16</xdr:col>
                    <xdr:colOff>38100</xdr:colOff>
                    <xdr:row>92</xdr:row>
                    <xdr:rowOff>85725</xdr:rowOff>
                  </from>
                  <to>
                    <xdr:col>18</xdr:col>
                    <xdr:colOff>57150</xdr:colOff>
                    <xdr:row>92</xdr:row>
                    <xdr:rowOff>295275</xdr:rowOff>
                  </to>
                </anchor>
              </controlPr>
            </control>
          </mc:Choice>
        </mc:AlternateContent>
        <mc:AlternateContent xmlns:mc="http://schemas.openxmlformats.org/markup-compatibility/2006">
          <mc:Choice Requires="x14">
            <control shapeId="1114125" r:id="rId16" name="Option Button 13">
              <controlPr defaultSize="0" autoFill="0" autoLine="0" autoPict="0">
                <anchor moveWithCells="1">
                  <from>
                    <xdr:col>16</xdr:col>
                    <xdr:colOff>38100</xdr:colOff>
                    <xdr:row>93</xdr:row>
                    <xdr:rowOff>85725</xdr:rowOff>
                  </from>
                  <to>
                    <xdr:col>18</xdr:col>
                    <xdr:colOff>57150</xdr:colOff>
                    <xdr:row>93</xdr:row>
                    <xdr:rowOff>295275</xdr:rowOff>
                  </to>
                </anchor>
              </controlPr>
            </control>
          </mc:Choice>
        </mc:AlternateContent>
        <mc:AlternateContent xmlns:mc="http://schemas.openxmlformats.org/markup-compatibility/2006">
          <mc:Choice Requires="x14">
            <control shapeId="1114126" r:id="rId17" name="Option Button 14">
              <controlPr defaultSize="0" autoFill="0" autoLine="0" autoPict="0">
                <anchor moveWithCells="1">
                  <from>
                    <xdr:col>16</xdr:col>
                    <xdr:colOff>38100</xdr:colOff>
                    <xdr:row>94</xdr:row>
                    <xdr:rowOff>85725</xdr:rowOff>
                  </from>
                  <to>
                    <xdr:col>18</xdr:col>
                    <xdr:colOff>57150</xdr:colOff>
                    <xdr:row>94</xdr:row>
                    <xdr:rowOff>295275</xdr:rowOff>
                  </to>
                </anchor>
              </controlPr>
            </control>
          </mc:Choice>
        </mc:AlternateContent>
        <mc:AlternateContent xmlns:mc="http://schemas.openxmlformats.org/markup-compatibility/2006">
          <mc:Choice Requires="x14">
            <control shapeId="1114127" r:id="rId18" name="Option Button 15">
              <controlPr defaultSize="0" autoFill="0" autoLine="0" autoPict="0">
                <anchor moveWithCells="1">
                  <from>
                    <xdr:col>16</xdr:col>
                    <xdr:colOff>38100</xdr:colOff>
                    <xdr:row>95</xdr:row>
                    <xdr:rowOff>85725</xdr:rowOff>
                  </from>
                  <to>
                    <xdr:col>18</xdr:col>
                    <xdr:colOff>57150</xdr:colOff>
                    <xdr:row>95</xdr:row>
                    <xdr:rowOff>295275</xdr:rowOff>
                  </to>
                </anchor>
              </controlPr>
            </control>
          </mc:Choice>
        </mc:AlternateContent>
        <mc:AlternateContent xmlns:mc="http://schemas.openxmlformats.org/markup-compatibility/2006">
          <mc:Choice Requires="x14">
            <control shapeId="1114128" r:id="rId19" name="Option Button 16">
              <controlPr defaultSize="0" autoFill="0" autoLine="0" autoPict="0">
                <anchor moveWithCells="1">
                  <from>
                    <xdr:col>16</xdr:col>
                    <xdr:colOff>38100</xdr:colOff>
                    <xdr:row>96</xdr:row>
                    <xdr:rowOff>85725</xdr:rowOff>
                  </from>
                  <to>
                    <xdr:col>18</xdr:col>
                    <xdr:colOff>57150</xdr:colOff>
                    <xdr:row>96</xdr:row>
                    <xdr:rowOff>295275</xdr:rowOff>
                  </to>
                </anchor>
              </controlPr>
            </control>
          </mc:Choice>
        </mc:AlternateContent>
        <mc:AlternateContent xmlns:mc="http://schemas.openxmlformats.org/markup-compatibility/2006">
          <mc:Choice Requires="x14">
            <control shapeId="1114129" r:id="rId20" name="Option Button 17">
              <controlPr defaultSize="0" autoFill="0" autoLine="0" autoPict="0">
                <anchor moveWithCells="1">
                  <from>
                    <xdr:col>20</xdr:col>
                    <xdr:colOff>219075</xdr:colOff>
                    <xdr:row>91</xdr:row>
                    <xdr:rowOff>85725</xdr:rowOff>
                  </from>
                  <to>
                    <xdr:col>20</xdr:col>
                    <xdr:colOff>438150</xdr:colOff>
                    <xdr:row>91</xdr:row>
                    <xdr:rowOff>295275</xdr:rowOff>
                  </to>
                </anchor>
              </controlPr>
            </control>
          </mc:Choice>
        </mc:AlternateContent>
        <mc:AlternateContent xmlns:mc="http://schemas.openxmlformats.org/markup-compatibility/2006">
          <mc:Choice Requires="x14">
            <control shapeId="1114130" r:id="rId21" name="Option Button 18">
              <controlPr defaultSize="0" autoFill="0" autoLine="0" autoPict="0">
                <anchor moveWithCells="1">
                  <from>
                    <xdr:col>20</xdr:col>
                    <xdr:colOff>219075</xdr:colOff>
                    <xdr:row>92</xdr:row>
                    <xdr:rowOff>85725</xdr:rowOff>
                  </from>
                  <to>
                    <xdr:col>20</xdr:col>
                    <xdr:colOff>438150</xdr:colOff>
                    <xdr:row>92</xdr:row>
                    <xdr:rowOff>295275</xdr:rowOff>
                  </to>
                </anchor>
              </controlPr>
            </control>
          </mc:Choice>
        </mc:AlternateContent>
        <mc:AlternateContent xmlns:mc="http://schemas.openxmlformats.org/markup-compatibility/2006">
          <mc:Choice Requires="x14">
            <control shapeId="1114131" r:id="rId22" name="Option Button 19">
              <controlPr defaultSize="0" autoFill="0" autoLine="0" autoPict="0">
                <anchor moveWithCells="1">
                  <from>
                    <xdr:col>20</xdr:col>
                    <xdr:colOff>219075</xdr:colOff>
                    <xdr:row>93</xdr:row>
                    <xdr:rowOff>85725</xdr:rowOff>
                  </from>
                  <to>
                    <xdr:col>20</xdr:col>
                    <xdr:colOff>438150</xdr:colOff>
                    <xdr:row>93</xdr:row>
                    <xdr:rowOff>295275</xdr:rowOff>
                  </to>
                </anchor>
              </controlPr>
            </control>
          </mc:Choice>
        </mc:AlternateContent>
        <mc:AlternateContent xmlns:mc="http://schemas.openxmlformats.org/markup-compatibility/2006">
          <mc:Choice Requires="x14">
            <control shapeId="1114132" r:id="rId23" name="Option Button 20">
              <controlPr defaultSize="0" autoFill="0" autoLine="0" autoPict="0">
                <anchor moveWithCells="1">
                  <from>
                    <xdr:col>20</xdr:col>
                    <xdr:colOff>219075</xdr:colOff>
                    <xdr:row>94</xdr:row>
                    <xdr:rowOff>85725</xdr:rowOff>
                  </from>
                  <to>
                    <xdr:col>20</xdr:col>
                    <xdr:colOff>438150</xdr:colOff>
                    <xdr:row>94</xdr:row>
                    <xdr:rowOff>295275</xdr:rowOff>
                  </to>
                </anchor>
              </controlPr>
            </control>
          </mc:Choice>
        </mc:AlternateContent>
        <mc:AlternateContent xmlns:mc="http://schemas.openxmlformats.org/markup-compatibility/2006">
          <mc:Choice Requires="x14">
            <control shapeId="1114133" r:id="rId24" name="Option Button 21">
              <controlPr defaultSize="0" autoFill="0" autoLine="0" autoPict="0">
                <anchor moveWithCells="1">
                  <from>
                    <xdr:col>20</xdr:col>
                    <xdr:colOff>219075</xdr:colOff>
                    <xdr:row>95</xdr:row>
                    <xdr:rowOff>85725</xdr:rowOff>
                  </from>
                  <to>
                    <xdr:col>20</xdr:col>
                    <xdr:colOff>438150</xdr:colOff>
                    <xdr:row>95</xdr:row>
                    <xdr:rowOff>295275</xdr:rowOff>
                  </to>
                </anchor>
              </controlPr>
            </control>
          </mc:Choice>
        </mc:AlternateContent>
        <mc:AlternateContent xmlns:mc="http://schemas.openxmlformats.org/markup-compatibility/2006">
          <mc:Choice Requires="x14">
            <control shapeId="1114134" r:id="rId25" name="Option Button 22">
              <controlPr defaultSize="0" autoFill="0" autoLine="0" autoPict="0">
                <anchor moveWithCells="1">
                  <from>
                    <xdr:col>20</xdr:col>
                    <xdr:colOff>219075</xdr:colOff>
                    <xdr:row>96</xdr:row>
                    <xdr:rowOff>85725</xdr:rowOff>
                  </from>
                  <to>
                    <xdr:col>20</xdr:col>
                    <xdr:colOff>438150</xdr:colOff>
                    <xdr:row>96</xdr:row>
                    <xdr:rowOff>295275</xdr:rowOff>
                  </to>
                </anchor>
              </controlPr>
            </control>
          </mc:Choice>
        </mc:AlternateContent>
        <mc:AlternateContent xmlns:mc="http://schemas.openxmlformats.org/markup-compatibility/2006">
          <mc:Choice Requires="x14">
            <control shapeId="1114135" r:id="rId26" name="Option Button 23">
              <controlPr defaultSize="0" autoFill="0" autoLine="0" autoPict="0">
                <anchor moveWithCells="1">
                  <from>
                    <xdr:col>22</xdr:col>
                    <xdr:colOff>333375</xdr:colOff>
                    <xdr:row>91</xdr:row>
                    <xdr:rowOff>85725</xdr:rowOff>
                  </from>
                  <to>
                    <xdr:col>22</xdr:col>
                    <xdr:colOff>533400</xdr:colOff>
                    <xdr:row>91</xdr:row>
                    <xdr:rowOff>295275</xdr:rowOff>
                  </to>
                </anchor>
              </controlPr>
            </control>
          </mc:Choice>
        </mc:AlternateContent>
        <mc:AlternateContent xmlns:mc="http://schemas.openxmlformats.org/markup-compatibility/2006">
          <mc:Choice Requires="x14">
            <control shapeId="1114136" r:id="rId27" name="Option Button 24">
              <controlPr defaultSize="0" autoFill="0" autoLine="0" autoPict="0">
                <anchor moveWithCells="1">
                  <from>
                    <xdr:col>22</xdr:col>
                    <xdr:colOff>333375</xdr:colOff>
                    <xdr:row>92</xdr:row>
                    <xdr:rowOff>85725</xdr:rowOff>
                  </from>
                  <to>
                    <xdr:col>22</xdr:col>
                    <xdr:colOff>533400</xdr:colOff>
                    <xdr:row>92</xdr:row>
                    <xdr:rowOff>295275</xdr:rowOff>
                  </to>
                </anchor>
              </controlPr>
            </control>
          </mc:Choice>
        </mc:AlternateContent>
        <mc:AlternateContent xmlns:mc="http://schemas.openxmlformats.org/markup-compatibility/2006">
          <mc:Choice Requires="x14">
            <control shapeId="1114137" r:id="rId28" name="Option Button 25">
              <controlPr defaultSize="0" autoFill="0" autoLine="0" autoPict="0">
                <anchor moveWithCells="1">
                  <from>
                    <xdr:col>22</xdr:col>
                    <xdr:colOff>333375</xdr:colOff>
                    <xdr:row>93</xdr:row>
                    <xdr:rowOff>85725</xdr:rowOff>
                  </from>
                  <to>
                    <xdr:col>22</xdr:col>
                    <xdr:colOff>533400</xdr:colOff>
                    <xdr:row>93</xdr:row>
                    <xdr:rowOff>295275</xdr:rowOff>
                  </to>
                </anchor>
              </controlPr>
            </control>
          </mc:Choice>
        </mc:AlternateContent>
        <mc:AlternateContent xmlns:mc="http://schemas.openxmlformats.org/markup-compatibility/2006">
          <mc:Choice Requires="x14">
            <control shapeId="1114138" r:id="rId29" name="Option Button 26">
              <controlPr defaultSize="0" autoFill="0" autoLine="0" autoPict="0">
                <anchor moveWithCells="1">
                  <from>
                    <xdr:col>22</xdr:col>
                    <xdr:colOff>333375</xdr:colOff>
                    <xdr:row>94</xdr:row>
                    <xdr:rowOff>85725</xdr:rowOff>
                  </from>
                  <to>
                    <xdr:col>22</xdr:col>
                    <xdr:colOff>533400</xdr:colOff>
                    <xdr:row>94</xdr:row>
                    <xdr:rowOff>295275</xdr:rowOff>
                  </to>
                </anchor>
              </controlPr>
            </control>
          </mc:Choice>
        </mc:AlternateContent>
        <mc:AlternateContent xmlns:mc="http://schemas.openxmlformats.org/markup-compatibility/2006">
          <mc:Choice Requires="x14">
            <control shapeId="1114139" r:id="rId30" name="Option Button 27">
              <controlPr defaultSize="0" autoFill="0" autoLine="0" autoPict="0">
                <anchor moveWithCells="1">
                  <from>
                    <xdr:col>22</xdr:col>
                    <xdr:colOff>333375</xdr:colOff>
                    <xdr:row>95</xdr:row>
                    <xdr:rowOff>85725</xdr:rowOff>
                  </from>
                  <to>
                    <xdr:col>22</xdr:col>
                    <xdr:colOff>533400</xdr:colOff>
                    <xdr:row>95</xdr:row>
                    <xdr:rowOff>295275</xdr:rowOff>
                  </to>
                </anchor>
              </controlPr>
            </control>
          </mc:Choice>
        </mc:AlternateContent>
        <mc:AlternateContent xmlns:mc="http://schemas.openxmlformats.org/markup-compatibility/2006">
          <mc:Choice Requires="x14">
            <control shapeId="1114140" r:id="rId31" name="Option Button 28">
              <controlPr defaultSize="0" autoFill="0" autoLine="0" autoPict="0">
                <anchor moveWithCells="1">
                  <from>
                    <xdr:col>22</xdr:col>
                    <xdr:colOff>333375</xdr:colOff>
                    <xdr:row>96</xdr:row>
                    <xdr:rowOff>85725</xdr:rowOff>
                  </from>
                  <to>
                    <xdr:col>22</xdr:col>
                    <xdr:colOff>533400</xdr:colOff>
                    <xdr:row>96</xdr:row>
                    <xdr:rowOff>295275</xdr:rowOff>
                  </to>
                </anchor>
              </controlPr>
            </control>
          </mc:Choice>
        </mc:AlternateContent>
        <mc:AlternateContent xmlns:mc="http://schemas.openxmlformats.org/markup-compatibility/2006">
          <mc:Choice Requires="x14">
            <control shapeId="1114141" r:id="rId32" name="Option Button 29">
              <controlPr defaultSize="0" autoFill="0" autoLine="0" autoPict="0">
                <anchor moveWithCells="1">
                  <from>
                    <xdr:col>25</xdr:col>
                    <xdr:colOff>142875</xdr:colOff>
                    <xdr:row>91</xdr:row>
                    <xdr:rowOff>85725</xdr:rowOff>
                  </from>
                  <to>
                    <xdr:col>25</xdr:col>
                    <xdr:colOff>342900</xdr:colOff>
                    <xdr:row>91</xdr:row>
                    <xdr:rowOff>295275</xdr:rowOff>
                  </to>
                </anchor>
              </controlPr>
            </control>
          </mc:Choice>
        </mc:AlternateContent>
        <mc:AlternateContent xmlns:mc="http://schemas.openxmlformats.org/markup-compatibility/2006">
          <mc:Choice Requires="x14">
            <control shapeId="1114142" r:id="rId33" name="Option Button 30">
              <controlPr defaultSize="0" autoFill="0" autoLine="0" autoPict="0">
                <anchor moveWithCells="1">
                  <from>
                    <xdr:col>25</xdr:col>
                    <xdr:colOff>142875</xdr:colOff>
                    <xdr:row>92</xdr:row>
                    <xdr:rowOff>85725</xdr:rowOff>
                  </from>
                  <to>
                    <xdr:col>25</xdr:col>
                    <xdr:colOff>342900</xdr:colOff>
                    <xdr:row>92</xdr:row>
                    <xdr:rowOff>295275</xdr:rowOff>
                  </to>
                </anchor>
              </controlPr>
            </control>
          </mc:Choice>
        </mc:AlternateContent>
        <mc:AlternateContent xmlns:mc="http://schemas.openxmlformats.org/markup-compatibility/2006">
          <mc:Choice Requires="x14">
            <control shapeId="1114143" r:id="rId34" name="Option Button 31">
              <controlPr defaultSize="0" autoFill="0" autoLine="0" autoPict="0">
                <anchor moveWithCells="1">
                  <from>
                    <xdr:col>25</xdr:col>
                    <xdr:colOff>142875</xdr:colOff>
                    <xdr:row>93</xdr:row>
                    <xdr:rowOff>85725</xdr:rowOff>
                  </from>
                  <to>
                    <xdr:col>25</xdr:col>
                    <xdr:colOff>342900</xdr:colOff>
                    <xdr:row>93</xdr:row>
                    <xdr:rowOff>295275</xdr:rowOff>
                  </to>
                </anchor>
              </controlPr>
            </control>
          </mc:Choice>
        </mc:AlternateContent>
        <mc:AlternateContent xmlns:mc="http://schemas.openxmlformats.org/markup-compatibility/2006">
          <mc:Choice Requires="x14">
            <control shapeId="1114144" r:id="rId35" name="Option Button 32">
              <controlPr defaultSize="0" autoFill="0" autoLine="0" autoPict="0">
                <anchor moveWithCells="1">
                  <from>
                    <xdr:col>25</xdr:col>
                    <xdr:colOff>142875</xdr:colOff>
                    <xdr:row>94</xdr:row>
                    <xdr:rowOff>85725</xdr:rowOff>
                  </from>
                  <to>
                    <xdr:col>25</xdr:col>
                    <xdr:colOff>342900</xdr:colOff>
                    <xdr:row>94</xdr:row>
                    <xdr:rowOff>295275</xdr:rowOff>
                  </to>
                </anchor>
              </controlPr>
            </control>
          </mc:Choice>
        </mc:AlternateContent>
        <mc:AlternateContent xmlns:mc="http://schemas.openxmlformats.org/markup-compatibility/2006">
          <mc:Choice Requires="x14">
            <control shapeId="1114145" r:id="rId36" name="Option Button 33">
              <controlPr defaultSize="0" autoFill="0" autoLine="0" autoPict="0">
                <anchor moveWithCells="1">
                  <from>
                    <xdr:col>25</xdr:col>
                    <xdr:colOff>142875</xdr:colOff>
                    <xdr:row>95</xdr:row>
                    <xdr:rowOff>85725</xdr:rowOff>
                  </from>
                  <to>
                    <xdr:col>25</xdr:col>
                    <xdr:colOff>342900</xdr:colOff>
                    <xdr:row>95</xdr:row>
                    <xdr:rowOff>295275</xdr:rowOff>
                  </to>
                </anchor>
              </controlPr>
            </control>
          </mc:Choice>
        </mc:AlternateContent>
        <mc:AlternateContent xmlns:mc="http://schemas.openxmlformats.org/markup-compatibility/2006">
          <mc:Choice Requires="x14">
            <control shapeId="1114146" r:id="rId37" name="Option Button 34">
              <controlPr defaultSize="0" autoFill="0" autoLine="0" autoPict="0">
                <anchor moveWithCells="1">
                  <from>
                    <xdr:col>25</xdr:col>
                    <xdr:colOff>142875</xdr:colOff>
                    <xdr:row>96</xdr:row>
                    <xdr:rowOff>85725</xdr:rowOff>
                  </from>
                  <to>
                    <xdr:col>25</xdr:col>
                    <xdr:colOff>342900</xdr:colOff>
                    <xdr:row>96</xdr:row>
                    <xdr:rowOff>295275</xdr:rowOff>
                  </to>
                </anchor>
              </controlPr>
            </control>
          </mc:Choice>
        </mc:AlternateContent>
        <mc:AlternateContent xmlns:mc="http://schemas.openxmlformats.org/markup-compatibility/2006">
          <mc:Choice Requires="x14">
            <control shapeId="1114147" r:id="rId38" name="Option Button 35">
              <controlPr defaultSize="0" autoFill="0" autoLine="0" autoPict="0">
                <anchor moveWithCells="1">
                  <from>
                    <xdr:col>13</xdr:col>
                    <xdr:colOff>95250</xdr:colOff>
                    <xdr:row>124</xdr:row>
                    <xdr:rowOff>19050</xdr:rowOff>
                  </from>
                  <to>
                    <xdr:col>14</xdr:col>
                    <xdr:colOff>57150</xdr:colOff>
                    <xdr:row>125</xdr:row>
                    <xdr:rowOff>0</xdr:rowOff>
                  </to>
                </anchor>
              </controlPr>
            </control>
          </mc:Choice>
        </mc:AlternateContent>
        <mc:AlternateContent xmlns:mc="http://schemas.openxmlformats.org/markup-compatibility/2006">
          <mc:Choice Requires="x14">
            <control shapeId="1114148" r:id="rId39" name="Option Button 36">
              <controlPr defaultSize="0" autoFill="0" autoLine="0" autoPict="0">
                <anchor moveWithCells="1">
                  <from>
                    <xdr:col>13</xdr:col>
                    <xdr:colOff>95250</xdr:colOff>
                    <xdr:row>125</xdr:row>
                    <xdr:rowOff>19050</xdr:rowOff>
                  </from>
                  <to>
                    <xdr:col>14</xdr:col>
                    <xdr:colOff>57150</xdr:colOff>
                    <xdr:row>126</xdr:row>
                    <xdr:rowOff>0</xdr:rowOff>
                  </to>
                </anchor>
              </controlPr>
            </control>
          </mc:Choice>
        </mc:AlternateContent>
        <mc:AlternateContent xmlns:mc="http://schemas.openxmlformats.org/markup-compatibility/2006">
          <mc:Choice Requires="x14">
            <control shapeId="1114149" r:id="rId40" name="Option Button 37">
              <controlPr defaultSize="0" autoFill="0" autoLine="0" autoPict="0">
                <anchor moveWithCells="1">
                  <from>
                    <xdr:col>16</xdr:col>
                    <xdr:colOff>38100</xdr:colOff>
                    <xdr:row>124</xdr:row>
                    <xdr:rowOff>19050</xdr:rowOff>
                  </from>
                  <to>
                    <xdr:col>18</xdr:col>
                    <xdr:colOff>57150</xdr:colOff>
                    <xdr:row>125</xdr:row>
                    <xdr:rowOff>0</xdr:rowOff>
                  </to>
                </anchor>
              </controlPr>
            </control>
          </mc:Choice>
        </mc:AlternateContent>
        <mc:AlternateContent xmlns:mc="http://schemas.openxmlformats.org/markup-compatibility/2006">
          <mc:Choice Requires="x14">
            <control shapeId="1114150" r:id="rId41" name="Option Button 38">
              <controlPr defaultSize="0" autoFill="0" autoLine="0" autoPict="0">
                <anchor moveWithCells="1">
                  <from>
                    <xdr:col>16</xdr:col>
                    <xdr:colOff>38100</xdr:colOff>
                    <xdr:row>125</xdr:row>
                    <xdr:rowOff>19050</xdr:rowOff>
                  </from>
                  <to>
                    <xdr:col>18</xdr:col>
                    <xdr:colOff>57150</xdr:colOff>
                    <xdr:row>126</xdr:row>
                    <xdr:rowOff>0</xdr:rowOff>
                  </to>
                </anchor>
              </controlPr>
            </control>
          </mc:Choice>
        </mc:AlternateContent>
        <mc:AlternateContent xmlns:mc="http://schemas.openxmlformats.org/markup-compatibility/2006">
          <mc:Choice Requires="x14">
            <control shapeId="1114151" r:id="rId42" name="Option Button 39">
              <controlPr defaultSize="0" autoFill="0" autoLine="0" autoPict="0">
                <anchor moveWithCells="1">
                  <from>
                    <xdr:col>20</xdr:col>
                    <xdr:colOff>180975</xdr:colOff>
                    <xdr:row>124</xdr:row>
                    <xdr:rowOff>19050</xdr:rowOff>
                  </from>
                  <to>
                    <xdr:col>20</xdr:col>
                    <xdr:colOff>390525</xdr:colOff>
                    <xdr:row>125</xdr:row>
                    <xdr:rowOff>0</xdr:rowOff>
                  </to>
                </anchor>
              </controlPr>
            </control>
          </mc:Choice>
        </mc:AlternateContent>
        <mc:AlternateContent xmlns:mc="http://schemas.openxmlformats.org/markup-compatibility/2006">
          <mc:Choice Requires="x14">
            <control shapeId="1114152" r:id="rId43" name="Option Button 40">
              <controlPr defaultSize="0" autoFill="0" autoLine="0" autoPict="0">
                <anchor moveWithCells="1">
                  <from>
                    <xdr:col>20</xdr:col>
                    <xdr:colOff>180975</xdr:colOff>
                    <xdr:row>125</xdr:row>
                    <xdr:rowOff>19050</xdr:rowOff>
                  </from>
                  <to>
                    <xdr:col>20</xdr:col>
                    <xdr:colOff>390525</xdr:colOff>
                    <xdr:row>126</xdr:row>
                    <xdr:rowOff>0</xdr:rowOff>
                  </to>
                </anchor>
              </controlPr>
            </control>
          </mc:Choice>
        </mc:AlternateContent>
        <mc:AlternateContent xmlns:mc="http://schemas.openxmlformats.org/markup-compatibility/2006">
          <mc:Choice Requires="x14">
            <control shapeId="1114153" r:id="rId44" name="Option Button 41">
              <controlPr defaultSize="0" autoFill="0" autoLine="0" autoPict="0">
                <anchor moveWithCells="1">
                  <from>
                    <xdr:col>22</xdr:col>
                    <xdr:colOff>333375</xdr:colOff>
                    <xdr:row>124</xdr:row>
                    <xdr:rowOff>19050</xdr:rowOff>
                  </from>
                  <to>
                    <xdr:col>22</xdr:col>
                    <xdr:colOff>561975</xdr:colOff>
                    <xdr:row>125</xdr:row>
                    <xdr:rowOff>0</xdr:rowOff>
                  </to>
                </anchor>
              </controlPr>
            </control>
          </mc:Choice>
        </mc:AlternateContent>
        <mc:AlternateContent xmlns:mc="http://schemas.openxmlformats.org/markup-compatibility/2006">
          <mc:Choice Requires="x14">
            <control shapeId="1114154" r:id="rId45" name="Option Button 42">
              <controlPr defaultSize="0" autoFill="0" autoLine="0" autoPict="0">
                <anchor moveWithCells="1">
                  <from>
                    <xdr:col>22</xdr:col>
                    <xdr:colOff>333375</xdr:colOff>
                    <xdr:row>125</xdr:row>
                    <xdr:rowOff>19050</xdr:rowOff>
                  </from>
                  <to>
                    <xdr:col>22</xdr:col>
                    <xdr:colOff>561975</xdr:colOff>
                    <xdr:row>126</xdr:row>
                    <xdr:rowOff>0</xdr:rowOff>
                  </to>
                </anchor>
              </controlPr>
            </control>
          </mc:Choice>
        </mc:AlternateContent>
        <mc:AlternateContent xmlns:mc="http://schemas.openxmlformats.org/markup-compatibility/2006">
          <mc:Choice Requires="x14">
            <control shapeId="1114155" r:id="rId46" name="Option Button 43">
              <controlPr defaultSize="0" autoFill="0" autoLine="0" autoPict="0">
                <anchor moveWithCells="1">
                  <from>
                    <xdr:col>25</xdr:col>
                    <xdr:colOff>133350</xdr:colOff>
                    <xdr:row>124</xdr:row>
                    <xdr:rowOff>19050</xdr:rowOff>
                  </from>
                  <to>
                    <xdr:col>25</xdr:col>
                    <xdr:colOff>342900</xdr:colOff>
                    <xdr:row>125</xdr:row>
                    <xdr:rowOff>0</xdr:rowOff>
                  </to>
                </anchor>
              </controlPr>
            </control>
          </mc:Choice>
        </mc:AlternateContent>
        <mc:AlternateContent xmlns:mc="http://schemas.openxmlformats.org/markup-compatibility/2006">
          <mc:Choice Requires="x14">
            <control shapeId="1114156" r:id="rId47" name="Option Button 44">
              <controlPr defaultSize="0" autoFill="0" autoLine="0" autoPict="0">
                <anchor moveWithCells="1">
                  <from>
                    <xdr:col>25</xdr:col>
                    <xdr:colOff>133350</xdr:colOff>
                    <xdr:row>125</xdr:row>
                    <xdr:rowOff>19050</xdr:rowOff>
                  </from>
                  <to>
                    <xdr:col>25</xdr:col>
                    <xdr:colOff>342900</xdr:colOff>
                    <xdr:row>126</xdr:row>
                    <xdr:rowOff>0</xdr:rowOff>
                  </to>
                </anchor>
              </controlPr>
            </control>
          </mc:Choice>
        </mc:AlternateContent>
        <mc:AlternateContent xmlns:mc="http://schemas.openxmlformats.org/markup-compatibility/2006">
          <mc:Choice Requires="x14">
            <control shapeId="1114157" r:id="rId48" name="Group Box 45">
              <controlPr defaultSize="0" autoFill="0" autoPict="0">
                <anchor moveWithCells="1">
                  <from>
                    <xdr:col>13</xdr:col>
                    <xdr:colOff>0</xdr:colOff>
                    <xdr:row>145</xdr:row>
                    <xdr:rowOff>200025</xdr:rowOff>
                  </from>
                  <to>
                    <xdr:col>27</xdr:col>
                    <xdr:colOff>200025</xdr:colOff>
                    <xdr:row>147</xdr:row>
                    <xdr:rowOff>0</xdr:rowOff>
                  </to>
                </anchor>
              </controlPr>
            </control>
          </mc:Choice>
        </mc:AlternateContent>
        <mc:AlternateContent xmlns:mc="http://schemas.openxmlformats.org/markup-compatibility/2006">
          <mc:Choice Requires="x14">
            <control shapeId="1114158" r:id="rId49" name="Group Box 46">
              <controlPr defaultSize="0" autoFill="0" autoPict="0">
                <anchor moveWithCells="1">
                  <from>
                    <xdr:col>13</xdr:col>
                    <xdr:colOff>0</xdr:colOff>
                    <xdr:row>148</xdr:row>
                    <xdr:rowOff>238125</xdr:rowOff>
                  </from>
                  <to>
                    <xdr:col>27</xdr:col>
                    <xdr:colOff>200025</xdr:colOff>
                    <xdr:row>150</xdr:row>
                    <xdr:rowOff>0</xdr:rowOff>
                  </to>
                </anchor>
              </controlPr>
            </control>
          </mc:Choice>
        </mc:AlternateContent>
        <mc:AlternateContent xmlns:mc="http://schemas.openxmlformats.org/markup-compatibility/2006">
          <mc:Choice Requires="x14">
            <control shapeId="1114159" r:id="rId50" name="Group Box 47">
              <controlPr defaultSize="0" autoFill="0" autoPict="0">
                <anchor moveWithCells="1">
                  <from>
                    <xdr:col>13</xdr:col>
                    <xdr:colOff>0</xdr:colOff>
                    <xdr:row>149</xdr:row>
                    <xdr:rowOff>238125</xdr:rowOff>
                  </from>
                  <to>
                    <xdr:col>27</xdr:col>
                    <xdr:colOff>200025</xdr:colOff>
                    <xdr:row>151</xdr:row>
                    <xdr:rowOff>0</xdr:rowOff>
                  </to>
                </anchor>
              </controlPr>
            </control>
          </mc:Choice>
        </mc:AlternateContent>
        <mc:AlternateContent xmlns:mc="http://schemas.openxmlformats.org/markup-compatibility/2006">
          <mc:Choice Requires="x14">
            <control shapeId="1114160" r:id="rId51" name="Option Button 48">
              <controlPr defaultSize="0" autoFill="0" autoLine="0" autoPict="0">
                <anchor moveWithCells="1">
                  <from>
                    <xdr:col>14</xdr:col>
                    <xdr:colOff>85725</xdr:colOff>
                    <xdr:row>146</xdr:row>
                    <xdr:rowOff>19050</xdr:rowOff>
                  </from>
                  <to>
                    <xdr:col>14</xdr:col>
                    <xdr:colOff>295275</xdr:colOff>
                    <xdr:row>147</xdr:row>
                    <xdr:rowOff>0</xdr:rowOff>
                  </to>
                </anchor>
              </controlPr>
            </control>
          </mc:Choice>
        </mc:AlternateContent>
        <mc:AlternateContent xmlns:mc="http://schemas.openxmlformats.org/markup-compatibility/2006">
          <mc:Choice Requires="x14">
            <control shapeId="1114161" r:id="rId52" name="Option Button 49">
              <controlPr defaultSize="0" autoFill="0" autoLine="0" autoPict="0">
                <anchor moveWithCells="1">
                  <from>
                    <xdr:col>14</xdr:col>
                    <xdr:colOff>66675</xdr:colOff>
                    <xdr:row>147</xdr:row>
                    <xdr:rowOff>19050</xdr:rowOff>
                  </from>
                  <to>
                    <xdr:col>14</xdr:col>
                    <xdr:colOff>295275</xdr:colOff>
                    <xdr:row>148</xdr:row>
                    <xdr:rowOff>0</xdr:rowOff>
                  </to>
                </anchor>
              </controlPr>
            </control>
          </mc:Choice>
        </mc:AlternateContent>
        <mc:AlternateContent xmlns:mc="http://schemas.openxmlformats.org/markup-compatibility/2006">
          <mc:Choice Requires="x14">
            <control shapeId="1114162" r:id="rId53" name="Option Button 50">
              <controlPr defaultSize="0" autoFill="0" autoLine="0" autoPict="0">
                <anchor moveWithCells="1">
                  <from>
                    <xdr:col>14</xdr:col>
                    <xdr:colOff>66675</xdr:colOff>
                    <xdr:row>148</xdr:row>
                    <xdr:rowOff>19050</xdr:rowOff>
                  </from>
                  <to>
                    <xdr:col>14</xdr:col>
                    <xdr:colOff>295275</xdr:colOff>
                    <xdr:row>149</xdr:row>
                    <xdr:rowOff>0</xdr:rowOff>
                  </to>
                </anchor>
              </controlPr>
            </control>
          </mc:Choice>
        </mc:AlternateContent>
        <mc:AlternateContent xmlns:mc="http://schemas.openxmlformats.org/markup-compatibility/2006">
          <mc:Choice Requires="x14">
            <control shapeId="1114163" r:id="rId54" name="Option Button 51">
              <controlPr defaultSize="0" autoFill="0" autoLine="0" autoPict="0">
                <anchor moveWithCells="1">
                  <from>
                    <xdr:col>14</xdr:col>
                    <xdr:colOff>66675</xdr:colOff>
                    <xdr:row>149</xdr:row>
                    <xdr:rowOff>19050</xdr:rowOff>
                  </from>
                  <to>
                    <xdr:col>14</xdr:col>
                    <xdr:colOff>295275</xdr:colOff>
                    <xdr:row>150</xdr:row>
                    <xdr:rowOff>0</xdr:rowOff>
                  </to>
                </anchor>
              </controlPr>
            </control>
          </mc:Choice>
        </mc:AlternateContent>
        <mc:AlternateContent xmlns:mc="http://schemas.openxmlformats.org/markup-compatibility/2006">
          <mc:Choice Requires="x14">
            <control shapeId="1114164" r:id="rId55" name="Option Button 52">
              <controlPr defaultSize="0" autoFill="0" autoLine="0" autoPict="0">
                <anchor moveWithCells="1">
                  <from>
                    <xdr:col>19</xdr:col>
                    <xdr:colOff>76200</xdr:colOff>
                    <xdr:row>146</xdr:row>
                    <xdr:rowOff>19050</xdr:rowOff>
                  </from>
                  <to>
                    <xdr:col>20</xdr:col>
                    <xdr:colOff>85725</xdr:colOff>
                    <xdr:row>147</xdr:row>
                    <xdr:rowOff>0</xdr:rowOff>
                  </to>
                </anchor>
              </controlPr>
            </control>
          </mc:Choice>
        </mc:AlternateContent>
        <mc:AlternateContent xmlns:mc="http://schemas.openxmlformats.org/markup-compatibility/2006">
          <mc:Choice Requires="x14">
            <control shapeId="1114165" r:id="rId56" name="Option Button 53">
              <controlPr defaultSize="0" autoFill="0" autoLine="0" autoPict="0">
                <anchor moveWithCells="1">
                  <from>
                    <xdr:col>19</xdr:col>
                    <xdr:colOff>57150</xdr:colOff>
                    <xdr:row>147</xdr:row>
                    <xdr:rowOff>19050</xdr:rowOff>
                  </from>
                  <to>
                    <xdr:col>20</xdr:col>
                    <xdr:colOff>57150</xdr:colOff>
                    <xdr:row>148</xdr:row>
                    <xdr:rowOff>0</xdr:rowOff>
                  </to>
                </anchor>
              </controlPr>
            </control>
          </mc:Choice>
        </mc:AlternateContent>
        <mc:AlternateContent xmlns:mc="http://schemas.openxmlformats.org/markup-compatibility/2006">
          <mc:Choice Requires="x14">
            <control shapeId="1114166" r:id="rId57" name="Option Button 54">
              <controlPr defaultSize="0" autoFill="0" autoLine="0" autoPict="0">
                <anchor moveWithCells="1">
                  <from>
                    <xdr:col>19</xdr:col>
                    <xdr:colOff>57150</xdr:colOff>
                    <xdr:row>148</xdr:row>
                    <xdr:rowOff>19050</xdr:rowOff>
                  </from>
                  <to>
                    <xdr:col>20</xdr:col>
                    <xdr:colOff>57150</xdr:colOff>
                    <xdr:row>149</xdr:row>
                    <xdr:rowOff>0</xdr:rowOff>
                  </to>
                </anchor>
              </controlPr>
            </control>
          </mc:Choice>
        </mc:AlternateContent>
        <mc:AlternateContent xmlns:mc="http://schemas.openxmlformats.org/markup-compatibility/2006">
          <mc:Choice Requires="x14">
            <control shapeId="1114167" r:id="rId58" name="Option Button 55">
              <controlPr defaultSize="0" autoFill="0" autoLine="0" autoPict="0">
                <anchor moveWithCells="1">
                  <from>
                    <xdr:col>19</xdr:col>
                    <xdr:colOff>57150</xdr:colOff>
                    <xdr:row>149</xdr:row>
                    <xdr:rowOff>19050</xdr:rowOff>
                  </from>
                  <to>
                    <xdr:col>20</xdr:col>
                    <xdr:colOff>57150</xdr:colOff>
                    <xdr:row>150</xdr:row>
                    <xdr:rowOff>0</xdr:rowOff>
                  </to>
                </anchor>
              </controlPr>
            </control>
          </mc:Choice>
        </mc:AlternateContent>
        <mc:AlternateContent xmlns:mc="http://schemas.openxmlformats.org/markup-compatibility/2006">
          <mc:Choice Requires="x14">
            <control shapeId="1114168" r:id="rId59" name="Option Button 56">
              <controlPr defaultSize="0" autoFill="0" autoLine="0" autoPict="0">
                <anchor moveWithCells="1">
                  <from>
                    <xdr:col>14</xdr:col>
                    <xdr:colOff>76200</xdr:colOff>
                    <xdr:row>150</xdr:row>
                    <xdr:rowOff>19050</xdr:rowOff>
                  </from>
                  <to>
                    <xdr:col>14</xdr:col>
                    <xdr:colOff>295275</xdr:colOff>
                    <xdr:row>151</xdr:row>
                    <xdr:rowOff>0</xdr:rowOff>
                  </to>
                </anchor>
              </controlPr>
            </control>
          </mc:Choice>
        </mc:AlternateContent>
        <mc:AlternateContent xmlns:mc="http://schemas.openxmlformats.org/markup-compatibility/2006">
          <mc:Choice Requires="x14">
            <control shapeId="1114169" r:id="rId60" name="Option Button 57">
              <controlPr defaultSize="0" autoFill="0" autoLine="0" autoPict="0">
                <anchor moveWithCells="1">
                  <from>
                    <xdr:col>22</xdr:col>
                    <xdr:colOff>200025</xdr:colOff>
                    <xdr:row>146</xdr:row>
                    <xdr:rowOff>19050</xdr:rowOff>
                  </from>
                  <to>
                    <xdr:col>22</xdr:col>
                    <xdr:colOff>419100</xdr:colOff>
                    <xdr:row>147</xdr:row>
                    <xdr:rowOff>0</xdr:rowOff>
                  </to>
                </anchor>
              </controlPr>
            </control>
          </mc:Choice>
        </mc:AlternateContent>
        <mc:AlternateContent xmlns:mc="http://schemas.openxmlformats.org/markup-compatibility/2006">
          <mc:Choice Requires="x14">
            <control shapeId="1114170" r:id="rId61" name="Option Button 58">
              <controlPr defaultSize="0" autoFill="0" autoLine="0" autoPict="0">
                <anchor moveWithCells="1">
                  <from>
                    <xdr:col>22</xdr:col>
                    <xdr:colOff>180975</xdr:colOff>
                    <xdr:row>147</xdr:row>
                    <xdr:rowOff>19050</xdr:rowOff>
                  </from>
                  <to>
                    <xdr:col>22</xdr:col>
                    <xdr:colOff>390525</xdr:colOff>
                    <xdr:row>148</xdr:row>
                    <xdr:rowOff>0</xdr:rowOff>
                  </to>
                </anchor>
              </controlPr>
            </control>
          </mc:Choice>
        </mc:AlternateContent>
        <mc:AlternateContent xmlns:mc="http://schemas.openxmlformats.org/markup-compatibility/2006">
          <mc:Choice Requires="x14">
            <control shapeId="1114171" r:id="rId62" name="Option Button 59">
              <controlPr defaultSize="0" autoFill="0" autoLine="0" autoPict="0">
                <anchor moveWithCells="1">
                  <from>
                    <xdr:col>22</xdr:col>
                    <xdr:colOff>180975</xdr:colOff>
                    <xdr:row>148</xdr:row>
                    <xdr:rowOff>19050</xdr:rowOff>
                  </from>
                  <to>
                    <xdr:col>22</xdr:col>
                    <xdr:colOff>390525</xdr:colOff>
                    <xdr:row>149</xdr:row>
                    <xdr:rowOff>0</xdr:rowOff>
                  </to>
                </anchor>
              </controlPr>
            </control>
          </mc:Choice>
        </mc:AlternateContent>
        <mc:AlternateContent xmlns:mc="http://schemas.openxmlformats.org/markup-compatibility/2006">
          <mc:Choice Requires="x14">
            <control shapeId="1114172" r:id="rId63" name="Option Button 60">
              <controlPr defaultSize="0" autoFill="0" autoLine="0" autoPict="0">
                <anchor moveWithCells="1">
                  <from>
                    <xdr:col>22</xdr:col>
                    <xdr:colOff>180975</xdr:colOff>
                    <xdr:row>149</xdr:row>
                    <xdr:rowOff>19050</xdr:rowOff>
                  </from>
                  <to>
                    <xdr:col>22</xdr:col>
                    <xdr:colOff>390525</xdr:colOff>
                    <xdr:row>150</xdr:row>
                    <xdr:rowOff>0</xdr:rowOff>
                  </to>
                </anchor>
              </controlPr>
            </control>
          </mc:Choice>
        </mc:AlternateContent>
        <mc:AlternateContent xmlns:mc="http://schemas.openxmlformats.org/markup-compatibility/2006">
          <mc:Choice Requires="x14">
            <control shapeId="1114173" r:id="rId64" name="Option Button 61">
              <controlPr defaultSize="0" autoFill="0" autoLine="0" autoPict="0">
                <anchor moveWithCells="1">
                  <from>
                    <xdr:col>19</xdr:col>
                    <xdr:colOff>57150</xdr:colOff>
                    <xdr:row>150</xdr:row>
                    <xdr:rowOff>19050</xdr:rowOff>
                  </from>
                  <to>
                    <xdr:col>20</xdr:col>
                    <xdr:colOff>57150</xdr:colOff>
                    <xdr:row>151</xdr:row>
                    <xdr:rowOff>0</xdr:rowOff>
                  </to>
                </anchor>
              </controlPr>
            </control>
          </mc:Choice>
        </mc:AlternateContent>
        <mc:AlternateContent xmlns:mc="http://schemas.openxmlformats.org/markup-compatibility/2006">
          <mc:Choice Requires="x14">
            <control shapeId="1114174" r:id="rId65" name="Option Button 62">
              <controlPr defaultSize="0" autoFill="0" autoLine="0" autoPict="0">
                <anchor moveWithCells="1">
                  <from>
                    <xdr:col>24</xdr:col>
                    <xdr:colOff>19050</xdr:colOff>
                    <xdr:row>146</xdr:row>
                    <xdr:rowOff>19050</xdr:rowOff>
                  </from>
                  <to>
                    <xdr:col>24</xdr:col>
                    <xdr:colOff>247650</xdr:colOff>
                    <xdr:row>147</xdr:row>
                    <xdr:rowOff>0</xdr:rowOff>
                  </to>
                </anchor>
              </controlPr>
            </control>
          </mc:Choice>
        </mc:AlternateContent>
        <mc:AlternateContent xmlns:mc="http://schemas.openxmlformats.org/markup-compatibility/2006">
          <mc:Choice Requires="x14">
            <control shapeId="1114175" r:id="rId66" name="Option Button 63">
              <controlPr defaultSize="0" autoFill="0" autoLine="0" autoPict="0">
                <anchor moveWithCells="1">
                  <from>
                    <xdr:col>24</xdr:col>
                    <xdr:colOff>0</xdr:colOff>
                    <xdr:row>147</xdr:row>
                    <xdr:rowOff>19050</xdr:rowOff>
                  </from>
                  <to>
                    <xdr:col>24</xdr:col>
                    <xdr:colOff>228600</xdr:colOff>
                    <xdr:row>148</xdr:row>
                    <xdr:rowOff>0</xdr:rowOff>
                  </to>
                </anchor>
              </controlPr>
            </control>
          </mc:Choice>
        </mc:AlternateContent>
        <mc:AlternateContent xmlns:mc="http://schemas.openxmlformats.org/markup-compatibility/2006">
          <mc:Choice Requires="x14">
            <control shapeId="1114176" r:id="rId67" name="Option Button 64">
              <controlPr defaultSize="0" autoFill="0" autoLine="0" autoPict="0">
                <anchor moveWithCells="1">
                  <from>
                    <xdr:col>24</xdr:col>
                    <xdr:colOff>0</xdr:colOff>
                    <xdr:row>148</xdr:row>
                    <xdr:rowOff>19050</xdr:rowOff>
                  </from>
                  <to>
                    <xdr:col>24</xdr:col>
                    <xdr:colOff>228600</xdr:colOff>
                    <xdr:row>149</xdr:row>
                    <xdr:rowOff>0</xdr:rowOff>
                  </to>
                </anchor>
              </controlPr>
            </control>
          </mc:Choice>
        </mc:AlternateContent>
        <mc:AlternateContent xmlns:mc="http://schemas.openxmlformats.org/markup-compatibility/2006">
          <mc:Choice Requires="x14">
            <control shapeId="1114177" r:id="rId68" name="Option Button 65">
              <controlPr defaultSize="0" autoFill="0" autoLine="0" autoPict="0">
                <anchor moveWithCells="1">
                  <from>
                    <xdr:col>24</xdr:col>
                    <xdr:colOff>0</xdr:colOff>
                    <xdr:row>149</xdr:row>
                    <xdr:rowOff>19050</xdr:rowOff>
                  </from>
                  <to>
                    <xdr:col>24</xdr:col>
                    <xdr:colOff>228600</xdr:colOff>
                    <xdr:row>150</xdr:row>
                    <xdr:rowOff>0</xdr:rowOff>
                  </to>
                </anchor>
              </controlPr>
            </control>
          </mc:Choice>
        </mc:AlternateContent>
        <mc:AlternateContent xmlns:mc="http://schemas.openxmlformats.org/markup-compatibility/2006">
          <mc:Choice Requires="x14">
            <control shapeId="1114178" r:id="rId69" name="Option Button 66">
              <controlPr defaultSize="0" autoFill="0" autoLine="0" autoPict="0">
                <anchor moveWithCells="1">
                  <from>
                    <xdr:col>22</xdr:col>
                    <xdr:colOff>161925</xdr:colOff>
                    <xdr:row>150</xdr:row>
                    <xdr:rowOff>9525</xdr:rowOff>
                  </from>
                  <to>
                    <xdr:col>22</xdr:col>
                    <xdr:colOff>381000</xdr:colOff>
                    <xdr:row>150</xdr:row>
                    <xdr:rowOff>228600</xdr:rowOff>
                  </to>
                </anchor>
              </controlPr>
            </control>
          </mc:Choice>
        </mc:AlternateContent>
        <mc:AlternateContent xmlns:mc="http://schemas.openxmlformats.org/markup-compatibility/2006">
          <mc:Choice Requires="x14">
            <control shapeId="1114179" r:id="rId70" name="Option Button 67">
              <controlPr defaultSize="0" autoFill="0" autoLine="0" autoPict="0">
                <anchor moveWithCells="1">
                  <from>
                    <xdr:col>26</xdr:col>
                    <xdr:colOff>38100</xdr:colOff>
                    <xdr:row>146</xdr:row>
                    <xdr:rowOff>19050</xdr:rowOff>
                  </from>
                  <to>
                    <xdr:col>26</xdr:col>
                    <xdr:colOff>257175</xdr:colOff>
                    <xdr:row>147</xdr:row>
                    <xdr:rowOff>0</xdr:rowOff>
                  </to>
                </anchor>
              </controlPr>
            </control>
          </mc:Choice>
        </mc:AlternateContent>
        <mc:AlternateContent xmlns:mc="http://schemas.openxmlformats.org/markup-compatibility/2006">
          <mc:Choice Requires="x14">
            <control shapeId="1114180" r:id="rId71" name="Option Button 68">
              <controlPr defaultSize="0" autoFill="0" autoLine="0" autoPict="0">
                <anchor moveWithCells="1">
                  <from>
                    <xdr:col>26</xdr:col>
                    <xdr:colOff>19050</xdr:colOff>
                    <xdr:row>147</xdr:row>
                    <xdr:rowOff>19050</xdr:rowOff>
                  </from>
                  <to>
                    <xdr:col>26</xdr:col>
                    <xdr:colOff>247650</xdr:colOff>
                    <xdr:row>148</xdr:row>
                    <xdr:rowOff>0</xdr:rowOff>
                  </to>
                </anchor>
              </controlPr>
            </control>
          </mc:Choice>
        </mc:AlternateContent>
        <mc:AlternateContent xmlns:mc="http://schemas.openxmlformats.org/markup-compatibility/2006">
          <mc:Choice Requires="x14">
            <control shapeId="1114181" r:id="rId72" name="Option Button 69">
              <controlPr defaultSize="0" autoFill="0" autoLine="0" autoPict="0">
                <anchor moveWithCells="1">
                  <from>
                    <xdr:col>26</xdr:col>
                    <xdr:colOff>19050</xdr:colOff>
                    <xdr:row>148</xdr:row>
                    <xdr:rowOff>19050</xdr:rowOff>
                  </from>
                  <to>
                    <xdr:col>26</xdr:col>
                    <xdr:colOff>247650</xdr:colOff>
                    <xdr:row>149</xdr:row>
                    <xdr:rowOff>0</xdr:rowOff>
                  </to>
                </anchor>
              </controlPr>
            </control>
          </mc:Choice>
        </mc:AlternateContent>
        <mc:AlternateContent xmlns:mc="http://schemas.openxmlformats.org/markup-compatibility/2006">
          <mc:Choice Requires="x14">
            <control shapeId="1114182" r:id="rId73" name="Option Button 70">
              <controlPr defaultSize="0" autoFill="0" autoLine="0" autoPict="0">
                <anchor moveWithCells="1">
                  <from>
                    <xdr:col>26</xdr:col>
                    <xdr:colOff>19050</xdr:colOff>
                    <xdr:row>149</xdr:row>
                    <xdr:rowOff>19050</xdr:rowOff>
                  </from>
                  <to>
                    <xdr:col>26</xdr:col>
                    <xdr:colOff>247650</xdr:colOff>
                    <xdr:row>150</xdr:row>
                    <xdr:rowOff>0</xdr:rowOff>
                  </to>
                </anchor>
              </controlPr>
            </control>
          </mc:Choice>
        </mc:AlternateContent>
        <mc:AlternateContent xmlns:mc="http://schemas.openxmlformats.org/markup-compatibility/2006">
          <mc:Choice Requires="x14">
            <control shapeId="1114183" r:id="rId74" name="Option Button 71">
              <controlPr defaultSize="0" autoFill="0" autoLine="0" autoPict="0">
                <anchor moveWithCells="1">
                  <from>
                    <xdr:col>24</xdr:col>
                    <xdr:colOff>9525</xdr:colOff>
                    <xdr:row>150</xdr:row>
                    <xdr:rowOff>19050</xdr:rowOff>
                  </from>
                  <to>
                    <xdr:col>24</xdr:col>
                    <xdr:colOff>247650</xdr:colOff>
                    <xdr:row>151</xdr:row>
                    <xdr:rowOff>0</xdr:rowOff>
                  </to>
                </anchor>
              </controlPr>
            </control>
          </mc:Choice>
        </mc:AlternateContent>
        <mc:AlternateContent xmlns:mc="http://schemas.openxmlformats.org/markup-compatibility/2006">
          <mc:Choice Requires="x14">
            <control shapeId="1114184" r:id="rId75" name="Group Box 72">
              <controlPr defaultSize="0" autoFill="0" autoPict="0">
                <anchor moveWithCells="1">
                  <from>
                    <xdr:col>7</xdr:col>
                    <xdr:colOff>152400</xdr:colOff>
                    <xdr:row>12</xdr:row>
                    <xdr:rowOff>0</xdr:rowOff>
                  </from>
                  <to>
                    <xdr:col>14</xdr:col>
                    <xdr:colOff>381000</xdr:colOff>
                    <xdr:row>13</xdr:row>
                    <xdr:rowOff>9525</xdr:rowOff>
                  </to>
                </anchor>
              </controlPr>
            </control>
          </mc:Choice>
        </mc:AlternateContent>
        <mc:AlternateContent xmlns:mc="http://schemas.openxmlformats.org/markup-compatibility/2006">
          <mc:Choice Requires="x14">
            <control shapeId="1114185" r:id="rId76" name="Option Button 73">
              <controlPr defaultSize="0" autoFill="0" autoLine="0" autoPict="0">
                <anchor moveWithCells="1">
                  <from>
                    <xdr:col>7</xdr:col>
                    <xdr:colOff>161925</xdr:colOff>
                    <xdr:row>12</xdr:row>
                    <xdr:rowOff>57150</xdr:rowOff>
                  </from>
                  <to>
                    <xdr:col>9</xdr:col>
                    <xdr:colOff>66675</xdr:colOff>
                    <xdr:row>12</xdr:row>
                    <xdr:rowOff>295275</xdr:rowOff>
                  </to>
                </anchor>
              </controlPr>
            </control>
          </mc:Choice>
        </mc:AlternateContent>
        <mc:AlternateContent xmlns:mc="http://schemas.openxmlformats.org/markup-compatibility/2006">
          <mc:Choice Requires="x14">
            <control shapeId="1114186" r:id="rId77" name="Option Button 74">
              <controlPr defaultSize="0" autoFill="0" autoLine="0" autoPict="0">
                <anchor moveWithCells="1">
                  <from>
                    <xdr:col>11</xdr:col>
                    <xdr:colOff>47625</xdr:colOff>
                    <xdr:row>12</xdr:row>
                    <xdr:rowOff>57150</xdr:rowOff>
                  </from>
                  <to>
                    <xdr:col>12</xdr:col>
                    <xdr:colOff>123825</xdr:colOff>
                    <xdr:row>12</xdr:row>
                    <xdr:rowOff>295275</xdr:rowOff>
                  </to>
                </anchor>
              </controlPr>
            </control>
          </mc:Choice>
        </mc:AlternateContent>
        <mc:AlternateContent xmlns:mc="http://schemas.openxmlformats.org/markup-compatibility/2006">
          <mc:Choice Requires="x14">
            <control shapeId="1114187" r:id="rId78" name="Group Box 75">
              <controlPr defaultSize="0" autoFill="0" autoPict="0">
                <anchor moveWithCells="1">
                  <from>
                    <xdr:col>12</xdr:col>
                    <xdr:colOff>0</xdr:colOff>
                    <xdr:row>90</xdr:row>
                    <xdr:rowOff>200025</xdr:rowOff>
                  </from>
                  <to>
                    <xdr:col>27</xdr:col>
                    <xdr:colOff>9525</xdr:colOff>
                    <xdr:row>92</xdr:row>
                    <xdr:rowOff>9525</xdr:rowOff>
                  </to>
                </anchor>
              </controlPr>
            </control>
          </mc:Choice>
        </mc:AlternateContent>
        <mc:AlternateContent xmlns:mc="http://schemas.openxmlformats.org/markup-compatibility/2006">
          <mc:Choice Requires="x14">
            <control shapeId="1114188" r:id="rId79" name="Group Box 76">
              <controlPr defaultSize="0" autoFill="0" autoPict="0">
                <anchor moveWithCells="1">
                  <from>
                    <xdr:col>11</xdr:col>
                    <xdr:colOff>266700</xdr:colOff>
                    <xdr:row>93</xdr:row>
                    <xdr:rowOff>400050</xdr:rowOff>
                  </from>
                  <to>
                    <xdr:col>27</xdr:col>
                    <xdr:colOff>9525</xdr:colOff>
                    <xdr:row>95</xdr:row>
                    <xdr:rowOff>9525</xdr:rowOff>
                  </to>
                </anchor>
              </controlPr>
            </control>
          </mc:Choice>
        </mc:AlternateContent>
        <mc:AlternateContent xmlns:mc="http://schemas.openxmlformats.org/markup-compatibility/2006">
          <mc:Choice Requires="x14">
            <control shapeId="1114189" r:id="rId80" name="Group Box 77">
              <controlPr defaultSize="0" autoFill="0" autoPict="0">
                <anchor moveWithCells="1">
                  <from>
                    <xdr:col>11</xdr:col>
                    <xdr:colOff>266700</xdr:colOff>
                    <xdr:row>124</xdr:row>
                    <xdr:rowOff>9525</xdr:rowOff>
                  </from>
                  <to>
                    <xdr:col>26</xdr:col>
                    <xdr:colOff>438150</xdr:colOff>
                    <xdr:row>125</xdr:row>
                    <xdr:rowOff>0</xdr:rowOff>
                  </to>
                </anchor>
              </controlPr>
            </control>
          </mc:Choice>
        </mc:AlternateContent>
        <mc:AlternateContent xmlns:mc="http://schemas.openxmlformats.org/markup-compatibility/2006">
          <mc:Choice Requires="x14">
            <control shapeId="1114190" r:id="rId81" name="Group Box 78">
              <controlPr defaultSize="0" autoFill="0" autoPict="0">
                <anchor moveWithCells="1">
                  <from>
                    <xdr:col>12</xdr:col>
                    <xdr:colOff>0</xdr:colOff>
                    <xdr:row>125</xdr:row>
                    <xdr:rowOff>0</xdr:rowOff>
                  </from>
                  <to>
                    <xdr:col>26</xdr:col>
                    <xdr:colOff>438150</xdr:colOff>
                    <xdr:row>125</xdr:row>
                    <xdr:rowOff>228600</xdr:rowOff>
                  </to>
                </anchor>
              </controlPr>
            </control>
          </mc:Choice>
        </mc:AlternateContent>
        <mc:AlternateContent xmlns:mc="http://schemas.openxmlformats.org/markup-compatibility/2006">
          <mc:Choice Requires="x14">
            <control shapeId="1114191" r:id="rId82" name="Group Box 79">
              <controlPr defaultSize="0" autoFill="0" autoPict="0">
                <anchor moveWithCells="1">
                  <from>
                    <xdr:col>13</xdr:col>
                    <xdr:colOff>0</xdr:colOff>
                    <xdr:row>146</xdr:row>
                    <xdr:rowOff>238125</xdr:rowOff>
                  </from>
                  <to>
                    <xdr:col>27</xdr:col>
                    <xdr:colOff>200025</xdr:colOff>
                    <xdr:row>148</xdr:row>
                    <xdr:rowOff>0</xdr:rowOff>
                  </to>
                </anchor>
              </controlPr>
            </control>
          </mc:Choice>
        </mc:AlternateContent>
        <mc:AlternateContent xmlns:mc="http://schemas.openxmlformats.org/markup-compatibility/2006">
          <mc:Choice Requires="x14">
            <control shapeId="1114192" r:id="rId83" name="Group Box 80">
              <controlPr defaultSize="0" autoFill="0" autoPict="0">
                <anchor moveWithCells="1">
                  <from>
                    <xdr:col>13</xdr:col>
                    <xdr:colOff>0</xdr:colOff>
                    <xdr:row>147</xdr:row>
                    <xdr:rowOff>238125</xdr:rowOff>
                  </from>
                  <to>
                    <xdr:col>27</xdr:col>
                    <xdr:colOff>200025</xdr:colOff>
                    <xdr:row>149</xdr:row>
                    <xdr:rowOff>0</xdr:rowOff>
                  </to>
                </anchor>
              </controlPr>
            </control>
          </mc:Choice>
        </mc:AlternateContent>
        <mc:AlternateContent xmlns:mc="http://schemas.openxmlformats.org/markup-compatibility/2006">
          <mc:Choice Requires="x14">
            <control shapeId="1114193" r:id="rId84" name="Option Button 81">
              <controlPr defaultSize="0" autoFill="0" autoLine="0" autoPict="0">
                <anchor moveWithCells="1">
                  <from>
                    <xdr:col>25</xdr:col>
                    <xdr:colOff>438150</xdr:colOff>
                    <xdr:row>150</xdr:row>
                    <xdr:rowOff>9525</xdr:rowOff>
                  </from>
                  <to>
                    <xdr:col>26</xdr:col>
                    <xdr:colOff>228600</xdr:colOff>
                    <xdr:row>150</xdr:row>
                    <xdr:rowOff>228600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41"/>
  <sheetViews>
    <sheetView topLeftCell="A25" workbookViewId="0">
      <selection activeCell="D38" sqref="D38"/>
    </sheetView>
  </sheetViews>
  <sheetFormatPr defaultRowHeight="16.5" x14ac:dyDescent="0.3"/>
  <cols>
    <col min="1" max="2" width="9.140625" style="1186"/>
    <col min="3" max="3" width="42.5703125" style="1222" bestFit="1" customWidth="1"/>
    <col min="4" max="4" width="31.85546875" style="1186" customWidth="1"/>
    <col min="5" max="16384" width="9.140625" style="1186"/>
  </cols>
  <sheetData>
    <row r="1" spans="1:9" x14ac:dyDescent="0.3">
      <c r="A1" s="1182"/>
      <c r="B1" s="1183"/>
      <c r="C1" s="1184"/>
      <c r="D1" s="1183"/>
      <c r="E1" s="1185"/>
    </row>
    <row r="2" spans="1:9" x14ac:dyDescent="0.3">
      <c r="A2" s="4267" t="s">
        <v>1597</v>
      </c>
      <c r="B2" s="4267"/>
      <c r="C2" s="4267"/>
      <c r="D2" s="4267"/>
      <c r="E2" s="4267"/>
    </row>
    <row r="3" spans="1:9" x14ac:dyDescent="0.3">
      <c r="A3" s="1187"/>
      <c r="B3" s="1188"/>
      <c r="C3" s="1189"/>
      <c r="D3" s="1190"/>
      <c r="E3" s="1191"/>
    </row>
    <row r="4" spans="1:9" x14ac:dyDescent="0.3">
      <c r="A4" s="1187"/>
      <c r="B4" s="1192"/>
      <c r="C4" s="1193" t="s">
        <v>1598</v>
      </c>
      <c r="D4" s="1192" t="s">
        <v>39</v>
      </c>
      <c r="E4" s="1191"/>
    </row>
    <row r="5" spans="1:9" x14ac:dyDescent="0.3">
      <c r="A5" s="1187"/>
      <c r="B5" s="1192"/>
      <c r="C5" s="1194"/>
      <c r="D5" s="1195"/>
      <c r="E5" s="1191"/>
    </row>
    <row r="6" spans="1:9" x14ac:dyDescent="0.3">
      <c r="A6" s="1187"/>
      <c r="B6" s="1192" t="s">
        <v>59</v>
      </c>
      <c r="C6" s="1194" t="s">
        <v>1599</v>
      </c>
      <c r="D6" s="1196">
        <f>'CEKLIST 002 (BIO DATA)'!D19</f>
        <v>7000000000</v>
      </c>
      <c r="E6" s="1191"/>
    </row>
    <row r="7" spans="1:9" x14ac:dyDescent="0.3">
      <c r="A7" s="1187"/>
      <c r="B7" s="1192" t="s">
        <v>60</v>
      </c>
      <c r="C7" s="1197" t="s">
        <v>1600</v>
      </c>
      <c r="D7" s="1198">
        <v>49500300000</v>
      </c>
      <c r="E7" s="1191"/>
    </row>
    <row r="8" spans="1:9" x14ac:dyDescent="0.3">
      <c r="A8" s="1187"/>
      <c r="B8" s="1192" t="s">
        <v>640</v>
      </c>
      <c r="C8" s="1197" t="s">
        <v>1601</v>
      </c>
      <c r="D8" s="1199">
        <f>'CEKLIST 003 (LAPORAN KEUANGAN))'!M49-'CEKLIST 003 (LAPORAN KEUANGAN))'!O49</f>
        <v>4825419024.8399963</v>
      </c>
      <c r="E8" s="1191"/>
    </row>
    <row r="9" spans="1:9" x14ac:dyDescent="0.3">
      <c r="A9" s="1187"/>
      <c r="B9" s="1192" t="s">
        <v>1139</v>
      </c>
      <c r="C9" s="1197" t="s">
        <v>1602</v>
      </c>
      <c r="D9" s="1199">
        <f>BATA!H137</f>
        <v>6000000000</v>
      </c>
      <c r="E9" s="1191"/>
    </row>
    <row r="10" spans="1:9" x14ac:dyDescent="0.3">
      <c r="A10" s="1187"/>
      <c r="B10" s="1192"/>
      <c r="C10" s="1194"/>
      <c r="D10" s="1195"/>
      <c r="E10" s="1191"/>
      <c r="I10" s="1200"/>
    </row>
    <row r="11" spans="1:9" x14ac:dyDescent="0.3">
      <c r="A11" s="1187"/>
      <c r="B11" s="1192" t="s">
        <v>1151</v>
      </c>
      <c r="C11" s="1194" t="s">
        <v>1603</v>
      </c>
      <c r="D11" s="1201" t="str">
        <f>'MPP(PAP-04)'!AA278</f>
        <v>LAYAK</v>
      </c>
      <c r="E11" s="1191"/>
    </row>
    <row r="12" spans="1:9" x14ac:dyDescent="0.3">
      <c r="A12" s="1187"/>
      <c r="B12" s="1192" t="s">
        <v>1154</v>
      </c>
      <c r="C12" s="1194" t="s">
        <v>1615</v>
      </c>
      <c r="D12" s="1201" t="str">
        <f>'MPP(PAP-04)'!AA282</f>
        <v xml:space="preserve">ACCEPTABLE RISK </v>
      </c>
      <c r="E12" s="1191"/>
    </row>
    <row r="13" spans="1:9" x14ac:dyDescent="0.3">
      <c r="A13" s="1187"/>
      <c r="B13" s="1223"/>
      <c r="C13" s="1189"/>
      <c r="D13" s="1224"/>
      <c r="E13" s="1191"/>
    </row>
    <row r="14" spans="1:9" x14ac:dyDescent="0.3">
      <c r="A14" s="1187"/>
      <c r="B14" s="1223"/>
      <c r="C14" s="1189"/>
      <c r="D14" s="1224"/>
      <c r="E14" s="1191"/>
    </row>
    <row r="15" spans="1:9" ht="17.25" thickBot="1" x14ac:dyDescent="0.35">
      <c r="A15" s="1187"/>
      <c r="B15" s="1188"/>
      <c r="C15" s="1189"/>
      <c r="D15" s="1188"/>
      <c r="E15" s="1191"/>
    </row>
    <row r="16" spans="1:9" x14ac:dyDescent="0.3">
      <c r="A16" s="1187"/>
      <c r="B16" s="1182"/>
      <c r="C16" s="1202" t="s">
        <v>1604</v>
      </c>
      <c r="D16" s="1185"/>
      <c r="E16" s="1191"/>
    </row>
    <row r="17" spans="1:5" ht="57" customHeight="1" thickBot="1" x14ac:dyDescent="0.35">
      <c r="A17" s="1187"/>
      <c r="B17" s="1203"/>
      <c r="C17" s="4268" t="s">
        <v>1622</v>
      </c>
      <c r="D17" s="4269"/>
      <c r="E17" s="1191"/>
    </row>
    <row r="18" spans="1:5" x14ac:dyDescent="0.3">
      <c r="A18" s="1187"/>
      <c r="B18" s="1188"/>
      <c r="C18" s="1189"/>
      <c r="D18" s="1188"/>
      <c r="E18" s="1191"/>
    </row>
    <row r="19" spans="1:5" s="1208" customFormat="1" ht="30" x14ac:dyDescent="0.25">
      <c r="A19" s="1204"/>
      <c r="B19" s="1205" t="s">
        <v>1151</v>
      </c>
      <c r="C19" s="1205" t="s">
        <v>1605</v>
      </c>
      <c r="D19" s="1206" t="s">
        <v>1606</v>
      </c>
      <c r="E19" s="1207"/>
    </row>
    <row r="20" spans="1:5" x14ac:dyDescent="0.3">
      <c r="A20" s="1187"/>
      <c r="B20" s="1195">
        <v>1</v>
      </c>
      <c r="C20" s="1194" t="s">
        <v>1607</v>
      </c>
      <c r="D20" s="1209">
        <v>1</v>
      </c>
      <c r="E20" s="1191"/>
    </row>
    <row r="21" spans="1:5" x14ac:dyDescent="0.3">
      <c r="A21" s="1187"/>
      <c r="B21" s="1195">
        <v>2</v>
      </c>
      <c r="C21" s="1194" t="s">
        <v>1608</v>
      </c>
      <c r="D21" s="1209">
        <v>0.8</v>
      </c>
      <c r="E21" s="1191"/>
    </row>
    <row r="22" spans="1:5" x14ac:dyDescent="0.3">
      <c r="A22" s="1187"/>
      <c r="B22" s="1195">
        <v>3</v>
      </c>
      <c r="C22" s="1194" t="s">
        <v>1609</v>
      </c>
      <c r="D22" s="1209">
        <v>0.6</v>
      </c>
      <c r="E22" s="1191"/>
    </row>
    <row r="23" spans="1:5" x14ac:dyDescent="0.3">
      <c r="A23" s="1187"/>
      <c r="B23" s="1195">
        <v>4</v>
      </c>
      <c r="C23" s="1194" t="s">
        <v>1610</v>
      </c>
      <c r="D23" s="1209">
        <v>0.2</v>
      </c>
      <c r="E23" s="1191"/>
    </row>
    <row r="24" spans="1:5" x14ac:dyDescent="0.3">
      <c r="A24" s="1187"/>
      <c r="B24" s="1195">
        <v>5</v>
      </c>
      <c r="C24" s="1194" t="s">
        <v>1611</v>
      </c>
      <c r="D24" s="1209">
        <v>0</v>
      </c>
      <c r="E24" s="1191"/>
    </row>
    <row r="25" spans="1:5" x14ac:dyDescent="0.3">
      <c r="A25" s="1187"/>
      <c r="B25" s="1188"/>
      <c r="C25" s="1189"/>
      <c r="D25" s="1210"/>
      <c r="E25" s="1191"/>
    </row>
    <row r="26" spans="1:5" s="1208" customFormat="1" ht="30" x14ac:dyDescent="0.25">
      <c r="A26" s="1204"/>
      <c r="B26" s="1225" t="s">
        <v>1154</v>
      </c>
      <c r="C26" s="1225" t="s">
        <v>1616</v>
      </c>
      <c r="D26" s="1226" t="s">
        <v>1606</v>
      </c>
      <c r="E26" s="1207"/>
    </row>
    <row r="27" spans="1:5" x14ac:dyDescent="0.3">
      <c r="A27" s="1187"/>
      <c r="B27" s="1227"/>
      <c r="C27" s="1228" t="s">
        <v>1617</v>
      </c>
      <c r="D27" s="1229">
        <v>0.9</v>
      </c>
      <c r="E27" s="1191"/>
    </row>
    <row r="28" spans="1:5" x14ac:dyDescent="0.3">
      <c r="A28" s="1187"/>
      <c r="B28" s="1227"/>
      <c r="C28" s="1228" t="s">
        <v>1618</v>
      </c>
      <c r="D28" s="1229">
        <v>0.8</v>
      </c>
      <c r="E28" s="1191"/>
    </row>
    <row r="29" spans="1:5" x14ac:dyDescent="0.3">
      <c r="A29" s="1187"/>
      <c r="B29" s="1227"/>
      <c r="C29" s="1228" t="s">
        <v>1619</v>
      </c>
      <c r="D29" s="1229">
        <v>0.7</v>
      </c>
      <c r="E29" s="1191"/>
    </row>
    <row r="30" spans="1:5" x14ac:dyDescent="0.3">
      <c r="A30" s="1187"/>
      <c r="B30" s="1227"/>
      <c r="C30" s="1228" t="s">
        <v>1620</v>
      </c>
      <c r="D30" s="1229">
        <v>0.6</v>
      </c>
      <c r="E30" s="1191"/>
    </row>
    <row r="31" spans="1:5" x14ac:dyDescent="0.3">
      <c r="A31" s="1187"/>
      <c r="B31" s="1227"/>
      <c r="C31" s="1228" t="s">
        <v>1621</v>
      </c>
      <c r="D31" s="1229">
        <v>0.5</v>
      </c>
      <c r="E31" s="1191"/>
    </row>
    <row r="32" spans="1:5" x14ac:dyDescent="0.3">
      <c r="A32" s="1187"/>
      <c r="B32" s="1227"/>
      <c r="C32" s="1228"/>
      <c r="D32" s="1229"/>
      <c r="E32" s="1191"/>
    </row>
    <row r="33" spans="1:5" x14ac:dyDescent="0.3">
      <c r="A33" s="1187"/>
      <c r="B33" s="1188"/>
      <c r="C33" s="1189"/>
      <c r="D33" s="1210"/>
      <c r="E33" s="1191"/>
    </row>
    <row r="34" spans="1:5" x14ac:dyDescent="0.3">
      <c r="A34" s="1187"/>
      <c r="B34" s="1188"/>
      <c r="C34" s="1189" t="s">
        <v>1612</v>
      </c>
      <c r="D34" s="1211">
        <f>SMALL(D6:D9,1)</f>
        <v>4825419024.8399963</v>
      </c>
      <c r="E34" s="1191"/>
    </row>
    <row r="35" spans="1:5" x14ac:dyDescent="0.3">
      <c r="A35" s="1187"/>
      <c r="B35" s="1188"/>
      <c r="C35" s="1189" t="s">
        <v>1613</v>
      </c>
      <c r="D35" s="1212" t="str">
        <f>IF(D11="SANGAT TIDAK LAYAK","0%",IF(D11="KURANG LAYAK","25%",IF(D11="CUKUP LAYAK","50%",IF(D11="LAYAK","75%",IF(D11="SANGAT LAYAK","100%","ERROR")))))</f>
        <v>75%</v>
      </c>
      <c r="E35" s="1191"/>
    </row>
    <row r="36" spans="1:5" x14ac:dyDescent="0.3">
      <c r="A36" s="1187"/>
      <c r="B36" s="1188"/>
      <c r="C36" s="1189" t="s">
        <v>1616</v>
      </c>
      <c r="D36" s="1212" t="str">
        <f>IF(D12="MINIMUM RISK","90%",IF(D12="ACCEPTABLE RISK","80%",IF(D12="AVERAGE RISK","70%",IF(D12="ALLOWABLE RISK","60%",IF(D12="MARGINAL RISK","50%","ERROR")))))</f>
        <v>ERROR</v>
      </c>
      <c r="E36" s="1191"/>
    </row>
    <row r="37" spans="1:5" ht="17.25" thickBot="1" x14ac:dyDescent="0.35">
      <c r="A37" s="1187"/>
      <c r="B37" s="1188"/>
      <c r="C37" s="1189"/>
      <c r="D37" s="1210"/>
      <c r="E37" s="1191"/>
    </row>
    <row r="38" spans="1:5" s="1218" customFormat="1" ht="51" customHeight="1" thickBot="1" x14ac:dyDescent="0.3">
      <c r="A38" s="1213"/>
      <c r="B38" s="1214"/>
      <c r="C38" s="1215" t="s">
        <v>1614</v>
      </c>
      <c r="D38" s="1216" t="e">
        <f>D34*D35*D36</f>
        <v>#VALUE!</v>
      </c>
      <c r="E38" s="1217"/>
    </row>
    <row r="39" spans="1:5" x14ac:dyDescent="0.3">
      <c r="A39" s="1187"/>
      <c r="B39" s="1188"/>
      <c r="C39" s="1189"/>
      <c r="D39" s="1188"/>
      <c r="E39" s="1191"/>
    </row>
    <row r="40" spans="1:5" x14ac:dyDescent="0.3">
      <c r="A40" s="1187"/>
      <c r="B40" s="1188"/>
      <c r="C40" s="1189"/>
      <c r="D40" s="1188"/>
      <c r="E40" s="1191"/>
    </row>
    <row r="41" spans="1:5" ht="17.25" thickBot="1" x14ac:dyDescent="0.35">
      <c r="A41" s="1203"/>
      <c r="B41" s="1219"/>
      <c r="C41" s="1220"/>
      <c r="D41" s="1219"/>
      <c r="E41" s="1221"/>
    </row>
  </sheetData>
  <mergeCells count="2">
    <mergeCell ref="A2:E2"/>
    <mergeCell ref="C17:D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AE369"/>
  <sheetViews>
    <sheetView showGridLines="0" topLeftCell="A303" zoomScale="85" zoomScaleNormal="85" zoomScalePageLayoutView="85" workbookViewId="0">
      <selection activeCell="H311" sqref="H311"/>
    </sheetView>
  </sheetViews>
  <sheetFormatPr defaultColWidth="10.42578125" defaultRowHeight="16.5" x14ac:dyDescent="0.25"/>
  <cols>
    <col min="1" max="1" width="1.28515625" style="12" customWidth="1"/>
    <col min="2" max="6" width="4" style="12" customWidth="1"/>
    <col min="7" max="7" width="5.140625" style="12" customWidth="1"/>
    <col min="8" max="8" width="5.85546875" style="12" customWidth="1"/>
    <col min="9" max="9" width="6.7109375" style="12" customWidth="1"/>
    <col min="10" max="10" width="4.42578125" style="12" customWidth="1"/>
    <col min="11" max="11" width="4.140625" style="12" customWidth="1"/>
    <col min="12" max="12" width="4.7109375" style="12" customWidth="1"/>
    <col min="13" max="14" width="5.42578125" style="12" customWidth="1"/>
    <col min="15" max="15" width="4.85546875" style="12" customWidth="1"/>
    <col min="16" max="16" width="3.42578125" style="12" customWidth="1"/>
    <col min="17" max="17" width="7.140625" style="12" customWidth="1"/>
    <col min="18" max="18" width="4" style="12" customWidth="1"/>
    <col min="19" max="19" width="3.42578125" style="12" customWidth="1"/>
    <col min="20" max="20" width="6.7109375" style="12" customWidth="1"/>
    <col min="21" max="23" width="7.140625" style="12" customWidth="1"/>
    <col min="24" max="25" width="5.85546875" style="12" customWidth="1"/>
    <col min="26" max="26" width="4.28515625" style="12" customWidth="1"/>
    <col min="27" max="27" width="10.42578125" style="12"/>
    <col min="28" max="28" width="11.42578125" style="12" bestFit="1" customWidth="1"/>
    <col min="29" max="29" width="10.42578125" style="12"/>
    <col min="30" max="30" width="10.42578125" style="2420" customWidth="1"/>
    <col min="31" max="16384" width="10.42578125" style="12"/>
  </cols>
  <sheetData>
    <row r="1" spans="1:30" ht="17.25" thickBot="1" x14ac:dyDescent="0.3">
      <c r="A1" s="1572"/>
      <c r="B1" s="1572"/>
      <c r="C1" s="1572"/>
      <c r="D1" s="1572"/>
      <c r="E1" s="1572"/>
      <c r="F1" s="1572"/>
      <c r="G1" s="1572"/>
      <c r="H1" s="1572"/>
      <c r="I1" s="1572"/>
      <c r="J1" s="1572"/>
      <c r="K1" s="1572"/>
      <c r="L1" s="1572"/>
      <c r="M1" s="1572"/>
      <c r="N1" s="1572"/>
      <c r="O1" s="1572"/>
      <c r="P1" s="1572"/>
      <c r="Q1" s="1572"/>
      <c r="R1" s="1572"/>
      <c r="S1" s="1572"/>
      <c r="T1" s="1572"/>
      <c r="U1" s="1572"/>
      <c r="V1" s="1572"/>
      <c r="W1" s="1572"/>
      <c r="X1" s="1572"/>
      <c r="Y1" s="1572"/>
      <c r="Z1" s="1572"/>
      <c r="AA1" s="2420"/>
      <c r="AB1" s="2420"/>
      <c r="AC1" s="2420"/>
    </row>
    <row r="2" spans="1:30" ht="36" customHeight="1" thickBot="1" x14ac:dyDescent="0.3">
      <c r="A2" s="3979" t="s">
        <v>388</v>
      </c>
      <c r="B2" s="4684"/>
      <c r="C2" s="4684"/>
      <c r="D2" s="4684"/>
      <c r="E2" s="4684"/>
      <c r="F2" s="4684"/>
      <c r="G2" s="4684"/>
      <c r="H2" s="4684"/>
      <c r="I2" s="4684"/>
      <c r="J2" s="4684"/>
      <c r="K2" s="4684"/>
      <c r="L2" s="4684"/>
      <c r="M2" s="4684"/>
      <c r="N2" s="4684"/>
      <c r="O2" s="4684"/>
      <c r="P2" s="4684"/>
      <c r="Q2" s="4684"/>
      <c r="R2" s="4684"/>
      <c r="S2" s="4684"/>
      <c r="T2" s="4684"/>
      <c r="U2" s="4684"/>
      <c r="V2" s="4684"/>
      <c r="W2" s="4684"/>
      <c r="X2" s="4684"/>
      <c r="Y2" s="4684"/>
      <c r="Z2" s="4685"/>
      <c r="AA2" s="2420"/>
      <c r="AB2" s="2420"/>
      <c r="AC2" s="2420"/>
    </row>
    <row r="3" spans="1:30" ht="9" customHeight="1" x14ac:dyDescent="0.25">
      <c r="A3" s="1575"/>
      <c r="B3" s="1547"/>
      <c r="C3" s="1547"/>
      <c r="D3" s="1547"/>
      <c r="E3" s="1547"/>
      <c r="F3" s="1547"/>
      <c r="G3" s="1547"/>
      <c r="H3" s="1547"/>
      <c r="I3" s="1547"/>
      <c r="J3" s="1547"/>
      <c r="K3" s="1547"/>
      <c r="L3" s="1547"/>
      <c r="M3" s="1547"/>
      <c r="N3" s="1547"/>
      <c r="O3" s="1547"/>
      <c r="P3" s="379"/>
      <c r="Q3" s="1547"/>
      <c r="R3" s="1547"/>
      <c r="S3" s="1547"/>
      <c r="T3" s="1547"/>
      <c r="U3" s="1547"/>
      <c r="V3" s="1547"/>
      <c r="W3" s="1547"/>
      <c r="X3" s="1547"/>
      <c r="Y3" s="1547"/>
      <c r="Z3" s="379"/>
      <c r="AA3" s="2420"/>
      <c r="AB3" s="2420"/>
      <c r="AC3" s="2420"/>
    </row>
    <row r="4" spans="1:30" s="13" customFormat="1" ht="16.5" customHeight="1" x14ac:dyDescent="0.25">
      <c r="A4" s="1575"/>
      <c r="B4" s="1550"/>
      <c r="C4" s="4686" t="s">
        <v>152</v>
      </c>
      <c r="D4" s="4686"/>
      <c r="E4" s="4686"/>
      <c r="F4" s="1547"/>
      <c r="G4" s="1547"/>
      <c r="H4" s="1574"/>
      <c r="I4" s="1574"/>
      <c r="J4" s="1574"/>
      <c r="K4" s="1547"/>
      <c r="L4" s="1547"/>
      <c r="M4" s="1574"/>
      <c r="N4" s="1574"/>
      <c r="O4" s="1574"/>
      <c r="P4" s="379"/>
      <c r="Q4" s="4651" t="s">
        <v>153</v>
      </c>
      <c r="R4" s="3176"/>
      <c r="S4" s="3176"/>
      <c r="T4" s="1547"/>
      <c r="U4" s="1547" t="s">
        <v>0</v>
      </c>
      <c r="V4" s="3176"/>
      <c r="W4" s="4687"/>
      <c r="X4" s="4687"/>
      <c r="Y4" s="4687"/>
      <c r="Z4" s="379"/>
      <c r="AA4" s="2421"/>
      <c r="AB4" s="2421"/>
      <c r="AC4" s="2421"/>
      <c r="AD4" s="2421"/>
    </row>
    <row r="5" spans="1:30" s="13" customFormat="1" ht="15" x14ac:dyDescent="0.25">
      <c r="A5" s="1575"/>
      <c r="B5" s="1547"/>
      <c r="C5" s="4686"/>
      <c r="D5" s="4686"/>
      <c r="E5" s="4686"/>
      <c r="F5" s="1547"/>
      <c r="G5" s="1547"/>
      <c r="H5" s="1574"/>
      <c r="I5" s="1574"/>
      <c r="J5" s="1574"/>
      <c r="K5" s="1547"/>
      <c r="L5" s="1547"/>
      <c r="M5" s="1574"/>
      <c r="N5" s="1574"/>
      <c r="O5" s="1574"/>
      <c r="P5" s="379"/>
      <c r="Q5" s="4651" t="s">
        <v>1</v>
      </c>
      <c r="R5" s="3176"/>
      <c r="S5" s="3176"/>
      <c r="T5" s="1547"/>
      <c r="U5" s="1547" t="s">
        <v>0</v>
      </c>
      <c r="V5" s="4688">
        <v>36682</v>
      </c>
      <c r="W5" s="4689"/>
      <c r="X5" s="4689"/>
      <c r="Y5" s="4689"/>
      <c r="Z5" s="379"/>
      <c r="AA5" s="2421"/>
      <c r="AB5" s="2421"/>
      <c r="AC5" s="2421"/>
      <c r="AD5" s="2421"/>
    </row>
    <row r="6" spans="1:30" s="13" customFormat="1" ht="16.5" customHeight="1" x14ac:dyDescent="0.25">
      <c r="A6" s="1261"/>
      <c r="B6" s="405"/>
      <c r="C6" s="405"/>
      <c r="D6" s="405"/>
      <c r="E6" s="405"/>
      <c r="F6" s="405"/>
      <c r="G6" s="405"/>
      <c r="H6" s="405"/>
      <c r="I6" s="405"/>
      <c r="J6" s="405"/>
      <c r="K6" s="405"/>
      <c r="L6" s="405"/>
      <c r="M6" s="405"/>
      <c r="N6" s="405"/>
      <c r="O6" s="405"/>
      <c r="P6" s="406"/>
      <c r="Q6" s="405"/>
      <c r="R6" s="405"/>
      <c r="S6" s="405"/>
      <c r="T6" s="405"/>
      <c r="U6" s="405"/>
      <c r="V6" s="405"/>
      <c r="W6" s="405"/>
      <c r="X6" s="405"/>
      <c r="Y6" s="405"/>
      <c r="Z6" s="406"/>
      <c r="AA6" s="2421"/>
      <c r="AB6" s="2421"/>
      <c r="AC6" s="2421"/>
      <c r="AD6" s="2421"/>
    </row>
    <row r="7" spans="1:30" s="13" customFormat="1" ht="30.75" customHeight="1" x14ac:dyDescent="0.25">
      <c r="A7" s="1569"/>
      <c r="B7" s="4710" t="s">
        <v>2</v>
      </c>
      <c r="C7" s="4710"/>
      <c r="D7" s="4710"/>
      <c r="E7" s="4710"/>
      <c r="F7" s="4710"/>
      <c r="G7" s="1568" t="s">
        <v>0</v>
      </c>
      <c r="H7" s="4711" t="str">
        <f>'FIP(PAP-01)'!K8</f>
        <v>PD. BPR DOMPU</v>
      </c>
      <c r="I7" s="4711"/>
      <c r="J7" s="4711"/>
      <c r="K7" s="4711"/>
      <c r="L7" s="4711"/>
      <c r="M7" s="4711"/>
      <c r="N7" s="4711"/>
      <c r="O7" s="4711"/>
      <c r="P7" s="4712"/>
      <c r="Q7" s="4713" t="s">
        <v>3</v>
      </c>
      <c r="R7" s="4710"/>
      <c r="S7" s="4710"/>
      <c r="T7" s="4710"/>
      <c r="U7" s="1568" t="s">
        <v>0</v>
      </c>
      <c r="V7" s="4699" t="str">
        <f>'FIP(PAP-01)'!T33</f>
        <v>SKOR</v>
      </c>
      <c r="W7" s="4700"/>
      <c r="X7" s="4700"/>
      <c r="Y7" s="4700"/>
      <c r="Z7" s="1579"/>
      <c r="AA7" s="2421"/>
      <c r="AB7" s="2421"/>
      <c r="AC7" s="2421"/>
      <c r="AD7" s="2421"/>
    </row>
    <row r="8" spans="1:30" s="13" customFormat="1" ht="15" customHeight="1" x14ac:dyDescent="0.35">
      <c r="A8" s="1571"/>
      <c r="B8" s="4690" t="s">
        <v>4</v>
      </c>
      <c r="C8" s="4690"/>
      <c r="D8" s="4690"/>
      <c r="E8" s="4690"/>
      <c r="F8" s="4690"/>
      <c r="G8" s="1573" t="s">
        <v>0</v>
      </c>
      <c r="H8" s="4699">
        <f>'FIP(PAP-01)'!C57</f>
        <v>0</v>
      </c>
      <c r="I8" s="4700"/>
      <c r="J8" s="4700"/>
      <c r="K8" s="4700"/>
      <c r="L8" s="4700"/>
      <c r="M8" s="4700"/>
      <c r="N8" s="4700"/>
      <c r="O8" s="4700"/>
      <c r="P8" s="4701"/>
      <c r="Q8" s="4714" t="s">
        <v>5</v>
      </c>
      <c r="R8" s="4715"/>
      <c r="S8" s="4715"/>
      <c r="T8" s="4715"/>
      <c r="U8" s="1573" t="s">
        <v>0</v>
      </c>
      <c r="V8" s="4716"/>
      <c r="W8" s="4715"/>
      <c r="X8" s="4715"/>
      <c r="Y8" s="4715"/>
      <c r="Z8" s="1578"/>
      <c r="AA8" s="2421"/>
      <c r="AB8" s="2421"/>
      <c r="AC8" s="2421"/>
      <c r="AD8" s="2421"/>
    </row>
    <row r="9" spans="1:30" s="13" customFormat="1" ht="24.75" customHeight="1" x14ac:dyDescent="0.35">
      <c r="A9" s="1571"/>
      <c r="B9" s="1570"/>
      <c r="C9" s="1570"/>
      <c r="D9" s="1570"/>
      <c r="E9" s="1570"/>
      <c r="F9" s="1570"/>
      <c r="G9" s="1573"/>
      <c r="H9" s="4699">
        <f>'FIP(PAP-01)'!C58</f>
        <v>0</v>
      </c>
      <c r="I9" s="4700"/>
      <c r="J9" s="4700"/>
      <c r="K9" s="4700"/>
      <c r="L9" s="4700"/>
      <c r="M9" s="4700"/>
      <c r="N9" s="4700"/>
      <c r="O9" s="4700"/>
      <c r="P9" s="4701"/>
      <c r="Q9" s="3461" t="s">
        <v>826</v>
      </c>
      <c r="R9" s="3462"/>
      <c r="S9" s="3462"/>
      <c r="T9" s="3462"/>
      <c r="U9" s="1573" t="s">
        <v>0</v>
      </c>
      <c r="V9" s="4702">
        <f>'FIP(PAP-01)'!M33</f>
        <v>42005</v>
      </c>
      <c r="W9" s="4702"/>
      <c r="X9" s="4702"/>
      <c r="Y9" s="4702"/>
      <c r="Z9" s="1578"/>
      <c r="AA9" s="2421"/>
      <c r="AB9" s="2421"/>
      <c r="AC9" s="2421"/>
      <c r="AD9" s="2421"/>
    </row>
    <row r="10" spans="1:30" s="13" customFormat="1" ht="21.75" customHeight="1" x14ac:dyDescent="0.35">
      <c r="A10" s="1571"/>
      <c r="B10" s="1570"/>
      <c r="C10" s="1570"/>
      <c r="D10" s="1570"/>
      <c r="E10" s="1570"/>
      <c r="F10" s="1570"/>
      <c r="G10" s="1573"/>
      <c r="H10" s="4699">
        <f>'FIP(PAP-01)'!C59</f>
        <v>0</v>
      </c>
      <c r="I10" s="4700"/>
      <c r="J10" s="4700"/>
      <c r="K10" s="4700"/>
      <c r="L10" s="4700"/>
      <c r="M10" s="4700"/>
      <c r="N10" s="4700"/>
      <c r="O10" s="4700"/>
      <c r="P10" s="4701"/>
      <c r="Q10" s="3461"/>
      <c r="R10" s="3462"/>
      <c r="S10" s="3462"/>
      <c r="T10" s="3462"/>
      <c r="U10" s="1573" t="s">
        <v>0</v>
      </c>
      <c r="V10" s="4702"/>
      <c r="W10" s="4702"/>
      <c r="X10" s="4702"/>
      <c r="Y10" s="4702"/>
      <c r="Z10" s="1578"/>
      <c r="AA10" s="2421"/>
      <c r="AB10" s="2421"/>
      <c r="AC10" s="2421"/>
      <c r="AD10" s="2421"/>
    </row>
    <row r="11" spans="1:30" s="13" customFormat="1" ht="26.25" customHeight="1" x14ac:dyDescent="0.35">
      <c r="A11" s="1571"/>
      <c r="B11" s="1570"/>
      <c r="C11" s="1570"/>
      <c r="D11" s="1570"/>
      <c r="E11" s="1570"/>
      <c r="F11" s="1570"/>
      <c r="G11" s="1573"/>
      <c r="H11" s="4704"/>
      <c r="I11" s="4705"/>
      <c r="J11" s="4705"/>
      <c r="K11" s="4705"/>
      <c r="L11" s="4705"/>
      <c r="M11" s="4705"/>
      <c r="N11" s="4705"/>
      <c r="O11" s="4705"/>
      <c r="P11" s="4706"/>
      <c r="Q11" s="3461"/>
      <c r="R11" s="3462"/>
      <c r="S11" s="3462"/>
      <c r="T11" s="3462"/>
      <c r="U11" s="1573" t="s">
        <v>0</v>
      </c>
      <c r="V11" s="4702"/>
      <c r="W11" s="4702"/>
      <c r="X11" s="4702"/>
      <c r="Y11" s="4702"/>
      <c r="Z11" s="1578"/>
      <c r="AA11" s="2421"/>
      <c r="AB11" s="2421"/>
      <c r="AC11" s="2421"/>
      <c r="AD11" s="2421"/>
    </row>
    <row r="12" spans="1:30" s="13" customFormat="1" ht="27" customHeight="1" x14ac:dyDescent="0.35">
      <c r="A12" s="1571"/>
      <c r="B12" s="1570"/>
      <c r="C12" s="1570"/>
      <c r="D12" s="1570"/>
      <c r="E12" s="1570"/>
      <c r="F12" s="1570"/>
      <c r="G12" s="1573"/>
      <c r="H12" s="4704"/>
      <c r="I12" s="4705"/>
      <c r="J12" s="4705"/>
      <c r="K12" s="4705"/>
      <c r="L12" s="4705"/>
      <c r="M12" s="4705"/>
      <c r="N12" s="4705"/>
      <c r="O12" s="4705"/>
      <c r="P12" s="4706"/>
      <c r="Q12" s="3464"/>
      <c r="R12" s="3465"/>
      <c r="S12" s="3465"/>
      <c r="T12" s="3465"/>
      <c r="U12" s="1573" t="s">
        <v>0</v>
      </c>
      <c r="V12" s="4703"/>
      <c r="W12" s="4703"/>
      <c r="X12" s="4703"/>
      <c r="Y12" s="4703"/>
      <c r="Z12" s="1578"/>
      <c r="AA12" s="2421"/>
      <c r="AB12" s="2421"/>
      <c r="AC12" s="2421"/>
      <c r="AD12" s="2421"/>
    </row>
    <row r="13" spans="1:30" s="13" customFormat="1" ht="15" customHeight="1" x14ac:dyDescent="0.35">
      <c r="A13" s="1571"/>
      <c r="B13" s="4690" t="s">
        <v>6</v>
      </c>
      <c r="C13" s="4690"/>
      <c r="D13" s="4690"/>
      <c r="E13" s="4690"/>
      <c r="F13" s="4690"/>
      <c r="G13" s="1573" t="s">
        <v>0</v>
      </c>
      <c r="H13" s="4691" t="str">
        <f>'FIP(PAP-01)'!K9</f>
        <v xml:space="preserve">Jl. Nusantara No. 04 </v>
      </c>
      <c r="I13" s="4691"/>
      <c r="J13" s="4691"/>
      <c r="K13" s="4691"/>
      <c r="L13" s="4691"/>
      <c r="M13" s="4691"/>
      <c r="N13" s="4691"/>
      <c r="O13" s="4691"/>
      <c r="P13" s="4692"/>
      <c r="Q13" s="4693" t="s">
        <v>827</v>
      </c>
      <c r="R13" s="4694"/>
      <c r="S13" s="4694"/>
      <c r="T13" s="4694"/>
      <c r="U13" s="4694"/>
      <c r="V13" s="4694"/>
      <c r="W13" s="4694"/>
      <c r="X13" s="4694"/>
      <c r="Y13" s="4694"/>
      <c r="Z13" s="4695"/>
      <c r="AA13" s="2421"/>
      <c r="AB13" s="2421"/>
      <c r="AC13" s="2421"/>
      <c r="AD13" s="2421"/>
    </row>
    <row r="14" spans="1:30" s="13" customFormat="1" ht="18" customHeight="1" x14ac:dyDescent="0.25">
      <c r="A14" s="1571"/>
      <c r="B14" s="1573"/>
      <c r="C14" s="1573"/>
      <c r="D14" s="1573"/>
      <c r="E14" s="1573"/>
      <c r="F14" s="1573"/>
      <c r="G14" s="1573"/>
      <c r="H14" s="4691"/>
      <c r="I14" s="4691"/>
      <c r="J14" s="4691"/>
      <c r="K14" s="4691"/>
      <c r="L14" s="4691"/>
      <c r="M14" s="4691"/>
      <c r="N14" s="4691"/>
      <c r="O14" s="4691"/>
      <c r="P14" s="4692"/>
      <c r="Q14" s="4696">
        <f>'FIP(PAP-01)'!I5</f>
        <v>43374</v>
      </c>
      <c r="R14" s="4696"/>
      <c r="S14" s="4696"/>
      <c r="T14" s="4696"/>
      <c r="U14" s="4696"/>
      <c r="V14" s="4696"/>
      <c r="W14" s="4696"/>
      <c r="X14" s="4696"/>
      <c r="Y14" s="4696"/>
      <c r="Z14" s="4696"/>
      <c r="AA14" s="2421"/>
      <c r="AB14" s="2421"/>
      <c r="AC14" s="2421"/>
      <c r="AD14" s="2421"/>
    </row>
    <row r="15" spans="1:30" s="13" customFormat="1" ht="18" customHeight="1" x14ac:dyDescent="0.25">
      <c r="A15" s="1571"/>
      <c r="B15" s="1573"/>
      <c r="C15" s="1573"/>
      <c r="D15" s="1573"/>
      <c r="E15" s="1573"/>
      <c r="F15" s="1573"/>
      <c r="G15" s="1573"/>
      <c r="H15" s="4691"/>
      <c r="I15" s="4691"/>
      <c r="J15" s="4691"/>
      <c r="K15" s="4691"/>
      <c r="L15" s="4691"/>
      <c r="M15" s="4691"/>
      <c r="N15" s="4691"/>
      <c r="O15" s="4691"/>
      <c r="P15" s="4692"/>
      <c r="Q15" s="4696"/>
      <c r="R15" s="4696"/>
      <c r="S15" s="4696"/>
      <c r="T15" s="4696"/>
      <c r="U15" s="4696"/>
      <c r="V15" s="4696"/>
      <c r="W15" s="4696"/>
      <c r="X15" s="4696"/>
      <c r="Y15" s="4696"/>
      <c r="Z15" s="4696"/>
      <c r="AA15" s="2421"/>
      <c r="AB15" s="2421"/>
      <c r="AC15" s="2421"/>
      <c r="AD15" s="2421"/>
    </row>
    <row r="16" spans="1:30" s="13" customFormat="1" ht="18" customHeight="1" x14ac:dyDescent="0.25">
      <c r="A16" s="1571"/>
      <c r="B16" s="3093"/>
      <c r="C16" s="3093"/>
      <c r="D16" s="3093"/>
      <c r="E16" s="3093"/>
      <c r="F16" s="3093"/>
      <c r="G16" s="1573"/>
      <c r="H16" s="4697"/>
      <c r="I16" s="4697"/>
      <c r="J16" s="4697"/>
      <c r="K16" s="4697"/>
      <c r="L16" s="4697"/>
      <c r="M16" s="4697"/>
      <c r="N16" s="4697"/>
      <c r="O16" s="4697"/>
      <c r="P16" s="4698"/>
      <c r="Q16" s="4696"/>
      <c r="R16" s="4696"/>
      <c r="S16" s="4696"/>
      <c r="T16" s="4696"/>
      <c r="U16" s="4696"/>
      <c r="V16" s="4696"/>
      <c r="W16" s="4696"/>
      <c r="X16" s="4696"/>
      <c r="Y16" s="4696"/>
      <c r="Z16" s="4696"/>
      <c r="AA16" s="2421"/>
      <c r="AB16" s="2421"/>
      <c r="AC16" s="2421"/>
      <c r="AD16" s="2421"/>
    </row>
    <row r="17" spans="1:30" s="13" customFormat="1" ht="23.25" customHeight="1" x14ac:dyDescent="0.25">
      <c r="A17" s="1555"/>
      <c r="B17" s="4719" t="s">
        <v>8</v>
      </c>
      <c r="C17" s="4719"/>
      <c r="D17" s="4719"/>
      <c r="E17" s="4719"/>
      <c r="F17" s="4719"/>
      <c r="G17" s="1230" t="s">
        <v>0</v>
      </c>
      <c r="H17" s="3024" t="s">
        <v>59</v>
      </c>
      <c r="I17" s="3024"/>
      <c r="J17" s="3024"/>
      <c r="K17" s="3024"/>
      <c r="L17" s="3024"/>
      <c r="M17" s="3024"/>
      <c r="N17" s="3024"/>
      <c r="O17" s="3024"/>
      <c r="P17" s="3024"/>
      <c r="Q17" s="3024"/>
      <c r="R17" s="3024"/>
      <c r="S17" s="3024"/>
      <c r="T17" s="3024"/>
      <c r="U17" s="3024"/>
      <c r="V17" s="3024"/>
      <c r="W17" s="3024"/>
      <c r="X17" s="3024"/>
      <c r="Y17" s="3024"/>
      <c r="Z17" s="3025"/>
      <c r="AA17" s="2421"/>
      <c r="AB17" s="2421"/>
      <c r="AC17" s="2421"/>
      <c r="AD17" s="2421"/>
    </row>
    <row r="18" spans="1:30" s="13" customFormat="1" ht="18" customHeight="1" x14ac:dyDescent="0.25">
      <c r="A18" s="2422"/>
      <c r="B18" s="3517" t="s">
        <v>9</v>
      </c>
      <c r="C18" s="3517"/>
      <c r="D18" s="3517"/>
      <c r="E18" s="3517"/>
      <c r="F18" s="3517"/>
      <c r="G18" s="1568" t="s">
        <v>0</v>
      </c>
      <c r="H18" s="4711" t="str">
        <f>'FIP(PAP-01)'!K11</f>
        <v>Jasa Keuangan LKB</v>
      </c>
      <c r="I18" s="4711"/>
      <c r="J18" s="4711"/>
      <c r="K18" s="4711"/>
      <c r="L18" s="4711"/>
      <c r="M18" s="4711"/>
      <c r="N18" s="4711"/>
      <c r="O18" s="4711"/>
      <c r="P18" s="4711"/>
      <c r="Q18" s="4711"/>
      <c r="R18" s="4711"/>
      <c r="S18" s="4711"/>
      <c r="T18" s="4711"/>
      <c r="U18" s="4711"/>
      <c r="V18" s="4711"/>
      <c r="W18" s="4711"/>
      <c r="X18" s="4711"/>
      <c r="Y18" s="4711"/>
      <c r="Z18" s="4712"/>
      <c r="AA18" s="2421"/>
      <c r="AB18" s="2421"/>
      <c r="AC18" s="2421"/>
      <c r="AD18" s="2421"/>
    </row>
    <row r="19" spans="1:30" s="13" customFormat="1" ht="18" customHeight="1" x14ac:dyDescent="0.25">
      <c r="A19" s="1261"/>
      <c r="B19" s="3523" t="s">
        <v>10</v>
      </c>
      <c r="C19" s="3523"/>
      <c r="D19" s="3523"/>
      <c r="E19" s="3523"/>
      <c r="F19" s="3523"/>
      <c r="G19" s="1580" t="s">
        <v>0</v>
      </c>
      <c r="H19" s="4717"/>
      <c r="I19" s="4717"/>
      <c r="J19" s="4717"/>
      <c r="K19" s="4717"/>
      <c r="L19" s="4717"/>
      <c r="M19" s="4717"/>
      <c r="N19" s="4717"/>
      <c r="O19" s="4717"/>
      <c r="P19" s="4717"/>
      <c r="Q19" s="4717"/>
      <c r="R19" s="4717"/>
      <c r="S19" s="4717"/>
      <c r="T19" s="4717"/>
      <c r="U19" s="4717"/>
      <c r="V19" s="4717"/>
      <c r="W19" s="4717"/>
      <c r="X19" s="4717"/>
      <c r="Y19" s="4717"/>
      <c r="Z19" s="4718"/>
      <c r="AA19" s="2421"/>
      <c r="AB19" s="2421"/>
      <c r="AC19" s="2421"/>
      <c r="AD19" s="2421"/>
    </row>
    <row r="20" spans="1:30" s="13" customFormat="1" ht="23.25" customHeight="1" x14ac:dyDescent="0.25">
      <c r="A20" s="1555"/>
      <c r="B20" s="4719" t="s">
        <v>99</v>
      </c>
      <c r="C20" s="4719"/>
      <c r="D20" s="4719"/>
      <c r="E20" s="4719"/>
      <c r="F20" s="4719"/>
      <c r="G20" s="1230" t="s">
        <v>0</v>
      </c>
      <c r="H20" s="4720" t="s">
        <v>175</v>
      </c>
      <c r="I20" s="4720"/>
      <c r="J20" s="4720"/>
      <c r="K20" s="4720"/>
      <c r="L20" s="4720"/>
      <c r="M20" s="4720"/>
      <c r="N20" s="4720"/>
      <c r="O20" s="4720"/>
      <c r="P20" s="4720"/>
      <c r="Q20" s="4720"/>
      <c r="R20" s="4720"/>
      <c r="S20" s="4720"/>
      <c r="T20" s="4720"/>
      <c r="U20" s="4720"/>
      <c r="V20" s="4720"/>
      <c r="W20" s="4720"/>
      <c r="X20" s="4720"/>
      <c r="Y20" s="4720"/>
      <c r="Z20" s="4721"/>
      <c r="AA20" s="2421"/>
      <c r="AB20" s="2421"/>
      <c r="AC20" s="2421"/>
      <c r="AD20" s="2421"/>
    </row>
    <row r="21" spans="1:30" s="13" customFormat="1" ht="34.5" customHeight="1" x14ac:dyDescent="0.25">
      <c r="A21" s="1555"/>
      <c r="B21" s="2983" t="s">
        <v>154</v>
      </c>
      <c r="C21" s="4722"/>
      <c r="D21" s="4722"/>
      <c r="E21" s="4722"/>
      <c r="F21" s="4722"/>
      <c r="G21" s="4722"/>
      <c r="H21" s="4722"/>
      <c r="I21" s="4722"/>
      <c r="J21" s="4722"/>
      <c r="K21" s="4722"/>
      <c r="L21" s="1548" t="s">
        <v>0</v>
      </c>
      <c r="M21" s="4723">
        <f>'FIP(PAP-01)'!K10</f>
        <v>7000000000</v>
      </c>
      <c r="N21" s="4723"/>
      <c r="O21" s="4723"/>
      <c r="P21" s="4723"/>
      <c r="Q21" s="4723"/>
      <c r="R21" s="4723"/>
      <c r="S21" s="4723"/>
      <c r="T21" s="4723"/>
      <c r="U21" s="4724">
        <f>'FIP(PAP-01)'!Q10</f>
        <v>0</v>
      </c>
      <c r="V21" s="4724"/>
      <c r="W21" s="4724"/>
      <c r="X21" s="4724"/>
      <c r="Y21" s="4724"/>
      <c r="Z21" s="1577"/>
      <c r="AA21" s="2421"/>
      <c r="AB21" s="2421"/>
      <c r="AC21" s="2421"/>
      <c r="AD21" s="2421"/>
    </row>
    <row r="22" spans="1:30" s="13" customFormat="1" ht="37.5" customHeight="1" x14ac:dyDescent="0.25">
      <c r="A22" s="1575"/>
      <c r="B22" s="3472" t="s">
        <v>155</v>
      </c>
      <c r="C22" s="3473"/>
      <c r="D22" s="3473"/>
      <c r="E22" s="3474"/>
      <c r="F22" s="3472" t="s">
        <v>156</v>
      </c>
      <c r="G22" s="3473"/>
      <c r="H22" s="3473"/>
      <c r="I22" s="3474"/>
      <c r="J22" s="3930" t="s">
        <v>11</v>
      </c>
      <c r="K22" s="4659"/>
      <c r="L22" s="4659"/>
      <c r="M22" s="3931"/>
      <c r="N22" s="3930" t="s">
        <v>157</v>
      </c>
      <c r="O22" s="4659"/>
      <c r="P22" s="4659"/>
      <c r="Q22" s="3931"/>
      <c r="R22" s="3930" t="s">
        <v>350</v>
      </c>
      <c r="S22" s="4659"/>
      <c r="T22" s="4659"/>
      <c r="U22" s="4659"/>
      <c r="V22" s="4659"/>
      <c r="W22" s="4659"/>
      <c r="X22" s="4659"/>
      <c r="Y22" s="3931"/>
      <c r="Z22" s="379"/>
      <c r="AA22" s="2421"/>
      <c r="AB22" s="2421"/>
      <c r="AC22" s="2421"/>
      <c r="AD22" s="2421"/>
    </row>
    <row r="23" spans="1:30" s="13" customFormat="1" ht="37.5" customHeight="1" x14ac:dyDescent="0.25">
      <c r="A23" s="1575"/>
      <c r="B23" s="3478"/>
      <c r="C23" s="3479"/>
      <c r="D23" s="3479"/>
      <c r="E23" s="3480"/>
      <c r="F23" s="3478"/>
      <c r="G23" s="3479"/>
      <c r="H23" s="3479"/>
      <c r="I23" s="3480"/>
      <c r="J23" s="3932"/>
      <c r="K23" s="4660"/>
      <c r="L23" s="4660"/>
      <c r="M23" s="3933"/>
      <c r="N23" s="3932"/>
      <c r="O23" s="4660"/>
      <c r="P23" s="4660"/>
      <c r="Q23" s="3933"/>
      <c r="R23" s="3932"/>
      <c r="S23" s="4660"/>
      <c r="T23" s="4660"/>
      <c r="U23" s="4660"/>
      <c r="V23" s="4660"/>
      <c r="W23" s="4660"/>
      <c r="X23" s="4660"/>
      <c r="Y23" s="3933"/>
      <c r="Z23" s="379"/>
      <c r="AA23" s="2421"/>
      <c r="AB23" s="2421"/>
      <c r="AC23" s="2421"/>
      <c r="AD23" s="2421"/>
    </row>
    <row r="24" spans="1:30" s="13" customFormat="1" ht="12.75" customHeight="1" x14ac:dyDescent="0.25">
      <c r="A24" s="1575"/>
      <c r="B24" s="4661"/>
      <c r="C24" s="4662"/>
      <c r="D24" s="4662"/>
      <c r="E24" s="4663"/>
      <c r="F24" s="4661"/>
      <c r="G24" s="4662"/>
      <c r="H24" s="4662"/>
      <c r="I24" s="4663"/>
      <c r="J24" s="4667"/>
      <c r="K24" s="4668"/>
      <c r="L24" s="4668"/>
      <c r="M24" s="4669"/>
      <c r="N24" s="4667"/>
      <c r="O24" s="4668"/>
      <c r="P24" s="4668"/>
      <c r="Q24" s="4669"/>
      <c r="R24" s="3930" t="s">
        <v>12</v>
      </c>
      <c r="S24" s="4659"/>
      <c r="T24" s="4659"/>
      <c r="U24" s="3931"/>
      <c r="V24" s="3930" t="s">
        <v>13</v>
      </c>
      <c r="W24" s="4659"/>
      <c r="X24" s="4659"/>
      <c r="Y24" s="3931"/>
      <c r="Z24" s="379"/>
      <c r="AA24" s="2421"/>
      <c r="AB24" s="2421"/>
      <c r="AC24" s="2421"/>
      <c r="AD24" s="2421"/>
    </row>
    <row r="25" spans="1:30" s="13" customFormat="1" ht="13.5" customHeight="1" x14ac:dyDescent="0.25">
      <c r="A25" s="1575"/>
      <c r="B25" s="4664"/>
      <c r="C25" s="4665"/>
      <c r="D25" s="4665"/>
      <c r="E25" s="4666"/>
      <c r="F25" s="4664"/>
      <c r="G25" s="4665"/>
      <c r="H25" s="4665"/>
      <c r="I25" s="4666"/>
      <c r="J25" s="4670"/>
      <c r="K25" s="4671"/>
      <c r="L25" s="4671"/>
      <c r="M25" s="4672"/>
      <c r="N25" s="4670"/>
      <c r="O25" s="4671"/>
      <c r="P25" s="4671"/>
      <c r="Q25" s="4672"/>
      <c r="R25" s="3966"/>
      <c r="S25" s="4673"/>
      <c r="T25" s="4673"/>
      <c r="U25" s="4674"/>
      <c r="V25" s="3966"/>
      <c r="W25" s="4673"/>
      <c r="X25" s="4673"/>
      <c r="Y25" s="4674"/>
      <c r="Z25" s="379"/>
      <c r="AA25" s="2421"/>
      <c r="AB25" s="2421"/>
      <c r="AC25" s="2421"/>
      <c r="AD25" s="2421"/>
    </row>
    <row r="26" spans="1:30" s="13" customFormat="1" ht="28.5" customHeight="1" x14ac:dyDescent="0.25">
      <c r="A26" s="1575"/>
      <c r="B26" s="4675" t="s">
        <v>815</v>
      </c>
      <c r="C26" s="4676"/>
      <c r="D26" s="4676"/>
      <c r="E26" s="4677"/>
      <c r="F26" s="4676"/>
      <c r="G26" s="4676"/>
      <c r="H26" s="4676"/>
      <c r="I26" s="4676"/>
      <c r="J26" s="4678">
        <f>M21</f>
        <v>7000000000</v>
      </c>
      <c r="K26" s="4679"/>
      <c r="L26" s="4679"/>
      <c r="M26" s="4680"/>
      <c r="N26" s="4679">
        <f>M21</f>
        <v>7000000000</v>
      </c>
      <c r="O26" s="4679"/>
      <c r="P26" s="4679"/>
      <c r="Q26" s="4679"/>
      <c r="R26" s="4681">
        <f>J26*R32</f>
        <v>2100000000</v>
      </c>
      <c r="S26" s="4682"/>
      <c r="T26" s="4682"/>
      <c r="U26" s="4683"/>
      <c r="V26" s="4682">
        <f>N26</f>
        <v>7000000000</v>
      </c>
      <c r="W26" s="4682"/>
      <c r="X26" s="4682"/>
      <c r="Y26" s="4683"/>
      <c r="Z26" s="379"/>
      <c r="AA26" s="2421"/>
      <c r="AB26" s="2421"/>
      <c r="AC26" s="2421"/>
      <c r="AD26" s="2421"/>
    </row>
    <row r="27" spans="1:30" s="13" customFormat="1" ht="20.25" customHeight="1" x14ac:dyDescent="0.25">
      <c r="A27" s="1575"/>
      <c r="B27" s="4651"/>
      <c r="C27" s="3176"/>
      <c r="D27" s="3176"/>
      <c r="E27" s="4652"/>
      <c r="F27" s="3176"/>
      <c r="G27" s="3176"/>
      <c r="H27" s="3176"/>
      <c r="I27" s="3176"/>
      <c r="J27" s="4653"/>
      <c r="K27" s="4654"/>
      <c r="L27" s="4654"/>
      <c r="M27" s="4655"/>
      <c r="N27" s="4654"/>
      <c r="O27" s="4654"/>
      <c r="P27" s="4654"/>
      <c r="Q27" s="4654"/>
      <c r="R27" s="4656"/>
      <c r="S27" s="4657"/>
      <c r="T27" s="4657"/>
      <c r="U27" s="4658"/>
      <c r="V27" s="4657"/>
      <c r="W27" s="4657"/>
      <c r="X27" s="4657"/>
      <c r="Y27" s="4658"/>
      <c r="Z27" s="379"/>
      <c r="AA27" s="2421"/>
      <c r="AB27" s="2421"/>
      <c r="AC27" s="2421"/>
      <c r="AD27" s="2421"/>
    </row>
    <row r="28" spans="1:30" s="13" customFormat="1" ht="20.25" customHeight="1" x14ac:dyDescent="0.25">
      <c r="A28" s="1575"/>
      <c r="B28" s="4651"/>
      <c r="C28" s="3176"/>
      <c r="D28" s="3176"/>
      <c r="E28" s="4652"/>
      <c r="F28" s="3176"/>
      <c r="G28" s="3176"/>
      <c r="H28" s="3176"/>
      <c r="I28" s="3176"/>
      <c r="J28" s="4653"/>
      <c r="K28" s="4654"/>
      <c r="L28" s="4654"/>
      <c r="M28" s="4655"/>
      <c r="N28" s="4654"/>
      <c r="O28" s="4654"/>
      <c r="P28" s="4654"/>
      <c r="Q28" s="4654"/>
      <c r="R28" s="4656"/>
      <c r="S28" s="4657"/>
      <c r="T28" s="4657"/>
      <c r="U28" s="4658"/>
      <c r="V28" s="4657"/>
      <c r="W28" s="4657"/>
      <c r="X28" s="4657"/>
      <c r="Y28" s="4658"/>
      <c r="Z28" s="379"/>
      <c r="AA28" s="2421"/>
      <c r="AB28" s="2421"/>
      <c r="AC28" s="2421"/>
      <c r="AD28" s="2421"/>
    </row>
    <row r="29" spans="1:30" s="13" customFormat="1" ht="20.25" customHeight="1" x14ac:dyDescent="0.25">
      <c r="A29" s="1575"/>
      <c r="B29" s="4651"/>
      <c r="C29" s="3176"/>
      <c r="D29" s="3176"/>
      <c r="E29" s="4652"/>
      <c r="F29" s="3176"/>
      <c r="G29" s="3176"/>
      <c r="H29" s="3176"/>
      <c r="I29" s="3176"/>
      <c r="J29" s="4653"/>
      <c r="K29" s="4654"/>
      <c r="L29" s="4654"/>
      <c r="M29" s="4655"/>
      <c r="N29" s="4654"/>
      <c r="O29" s="4654"/>
      <c r="P29" s="4654"/>
      <c r="Q29" s="4654"/>
      <c r="R29" s="4656"/>
      <c r="S29" s="4657"/>
      <c r="T29" s="4657"/>
      <c r="U29" s="4658"/>
      <c r="V29" s="4657"/>
      <c r="W29" s="4657"/>
      <c r="X29" s="4657"/>
      <c r="Y29" s="4658"/>
      <c r="Z29" s="379"/>
      <c r="AA29" s="2421"/>
      <c r="AB29" s="2421"/>
      <c r="AC29" s="2421"/>
      <c r="AD29" s="2421"/>
    </row>
    <row r="30" spans="1:30" s="13" customFormat="1" ht="20.25" customHeight="1" x14ac:dyDescent="0.25">
      <c r="A30" s="1575"/>
      <c r="B30" s="4642"/>
      <c r="C30" s="4643"/>
      <c r="D30" s="4643"/>
      <c r="E30" s="4644"/>
      <c r="F30" s="4643"/>
      <c r="G30" s="4643"/>
      <c r="H30" s="4643"/>
      <c r="I30" s="4643"/>
      <c r="J30" s="4645"/>
      <c r="K30" s="4646"/>
      <c r="L30" s="4646"/>
      <c r="M30" s="4647"/>
      <c r="N30" s="4646"/>
      <c r="O30" s="4646"/>
      <c r="P30" s="4646"/>
      <c r="Q30" s="4646"/>
      <c r="R30" s="4648"/>
      <c r="S30" s="4649"/>
      <c r="T30" s="4649"/>
      <c r="U30" s="4650"/>
      <c r="V30" s="4649"/>
      <c r="W30" s="4649"/>
      <c r="X30" s="4649"/>
      <c r="Y30" s="4650"/>
      <c r="Z30" s="379"/>
      <c r="AA30" s="2421"/>
      <c r="AB30" s="2421"/>
      <c r="AC30" s="2421"/>
      <c r="AD30" s="2421"/>
    </row>
    <row r="31" spans="1:30" s="13" customFormat="1" ht="22.7" customHeight="1" x14ac:dyDescent="0.25">
      <c r="A31" s="1575"/>
      <c r="B31" s="4630" t="s">
        <v>14</v>
      </c>
      <c r="C31" s="4631"/>
      <c r="D31" s="4631"/>
      <c r="E31" s="4632"/>
      <c r="F31" s="4633">
        <f>SUM(F26:I30)</f>
        <v>0</v>
      </c>
      <c r="G31" s="4634"/>
      <c r="H31" s="4634"/>
      <c r="I31" s="4635"/>
      <c r="J31" s="4636">
        <f>SUM(J26:M30)</f>
        <v>7000000000</v>
      </c>
      <c r="K31" s="4637"/>
      <c r="L31" s="4637"/>
      <c r="M31" s="4638"/>
      <c r="N31" s="4636">
        <f>SUM(N26:Q30)</f>
        <v>7000000000</v>
      </c>
      <c r="O31" s="4637"/>
      <c r="P31" s="4637"/>
      <c r="Q31" s="4638"/>
      <c r="R31" s="4639">
        <f>SUM(R26:U30)</f>
        <v>2100000000</v>
      </c>
      <c r="S31" s="4640"/>
      <c r="T31" s="4640"/>
      <c r="U31" s="4641"/>
      <c r="V31" s="4639">
        <f>SUM(V26:Y30)</f>
        <v>7000000000</v>
      </c>
      <c r="W31" s="4640"/>
      <c r="X31" s="4640"/>
      <c r="Y31" s="4641"/>
      <c r="Z31" s="379"/>
      <c r="AA31" s="2421"/>
      <c r="AB31" s="2421"/>
      <c r="AC31" s="2421"/>
      <c r="AD31" s="2421"/>
    </row>
    <row r="32" spans="1:30" s="13" customFormat="1" ht="22.7" customHeight="1" x14ac:dyDescent="0.25">
      <c r="A32" s="1575"/>
      <c r="B32" s="2423"/>
      <c r="C32" s="2424"/>
      <c r="D32" s="2424"/>
      <c r="E32" s="2425"/>
      <c r="F32" s="2424"/>
      <c r="G32" s="2424"/>
      <c r="H32" s="2424"/>
      <c r="I32" s="2424"/>
      <c r="J32" s="589"/>
      <c r="K32" s="590"/>
      <c r="L32" s="590"/>
      <c r="M32" s="591"/>
      <c r="N32" s="590"/>
      <c r="O32" s="590"/>
      <c r="P32" s="590"/>
      <c r="Q32" s="590"/>
      <c r="R32" s="4611">
        <v>0.3</v>
      </c>
      <c r="S32" s="4612"/>
      <c r="T32" s="4612"/>
      <c r="U32" s="4613"/>
      <c r="V32" s="4611">
        <v>1</v>
      </c>
      <c r="W32" s="4612"/>
      <c r="X32" s="4612"/>
      <c r="Y32" s="4613"/>
      <c r="Z32" s="379"/>
      <c r="AA32" s="2421"/>
      <c r="AB32" s="2421"/>
      <c r="AC32" s="2421"/>
      <c r="AD32" s="2421"/>
    </row>
    <row r="33" spans="1:30" s="13" customFormat="1" ht="15" x14ac:dyDescent="0.25">
      <c r="A33" s="1261"/>
      <c r="B33" s="405"/>
      <c r="C33" s="405"/>
      <c r="D33" s="405"/>
      <c r="E33" s="405"/>
      <c r="F33" s="405"/>
      <c r="G33" s="405"/>
      <c r="H33" s="405"/>
      <c r="I33" s="405"/>
      <c r="J33" s="405"/>
      <c r="K33" s="405"/>
      <c r="L33" s="405"/>
      <c r="M33" s="405"/>
      <c r="N33" s="405"/>
      <c r="O33" s="405"/>
      <c r="P33" s="405"/>
      <c r="Q33" s="405"/>
      <c r="R33" s="405"/>
      <c r="S33" s="405"/>
      <c r="T33" s="405"/>
      <c r="U33" s="405"/>
      <c r="V33" s="405"/>
      <c r="W33" s="405"/>
      <c r="X33" s="405"/>
      <c r="Y33" s="405"/>
      <c r="Z33" s="406"/>
      <c r="AA33" s="2421"/>
      <c r="AB33" s="2421"/>
      <c r="AC33" s="2421"/>
      <c r="AD33" s="2421"/>
    </row>
    <row r="34" spans="1:30" s="13" customFormat="1" ht="15" x14ac:dyDescent="0.25">
      <c r="A34" s="1547"/>
      <c r="B34" s="1573"/>
      <c r="C34" s="1573"/>
      <c r="D34" s="1573"/>
      <c r="E34" s="1573"/>
      <c r="F34" s="1573"/>
      <c r="G34" s="1573"/>
      <c r="H34" s="1573"/>
      <c r="I34" s="1573"/>
      <c r="J34" s="1573"/>
      <c r="K34" s="1573"/>
      <c r="L34" s="1573"/>
      <c r="M34" s="1573"/>
      <c r="N34" s="1573"/>
      <c r="O34" s="1573"/>
      <c r="P34" s="1573"/>
      <c r="Q34" s="1573"/>
      <c r="R34" s="1573"/>
      <c r="S34" s="1573"/>
      <c r="T34" s="1573"/>
      <c r="U34" s="1573"/>
      <c r="V34" s="1573"/>
      <c r="W34" s="1573"/>
      <c r="X34" s="1573"/>
      <c r="Y34" s="1573"/>
      <c r="Z34" s="1547"/>
      <c r="AA34" s="2421"/>
      <c r="AB34" s="2421"/>
      <c r="AC34" s="2421"/>
      <c r="AD34" s="2421"/>
    </row>
    <row r="35" spans="1:30" s="13" customFormat="1" ht="15" x14ac:dyDescent="0.25">
      <c r="A35" s="1547"/>
      <c r="B35" s="4614" t="s">
        <v>950</v>
      </c>
      <c r="C35" s="4615"/>
      <c r="D35" s="4615"/>
      <c r="E35" s="4615"/>
      <c r="F35" s="4615"/>
      <c r="G35" s="4615"/>
      <c r="H35" s="4615"/>
      <c r="I35" s="4615"/>
      <c r="J35" s="4615"/>
      <c r="K35" s="4615"/>
      <c r="L35" s="4615"/>
      <c r="M35" s="4615"/>
      <c r="N35" s="4615"/>
      <c r="O35" s="4615"/>
      <c r="P35" s="4615"/>
      <c r="Q35" s="4615"/>
      <c r="R35" s="4615"/>
      <c r="S35" s="4615"/>
      <c r="T35" s="4615"/>
      <c r="U35" s="4615"/>
      <c r="V35" s="4615"/>
      <c r="W35" s="4615"/>
      <c r="X35" s="4615"/>
      <c r="Y35" s="4616"/>
      <c r="Z35" s="1547"/>
      <c r="AA35" s="2421"/>
      <c r="AB35" s="2421"/>
      <c r="AC35" s="2421"/>
      <c r="AD35" s="2421"/>
    </row>
    <row r="36" spans="1:30" s="13" customFormat="1" ht="45" customHeight="1" x14ac:dyDescent="0.25">
      <c r="A36" s="1576"/>
      <c r="B36" s="4617" t="str">
        <f>'FIP(PAP-01)'!C61</f>
        <v>Saat belum memiliki grup Afiliasi</v>
      </c>
      <c r="C36" s="4618"/>
      <c r="D36" s="4618"/>
      <c r="E36" s="4618"/>
      <c r="F36" s="4618"/>
      <c r="G36" s="4618"/>
      <c r="H36" s="4618"/>
      <c r="I36" s="4618"/>
      <c r="J36" s="4618"/>
      <c r="K36" s="4618"/>
      <c r="L36" s="4618"/>
      <c r="M36" s="4618"/>
      <c r="N36" s="4619"/>
      <c r="O36" s="3126" t="s">
        <v>184</v>
      </c>
      <c r="P36" s="3126"/>
      <c r="Q36" s="3126"/>
      <c r="R36" s="3126"/>
      <c r="S36" s="3126"/>
      <c r="T36" s="3126"/>
      <c r="U36" s="4623">
        <f>'FIP(PAP-01)'!U62:Y62</f>
        <v>0</v>
      </c>
      <c r="V36" s="4624"/>
      <c r="W36" s="4624"/>
      <c r="X36" s="4624"/>
      <c r="Y36" s="4625"/>
      <c r="Z36" s="1576"/>
      <c r="AA36" s="2421"/>
      <c r="AB36" s="2421"/>
      <c r="AC36" s="2421"/>
      <c r="AD36" s="2421"/>
    </row>
    <row r="37" spans="1:30" s="13" customFormat="1" ht="186" customHeight="1" x14ac:dyDescent="0.25">
      <c r="A37" s="1576"/>
      <c r="B37" s="4620"/>
      <c r="C37" s="4621"/>
      <c r="D37" s="4621"/>
      <c r="E37" s="4621"/>
      <c r="F37" s="4621"/>
      <c r="G37" s="4621"/>
      <c r="H37" s="4621"/>
      <c r="I37" s="4621"/>
      <c r="J37" s="4621"/>
      <c r="K37" s="4621"/>
      <c r="L37" s="4621"/>
      <c r="M37" s="4621"/>
      <c r="N37" s="4622"/>
      <c r="O37" s="3126" t="s">
        <v>182</v>
      </c>
      <c r="P37" s="3126"/>
      <c r="Q37" s="3126"/>
      <c r="R37" s="3126"/>
      <c r="S37" s="3126"/>
      <c r="T37" s="3126"/>
      <c r="U37" s="4626" t="e">
        <f>U36/AD37</f>
        <v>#DIV/0!</v>
      </c>
      <c r="V37" s="4626"/>
      <c r="W37" s="4627" t="e">
        <f>IF(ROUND(U37,0)=1,"Sangat Tidak Baik",IF(ROUND(U37,0)=2,"Tidak Baik",IF(ROUND(U37,0)=3,"Cukup Baik",IF(ROUND(U37,0)=4,"Baik",IF(ROUND(U37,0)&gt;=5,"Sangat Baik Memenuhi Syarat")))))</f>
        <v>#DIV/0!</v>
      </c>
      <c r="X37" s="4628"/>
      <c r="Y37" s="4629"/>
      <c r="Z37" s="1576"/>
      <c r="AA37" s="2421"/>
      <c r="AB37" s="2421"/>
      <c r="AC37" s="2421"/>
      <c r="AD37" s="2421">
        <f>'FIP(PAP-01)'!AF63</f>
        <v>0</v>
      </c>
    </row>
    <row r="38" spans="1:30" x14ac:dyDescent="0.25">
      <c r="A38" s="1547"/>
      <c r="B38" s="1573"/>
      <c r="C38" s="1573"/>
      <c r="D38" s="1573"/>
      <c r="E38" s="1573"/>
      <c r="F38" s="1573"/>
      <c r="G38" s="1573"/>
      <c r="H38" s="1573"/>
      <c r="I38" s="1573"/>
      <c r="J38" s="1573"/>
      <c r="K38" s="1573"/>
      <c r="L38" s="1573"/>
      <c r="M38" s="1573"/>
      <c r="N38" s="1573"/>
      <c r="O38" s="1573"/>
      <c r="P38" s="1573"/>
      <c r="Q38" s="1573"/>
      <c r="R38" s="1573"/>
      <c r="S38" s="1573"/>
      <c r="T38" s="1573"/>
      <c r="U38" s="1573"/>
      <c r="V38" s="1573"/>
      <c r="W38" s="1573"/>
      <c r="X38" s="1573"/>
      <c r="Y38" s="1573"/>
      <c r="Z38" s="1547"/>
      <c r="AA38" s="2420"/>
      <c r="AB38" s="2420"/>
      <c r="AC38" s="2420"/>
    </row>
    <row r="39" spans="1:30" x14ac:dyDescent="0.25">
      <c r="A39" s="1547"/>
      <c r="B39" s="1573"/>
      <c r="C39" s="1573"/>
      <c r="D39" s="1573"/>
      <c r="E39" s="1573"/>
      <c r="F39" s="1573"/>
      <c r="G39" s="1573"/>
      <c r="H39" s="1573"/>
      <c r="I39" s="1573"/>
      <c r="J39" s="1573"/>
      <c r="K39" s="1573"/>
      <c r="L39" s="1573"/>
      <c r="M39" s="1573"/>
      <c r="N39" s="1573"/>
      <c r="O39" s="1573"/>
      <c r="P39" s="1573"/>
      <c r="Q39" s="1573"/>
      <c r="R39" s="1573"/>
      <c r="S39" s="1573"/>
      <c r="T39" s="1573"/>
      <c r="U39" s="1573"/>
      <c r="V39" s="1573"/>
      <c r="W39" s="1573"/>
      <c r="X39" s="1573"/>
      <c r="Y39" s="1573"/>
      <c r="Z39" s="1547"/>
      <c r="AA39" s="2420"/>
      <c r="AB39" s="2420"/>
      <c r="AC39" s="2420"/>
    </row>
    <row r="40" spans="1:30" ht="16.5" customHeight="1" x14ac:dyDescent="0.25">
      <c r="A40" s="1547"/>
      <c r="B40" s="592"/>
      <c r="C40" s="592"/>
      <c r="D40" s="592"/>
      <c r="E40" s="592"/>
      <c r="F40" s="592"/>
      <c r="G40" s="592"/>
      <c r="H40" s="592"/>
      <c r="I40" s="592"/>
      <c r="J40" s="592"/>
      <c r="K40" s="592"/>
      <c r="L40" s="592"/>
      <c r="M40" s="592"/>
      <c r="N40" s="592"/>
      <c r="O40" s="592"/>
      <c r="P40" s="592"/>
      <c r="Q40" s="592"/>
      <c r="R40" s="592"/>
      <c r="S40" s="592"/>
      <c r="T40" s="592"/>
      <c r="U40" s="592"/>
      <c r="V40" s="592"/>
      <c r="W40" s="592"/>
      <c r="X40" s="592"/>
      <c r="Y40" s="592"/>
      <c r="Z40" s="1547"/>
      <c r="AA40" s="2420"/>
      <c r="AB40" s="2420"/>
      <c r="AC40" s="2420"/>
    </row>
    <row r="41" spans="1:30" x14ac:dyDescent="0.25">
      <c r="A41" s="1547"/>
      <c r="B41" s="4550" t="s">
        <v>447</v>
      </c>
      <c r="C41" s="4551"/>
      <c r="D41" s="4551"/>
      <c r="E41" s="4551"/>
      <c r="F41" s="4551"/>
      <c r="G41" s="4551"/>
      <c r="H41" s="4551"/>
      <c r="I41" s="4551"/>
      <c r="J41" s="4551"/>
      <c r="K41" s="4551"/>
      <c r="L41" s="4551"/>
      <c r="M41" s="4551"/>
      <c r="N41" s="4551"/>
      <c r="O41" s="4551"/>
      <c r="P41" s="4551"/>
      <c r="Q41" s="4551"/>
      <c r="R41" s="4551"/>
      <c r="S41" s="4551"/>
      <c r="T41" s="4551"/>
      <c r="U41" s="4551"/>
      <c r="V41" s="4551"/>
      <c r="W41" s="4551"/>
      <c r="X41" s="4551"/>
      <c r="Y41" s="4552"/>
      <c r="Z41" s="1547"/>
      <c r="AA41" s="2420"/>
      <c r="AB41" s="2420"/>
      <c r="AC41" s="2420"/>
    </row>
    <row r="42" spans="1:30" ht="16.5" customHeight="1" x14ac:dyDescent="0.25">
      <c r="A42" s="1547"/>
      <c r="B42" s="1573"/>
      <c r="C42" s="1573"/>
      <c r="D42" s="1573"/>
      <c r="E42" s="1573"/>
      <c r="F42" s="1573"/>
      <c r="G42" s="1573"/>
      <c r="H42" s="1573"/>
      <c r="I42" s="1573"/>
      <c r="J42" s="1573"/>
      <c r="K42" s="1573"/>
      <c r="L42" s="1573"/>
      <c r="M42" s="1573"/>
      <c r="N42" s="1573"/>
      <c r="O42" s="1573"/>
      <c r="P42" s="1573"/>
      <c r="Q42" s="1573"/>
      <c r="R42" s="1573"/>
      <c r="S42" s="1573"/>
      <c r="T42" s="1573"/>
      <c r="U42" s="1573"/>
      <c r="V42" s="1573"/>
      <c r="W42" s="1573"/>
      <c r="X42" s="1573"/>
      <c r="Y42" s="1573"/>
      <c r="Z42" s="1547"/>
      <c r="AA42" s="2420"/>
      <c r="AB42" s="2420"/>
      <c r="AC42" s="2420"/>
    </row>
    <row r="43" spans="1:30" ht="18.75" customHeight="1" x14ac:dyDescent="0.25">
      <c r="A43" s="1547"/>
      <c r="B43" s="3028" t="s">
        <v>103</v>
      </c>
      <c r="C43" s="3042" t="s">
        <v>15</v>
      </c>
      <c r="D43" s="3043"/>
      <c r="E43" s="3043"/>
      <c r="F43" s="3043"/>
      <c r="G43" s="3043"/>
      <c r="H43" s="3043"/>
      <c r="I43" s="3044"/>
      <c r="J43" s="3042" t="s">
        <v>214</v>
      </c>
      <c r="K43" s="3043"/>
      <c r="L43" s="3043"/>
      <c r="M43" s="3043"/>
      <c r="N43" s="3043"/>
      <c r="O43" s="3043"/>
      <c r="P43" s="3043"/>
      <c r="Q43" s="3043"/>
      <c r="R43" s="3044"/>
      <c r="S43" s="3042" t="s">
        <v>364</v>
      </c>
      <c r="T43" s="3044"/>
      <c r="U43" s="3042" t="s">
        <v>448</v>
      </c>
      <c r="V43" s="3043"/>
      <c r="W43" s="3043"/>
      <c r="X43" s="3043"/>
      <c r="Y43" s="3044"/>
      <c r="Z43" s="1547"/>
      <c r="AA43" s="2420"/>
      <c r="AB43" s="2420"/>
      <c r="AC43" s="2420"/>
    </row>
    <row r="44" spans="1:30" ht="16.5" customHeight="1" x14ac:dyDescent="0.25">
      <c r="A44" s="1547"/>
      <c r="B44" s="3028"/>
      <c r="C44" s="3045"/>
      <c r="D44" s="3046"/>
      <c r="E44" s="3046"/>
      <c r="F44" s="3046"/>
      <c r="G44" s="3046"/>
      <c r="H44" s="3046"/>
      <c r="I44" s="3047"/>
      <c r="J44" s="3045"/>
      <c r="K44" s="3046"/>
      <c r="L44" s="3046"/>
      <c r="M44" s="3046"/>
      <c r="N44" s="3046"/>
      <c r="O44" s="3046"/>
      <c r="P44" s="3046"/>
      <c r="Q44" s="3046"/>
      <c r="R44" s="3047"/>
      <c r="S44" s="3045"/>
      <c r="T44" s="3047"/>
      <c r="U44" s="3045"/>
      <c r="V44" s="3046"/>
      <c r="W44" s="3046"/>
      <c r="X44" s="3046"/>
      <c r="Y44" s="3047"/>
      <c r="Z44" s="1547"/>
      <c r="AA44" s="2420"/>
      <c r="AB44" s="2420"/>
      <c r="AC44" s="2420"/>
    </row>
    <row r="45" spans="1:30" ht="16.5" customHeight="1" x14ac:dyDescent="0.25">
      <c r="A45" s="1547"/>
      <c r="B45" s="176"/>
      <c r="C45" s="177"/>
      <c r="D45" s="178"/>
      <c r="E45" s="178"/>
      <c r="F45" s="178"/>
      <c r="G45" s="179"/>
      <c r="H45" s="1248"/>
      <c r="I45" s="1249"/>
      <c r="J45" s="3067" t="s">
        <v>441</v>
      </c>
      <c r="K45" s="2999"/>
      <c r="L45" s="2999"/>
      <c r="M45" s="2999"/>
      <c r="N45" s="2999"/>
      <c r="O45" s="2999"/>
      <c r="P45" s="2999"/>
      <c r="Q45" s="2999"/>
      <c r="R45" s="3000"/>
      <c r="S45" s="4609">
        <v>0.7</v>
      </c>
      <c r="T45" s="4610"/>
      <c r="U45" s="3922">
        <f>BATA!H113</f>
        <v>4900000000</v>
      </c>
      <c r="V45" s="4570"/>
      <c r="W45" s="4570"/>
      <c r="X45" s="4570"/>
      <c r="Y45" s="3923"/>
      <c r="Z45" s="1547"/>
      <c r="AA45" s="2420"/>
      <c r="AB45" s="2420"/>
      <c r="AC45" s="2420"/>
    </row>
    <row r="46" spans="1:30" ht="16.5" customHeight="1" x14ac:dyDescent="0.25">
      <c r="A46" s="1547"/>
      <c r="B46" s="180"/>
      <c r="C46" s="181"/>
      <c r="D46" s="1551"/>
      <c r="E46" s="1551"/>
      <c r="F46" s="1551"/>
      <c r="G46" s="1250"/>
      <c r="H46" s="1251"/>
      <c r="I46" s="1252"/>
      <c r="J46" s="3067" t="s">
        <v>440</v>
      </c>
      <c r="K46" s="2999"/>
      <c r="L46" s="2999"/>
      <c r="M46" s="2999"/>
      <c r="N46" s="2999"/>
      <c r="O46" s="2999"/>
      <c r="P46" s="2999"/>
      <c r="Q46" s="2999"/>
      <c r="R46" s="3000"/>
      <c r="S46" s="4584">
        <v>0.55000000000000004</v>
      </c>
      <c r="T46" s="4585"/>
      <c r="U46" s="3922">
        <f>BATA!H114</f>
        <v>3850000000.0000005</v>
      </c>
      <c r="V46" s="4570"/>
      <c r="W46" s="4570"/>
      <c r="X46" s="4570"/>
      <c r="Y46" s="3923"/>
      <c r="Z46" s="1547"/>
      <c r="AA46" s="2420"/>
      <c r="AB46" s="2420"/>
      <c r="AC46" s="2420"/>
    </row>
    <row r="47" spans="1:30" x14ac:dyDescent="0.25">
      <c r="A47" s="1547"/>
      <c r="B47" s="180"/>
      <c r="C47" s="181"/>
      <c r="D47" s="1551"/>
      <c r="E47" s="1551"/>
      <c r="F47" s="1551"/>
      <c r="G47" s="1253"/>
      <c r="H47" s="182"/>
      <c r="I47" s="183"/>
      <c r="J47" s="3067" t="s">
        <v>442</v>
      </c>
      <c r="K47" s="2999"/>
      <c r="L47" s="2999"/>
      <c r="M47" s="2999"/>
      <c r="N47" s="2999"/>
      <c r="O47" s="2999"/>
      <c r="P47" s="2999"/>
      <c r="Q47" s="2999"/>
      <c r="R47" s="3000"/>
      <c r="S47" s="4607">
        <f>BATA!G115</f>
        <v>1.25</v>
      </c>
      <c r="T47" s="4608"/>
      <c r="U47" s="3922">
        <f>BATA!H115</f>
        <v>8750000000</v>
      </c>
      <c r="V47" s="4570"/>
      <c r="W47" s="4570"/>
      <c r="X47" s="4570"/>
      <c r="Y47" s="3923"/>
      <c r="Z47" s="1547"/>
      <c r="AA47" s="2420"/>
      <c r="AB47" s="2420"/>
      <c r="AC47" s="2420"/>
    </row>
    <row r="48" spans="1:30" ht="18.75" customHeight="1" x14ac:dyDescent="0.25">
      <c r="A48" s="1547"/>
      <c r="B48" s="2353"/>
      <c r="C48" s="1544"/>
      <c r="D48" s="1545"/>
      <c r="E48" s="1545"/>
      <c r="F48" s="1545"/>
      <c r="G48" s="1254"/>
      <c r="H48" s="184"/>
      <c r="I48" s="185"/>
      <c r="J48" s="3067"/>
      <c r="K48" s="2999"/>
      <c r="L48" s="2999"/>
      <c r="M48" s="2999"/>
      <c r="N48" s="2999"/>
      <c r="O48" s="2999"/>
      <c r="P48" s="2999"/>
      <c r="Q48" s="2999"/>
      <c r="R48" s="3000"/>
      <c r="S48" s="3067"/>
      <c r="T48" s="3000"/>
      <c r="U48" s="3067"/>
      <c r="V48" s="2999"/>
      <c r="W48" s="2999"/>
      <c r="X48" s="2999"/>
      <c r="Y48" s="3000"/>
      <c r="Z48" s="1547"/>
      <c r="AA48" s="2420"/>
      <c r="AB48" s="2420"/>
      <c r="AC48" s="2420"/>
    </row>
    <row r="49" spans="1:29" ht="16.5" customHeight="1" x14ac:dyDescent="0.25">
      <c r="A49" s="1547"/>
      <c r="B49" s="1558"/>
      <c r="C49" s="3512" t="s">
        <v>461</v>
      </c>
      <c r="D49" s="3515"/>
      <c r="E49" s="3515"/>
      <c r="F49" s="3515"/>
      <c r="G49" s="3515"/>
      <c r="H49" s="3515"/>
      <c r="I49" s="3513"/>
      <c r="J49" s="3512" t="s">
        <v>964</v>
      </c>
      <c r="K49" s="3513"/>
      <c r="L49" s="3512" t="s">
        <v>965</v>
      </c>
      <c r="M49" s="3515"/>
      <c r="N49" s="3513"/>
      <c r="O49" s="3512" t="s">
        <v>39</v>
      </c>
      <c r="P49" s="3642"/>
      <c r="Q49" s="3642"/>
      <c r="R49" s="3643"/>
      <c r="S49" s="4575" t="s">
        <v>364</v>
      </c>
      <c r="T49" s="4576"/>
      <c r="U49" s="3512" t="s">
        <v>444</v>
      </c>
      <c r="V49" s="3515"/>
      <c r="W49" s="3515"/>
      <c r="X49" s="3515"/>
      <c r="Y49" s="3513"/>
      <c r="Z49" s="1547"/>
      <c r="AA49" s="2420"/>
      <c r="AB49" s="2420"/>
      <c r="AC49" s="2420"/>
    </row>
    <row r="50" spans="1:29" ht="31.5" customHeight="1" x14ac:dyDescent="0.25">
      <c r="A50" s="1547"/>
      <c r="B50" s="186"/>
      <c r="C50" s="4601" t="s">
        <v>966</v>
      </c>
      <c r="D50" s="4601"/>
      <c r="E50" s="4601"/>
      <c r="F50" s="4601"/>
      <c r="G50" s="4601"/>
      <c r="H50" s="4601"/>
      <c r="I50" s="4601"/>
      <c r="J50" s="4601"/>
      <c r="K50" s="4601"/>
      <c r="L50" s="4601"/>
      <c r="M50" s="4601"/>
      <c r="N50" s="4601"/>
      <c r="O50" s="4601"/>
      <c r="P50" s="4601"/>
      <c r="Q50" s="4601"/>
      <c r="R50" s="4601"/>
      <c r="S50" s="4578">
        <v>1</v>
      </c>
      <c r="T50" s="4579"/>
      <c r="U50" s="3028" t="s">
        <v>54</v>
      </c>
      <c r="V50" s="3028"/>
      <c r="W50" s="3028"/>
      <c r="X50" s="3028" t="s">
        <v>51</v>
      </c>
      <c r="Y50" s="3028"/>
      <c r="Z50" s="1547"/>
      <c r="AA50" s="2420"/>
      <c r="AB50" s="2420"/>
      <c r="AC50" s="2420"/>
    </row>
    <row r="51" spans="1:29" ht="33" customHeight="1" x14ac:dyDescent="0.25">
      <c r="A51" s="1547"/>
      <c r="B51" s="3452">
        <v>1</v>
      </c>
      <c r="C51" s="3080">
        <f>BATA!D22</f>
        <v>0</v>
      </c>
      <c r="D51" s="3080"/>
      <c r="E51" s="3080"/>
      <c r="F51" s="3080"/>
      <c r="G51" s="3080"/>
      <c r="H51" s="3080"/>
      <c r="I51" s="3080"/>
      <c r="J51" s="4594">
        <f>BATA!C119</f>
        <v>0</v>
      </c>
      <c r="K51" s="4595"/>
      <c r="L51" s="4602">
        <f>BATA!E119</f>
        <v>0</v>
      </c>
      <c r="M51" s="4603"/>
      <c r="N51" s="4604"/>
      <c r="O51" s="4602">
        <f>BATA!F119</f>
        <v>0</v>
      </c>
      <c r="P51" s="4603"/>
      <c r="Q51" s="4603"/>
      <c r="R51" s="4604"/>
      <c r="S51" s="4580"/>
      <c r="T51" s="4581"/>
      <c r="U51" s="3922">
        <f>BATA!H119</f>
        <v>0</v>
      </c>
      <c r="V51" s="4570"/>
      <c r="W51" s="3923"/>
      <c r="X51" s="4589">
        <f>'FKS(PAP-03)'!K211</f>
        <v>0</v>
      </c>
      <c r="Y51" s="4590"/>
      <c r="Z51" s="1547"/>
      <c r="AA51" s="2420"/>
      <c r="AB51" s="2420"/>
      <c r="AC51" s="2420"/>
    </row>
    <row r="52" spans="1:29" ht="33" customHeight="1" x14ac:dyDescent="0.25">
      <c r="A52" s="1547"/>
      <c r="B52" s="3454"/>
      <c r="C52" s="4605">
        <f>BATA!D28</f>
        <v>0</v>
      </c>
      <c r="D52" s="4606"/>
      <c r="E52" s="4606"/>
      <c r="F52" s="4606"/>
      <c r="G52" s="4606"/>
      <c r="H52" s="4606"/>
      <c r="I52" s="3918"/>
      <c r="J52" s="4594">
        <f>BATA!C120</f>
        <v>0</v>
      </c>
      <c r="K52" s="4595"/>
      <c r="L52" s="4602">
        <f>BATA!E120</f>
        <v>0</v>
      </c>
      <c r="M52" s="4603"/>
      <c r="N52" s="4604"/>
      <c r="O52" s="4602">
        <f>BATA!F120</f>
        <v>0</v>
      </c>
      <c r="P52" s="4603"/>
      <c r="Q52" s="4603"/>
      <c r="R52" s="4604"/>
      <c r="S52" s="4580"/>
      <c r="T52" s="4581"/>
      <c r="U52" s="3922">
        <f>BATA!H120</f>
        <v>0</v>
      </c>
      <c r="V52" s="4570"/>
      <c r="W52" s="3923"/>
      <c r="X52" s="4589">
        <f>'FKS(PAP-03)'!K212</f>
        <v>0</v>
      </c>
      <c r="Y52" s="4590"/>
      <c r="Z52" s="1547"/>
      <c r="AA52" s="2420"/>
      <c r="AB52" s="2420"/>
      <c r="AC52" s="2420"/>
    </row>
    <row r="53" spans="1:29" ht="33" customHeight="1" x14ac:dyDescent="0.25">
      <c r="A53" s="1547"/>
      <c r="B53" s="3452">
        <v>2</v>
      </c>
      <c r="C53" s="4591">
        <f>BATA!D34</f>
        <v>0</v>
      </c>
      <c r="D53" s="4592"/>
      <c r="E53" s="4592"/>
      <c r="F53" s="4592"/>
      <c r="G53" s="4592"/>
      <c r="H53" s="4592"/>
      <c r="I53" s="4593"/>
      <c r="J53" s="4594">
        <f>BATA!C121</f>
        <v>0</v>
      </c>
      <c r="K53" s="4595"/>
      <c r="L53" s="4602">
        <f>BATA!E121</f>
        <v>0</v>
      </c>
      <c r="M53" s="4603"/>
      <c r="N53" s="4604"/>
      <c r="O53" s="4602">
        <f>BATA!F121</f>
        <v>0</v>
      </c>
      <c r="P53" s="4603"/>
      <c r="Q53" s="4603"/>
      <c r="R53" s="4604"/>
      <c r="S53" s="4580"/>
      <c r="T53" s="4581"/>
      <c r="U53" s="3922">
        <f>BATA!H121</f>
        <v>0</v>
      </c>
      <c r="V53" s="4570"/>
      <c r="W53" s="3923"/>
      <c r="X53" s="4589">
        <f>'FKS(PAP-03)'!K213</f>
        <v>0</v>
      </c>
      <c r="Y53" s="4590"/>
      <c r="Z53" s="1547"/>
      <c r="AA53" s="2420"/>
      <c r="AB53" s="2420"/>
      <c r="AC53" s="2420"/>
    </row>
    <row r="54" spans="1:29" ht="33" customHeight="1" x14ac:dyDescent="0.25">
      <c r="A54" s="1547"/>
      <c r="B54" s="3454"/>
      <c r="C54" s="4591">
        <f>BATA!D40</f>
        <v>0</v>
      </c>
      <c r="D54" s="4592"/>
      <c r="E54" s="4592"/>
      <c r="F54" s="4592"/>
      <c r="G54" s="4592"/>
      <c r="H54" s="4592"/>
      <c r="I54" s="4593"/>
      <c r="J54" s="4594">
        <f>BATA!C122</f>
        <v>0</v>
      </c>
      <c r="K54" s="4595"/>
      <c r="L54" s="4602">
        <f>BATA!E122</f>
        <v>0</v>
      </c>
      <c r="M54" s="4603"/>
      <c r="N54" s="4604"/>
      <c r="O54" s="4602">
        <f>BATA!F122</f>
        <v>0</v>
      </c>
      <c r="P54" s="4603"/>
      <c r="Q54" s="4603"/>
      <c r="R54" s="4604"/>
      <c r="S54" s="4582"/>
      <c r="T54" s="4583"/>
      <c r="U54" s="3922">
        <f>BATA!H122</f>
        <v>0</v>
      </c>
      <c r="V54" s="4570"/>
      <c r="W54" s="3923"/>
      <c r="X54" s="4589">
        <f>'FKS(PAP-03)'!K214</f>
        <v>0</v>
      </c>
      <c r="Y54" s="4590"/>
      <c r="Z54" s="1547"/>
      <c r="AA54" s="2420"/>
      <c r="AB54" s="2420"/>
      <c r="AC54" s="2420"/>
    </row>
    <row r="55" spans="1:29" x14ac:dyDescent="0.25">
      <c r="A55" s="1547"/>
      <c r="B55" s="186"/>
      <c r="C55" s="4601" t="s">
        <v>967</v>
      </c>
      <c r="D55" s="4601"/>
      <c r="E55" s="4601"/>
      <c r="F55" s="4601"/>
      <c r="G55" s="4601"/>
      <c r="H55" s="4601"/>
      <c r="I55" s="4601"/>
      <c r="J55" s="4601"/>
      <c r="K55" s="4601"/>
      <c r="L55" s="4601"/>
      <c r="M55" s="4601"/>
      <c r="N55" s="4601"/>
      <c r="O55" s="4601"/>
      <c r="P55" s="4601"/>
      <c r="Q55" s="4601"/>
      <c r="R55" s="4601"/>
      <c r="S55" s="4578">
        <v>0.3</v>
      </c>
      <c r="T55" s="4579"/>
      <c r="U55" s="3028" t="s">
        <v>54</v>
      </c>
      <c r="V55" s="3028"/>
      <c r="W55" s="3028"/>
      <c r="X55" s="3028" t="s">
        <v>51</v>
      </c>
      <c r="Y55" s="3028"/>
      <c r="Z55" s="1547"/>
      <c r="AA55" s="2420"/>
      <c r="AB55" s="2420"/>
      <c r="AC55" s="2420"/>
    </row>
    <row r="56" spans="1:29" ht="33" customHeight="1" x14ac:dyDescent="0.25">
      <c r="A56" s="1547"/>
      <c r="B56" s="3452">
        <v>1</v>
      </c>
      <c r="C56" s="3080">
        <f>BATA!D47</f>
        <v>0</v>
      </c>
      <c r="D56" s="3080"/>
      <c r="E56" s="3080"/>
      <c r="F56" s="3080"/>
      <c r="G56" s="3080"/>
      <c r="H56" s="3080"/>
      <c r="I56" s="3080"/>
      <c r="J56" s="4594">
        <f>BATA!C124</f>
        <v>0</v>
      </c>
      <c r="K56" s="4595"/>
      <c r="L56" s="4596">
        <f>BATA!E124</f>
        <v>0</v>
      </c>
      <c r="M56" s="4597"/>
      <c r="N56" s="4598"/>
      <c r="O56" s="4596">
        <f>BATA!F119</f>
        <v>0</v>
      </c>
      <c r="P56" s="4597"/>
      <c r="Q56" s="4597"/>
      <c r="R56" s="4598"/>
      <c r="S56" s="4580"/>
      <c r="T56" s="4581"/>
      <c r="U56" s="4571">
        <f>BATA!H124</f>
        <v>0</v>
      </c>
      <c r="V56" s="4572"/>
      <c r="W56" s="4573"/>
      <c r="X56" s="4599">
        <f>'FKS(PAP-03)'!K216</f>
        <v>0</v>
      </c>
      <c r="Y56" s="4600"/>
      <c r="Z56" s="1547"/>
      <c r="AA56" s="2420"/>
      <c r="AB56" s="2420"/>
      <c r="AC56" s="2420"/>
    </row>
    <row r="57" spans="1:29" ht="33" customHeight="1" x14ac:dyDescent="0.25">
      <c r="A57" s="1547"/>
      <c r="B57" s="3454"/>
      <c r="C57" s="3080">
        <f>BATA!D53</f>
        <v>0</v>
      </c>
      <c r="D57" s="3080"/>
      <c r="E57" s="3080"/>
      <c r="F57" s="3080"/>
      <c r="G57" s="3080"/>
      <c r="H57" s="3080"/>
      <c r="I57" s="3080"/>
      <c r="J57" s="4594">
        <f>BATA!C125</f>
        <v>0</v>
      </c>
      <c r="K57" s="4595"/>
      <c r="L57" s="4596">
        <f>BATA!E125</f>
        <v>0</v>
      </c>
      <c r="M57" s="4597"/>
      <c r="N57" s="4598"/>
      <c r="O57" s="4596">
        <f>BATA!F120</f>
        <v>0</v>
      </c>
      <c r="P57" s="4597"/>
      <c r="Q57" s="4597"/>
      <c r="R57" s="4598"/>
      <c r="S57" s="4580"/>
      <c r="T57" s="4581"/>
      <c r="U57" s="4571">
        <f>BATA!H125</f>
        <v>0</v>
      </c>
      <c r="V57" s="4572"/>
      <c r="W57" s="4573"/>
      <c r="X57" s="4599">
        <f>'FKS(PAP-03)'!K217</f>
        <v>0</v>
      </c>
      <c r="Y57" s="4600"/>
      <c r="Z57" s="1547"/>
      <c r="AA57" s="2420"/>
      <c r="AB57" s="2420"/>
      <c r="AC57" s="2420"/>
    </row>
    <row r="58" spans="1:29" ht="33" customHeight="1" x14ac:dyDescent="0.25">
      <c r="A58" s="1547"/>
      <c r="B58" s="3452">
        <v>2</v>
      </c>
      <c r="C58" s="3747">
        <f>BATA!D59</f>
        <v>0</v>
      </c>
      <c r="D58" s="3748"/>
      <c r="E58" s="3748"/>
      <c r="F58" s="3748"/>
      <c r="G58" s="3748"/>
      <c r="H58" s="3748"/>
      <c r="I58" s="3912"/>
      <c r="J58" s="4594">
        <f>BATA!C126</f>
        <v>0</v>
      </c>
      <c r="K58" s="4595"/>
      <c r="L58" s="4596">
        <f>BATA!E126</f>
        <v>0</v>
      </c>
      <c r="M58" s="4597"/>
      <c r="N58" s="4598"/>
      <c r="O58" s="4596">
        <f>BATA!F121</f>
        <v>0</v>
      </c>
      <c r="P58" s="4597"/>
      <c r="Q58" s="4597"/>
      <c r="R58" s="4598"/>
      <c r="S58" s="4580"/>
      <c r="T58" s="4581"/>
      <c r="U58" s="4571">
        <f>BATA!H126</f>
        <v>0</v>
      </c>
      <c r="V58" s="4572"/>
      <c r="W58" s="4573"/>
      <c r="X58" s="4599">
        <f>'FKS(PAP-03)'!K218</f>
        <v>0</v>
      </c>
      <c r="Y58" s="4600"/>
      <c r="Z58" s="1547"/>
      <c r="AA58" s="2420"/>
      <c r="AB58" s="2420"/>
      <c r="AC58" s="2420"/>
    </row>
    <row r="59" spans="1:29" ht="33" customHeight="1" x14ac:dyDescent="0.25">
      <c r="A59" s="1547"/>
      <c r="B59" s="3454"/>
      <c r="C59" s="3747">
        <f>BATA!D65</f>
        <v>0</v>
      </c>
      <c r="D59" s="3748"/>
      <c r="E59" s="3748"/>
      <c r="F59" s="3748"/>
      <c r="G59" s="3748"/>
      <c r="H59" s="3748"/>
      <c r="I59" s="3912"/>
      <c r="J59" s="4594">
        <f>BATA!C127</f>
        <v>0</v>
      </c>
      <c r="K59" s="4595"/>
      <c r="L59" s="4596">
        <f>BATA!E127</f>
        <v>0</v>
      </c>
      <c r="M59" s="4597"/>
      <c r="N59" s="4598"/>
      <c r="O59" s="4596">
        <f>BATA!F122</f>
        <v>0</v>
      </c>
      <c r="P59" s="4597"/>
      <c r="Q59" s="4597"/>
      <c r="R59" s="4598"/>
      <c r="S59" s="4582"/>
      <c r="T59" s="4583"/>
      <c r="U59" s="4571">
        <f>BATA!H127</f>
        <v>0</v>
      </c>
      <c r="V59" s="4572"/>
      <c r="W59" s="4573"/>
      <c r="X59" s="4599">
        <f>'FKS(PAP-03)'!K219</f>
        <v>0</v>
      </c>
      <c r="Y59" s="4600"/>
      <c r="Z59" s="1547"/>
      <c r="AA59" s="2420"/>
      <c r="AB59" s="2420"/>
      <c r="AC59" s="2420"/>
    </row>
    <row r="60" spans="1:29" x14ac:dyDescent="0.25">
      <c r="A60" s="1547"/>
      <c r="B60" s="127"/>
      <c r="C60" s="3512" t="s">
        <v>443</v>
      </c>
      <c r="D60" s="3515"/>
      <c r="E60" s="3515"/>
      <c r="F60" s="3515"/>
      <c r="G60" s="3515"/>
      <c r="H60" s="3515"/>
      <c r="I60" s="3513"/>
      <c r="J60" s="3512" t="s">
        <v>460</v>
      </c>
      <c r="K60" s="3515"/>
      <c r="L60" s="3515"/>
      <c r="M60" s="3515"/>
      <c r="N60" s="3513"/>
      <c r="O60" s="3512" t="s">
        <v>39</v>
      </c>
      <c r="P60" s="3642"/>
      <c r="Q60" s="3642"/>
      <c r="R60" s="3643"/>
      <c r="S60" s="4575" t="s">
        <v>364</v>
      </c>
      <c r="T60" s="4576"/>
      <c r="U60" s="3512" t="s">
        <v>444</v>
      </c>
      <c r="V60" s="3515"/>
      <c r="W60" s="3515"/>
      <c r="X60" s="3515"/>
      <c r="Y60" s="3513"/>
      <c r="Z60" s="1547"/>
      <c r="AA60" s="2420"/>
      <c r="AB60" s="2420"/>
      <c r="AC60" s="2420"/>
    </row>
    <row r="61" spans="1:29" ht="18" customHeight="1" x14ac:dyDescent="0.25">
      <c r="A61" s="1547"/>
      <c r="B61" s="187"/>
      <c r="C61" s="4577" t="s">
        <v>968</v>
      </c>
      <c r="D61" s="4577"/>
      <c r="E61" s="4577"/>
      <c r="F61" s="4577"/>
      <c r="G61" s="4577"/>
      <c r="H61" s="4577"/>
      <c r="I61" s="4577"/>
      <c r="J61" s="4577"/>
      <c r="K61" s="4577"/>
      <c r="L61" s="4577"/>
      <c r="M61" s="4577"/>
      <c r="N61" s="4577"/>
      <c r="O61" s="4577"/>
      <c r="P61" s="4577"/>
      <c r="Q61" s="4577"/>
      <c r="R61" s="4577"/>
      <c r="S61" s="4578">
        <v>0.3</v>
      </c>
      <c r="T61" s="4579"/>
      <c r="U61" s="3082" t="s">
        <v>54</v>
      </c>
      <c r="V61" s="3083"/>
      <c r="W61" s="3084"/>
      <c r="X61" s="4584" t="s">
        <v>51</v>
      </c>
      <c r="Y61" s="4585"/>
      <c r="Z61" s="1547"/>
      <c r="AA61" s="2420"/>
      <c r="AB61" s="2420"/>
      <c r="AC61" s="2420"/>
    </row>
    <row r="62" spans="1:29" ht="33" customHeight="1" x14ac:dyDescent="0.25">
      <c r="A62" s="1547"/>
      <c r="B62" s="1549">
        <v>1</v>
      </c>
      <c r="C62" s="4505" t="str">
        <f>BATA!D74</f>
        <v>Piutang Sehat</v>
      </c>
      <c r="D62" s="4505"/>
      <c r="E62" s="4505"/>
      <c r="F62" s="4505"/>
      <c r="G62" s="4505"/>
      <c r="H62" s="4505"/>
      <c r="I62" s="4505"/>
      <c r="J62" s="3814" t="str">
        <f>BATA!F74</f>
        <v>Piutang sehat / Kolektibilitas A diikat Fidusia</v>
      </c>
      <c r="K62" s="3815"/>
      <c r="L62" s="3815"/>
      <c r="M62" s="3815"/>
      <c r="N62" s="3816"/>
      <c r="O62" s="4586">
        <f>BATA!F130</f>
        <v>30000000000</v>
      </c>
      <c r="P62" s="4587"/>
      <c r="Q62" s="4587"/>
      <c r="R62" s="4588"/>
      <c r="S62" s="4580"/>
      <c r="T62" s="4581"/>
      <c r="U62" s="3922">
        <f>BATA!H130</f>
        <v>6000000000</v>
      </c>
      <c r="V62" s="4570"/>
      <c r="W62" s="3923"/>
      <c r="X62" s="4589">
        <f>'FKS(PAP-03)'!K222</f>
        <v>0.68571428571428572</v>
      </c>
      <c r="Y62" s="4590"/>
      <c r="Z62" s="1547"/>
      <c r="AA62" s="2420"/>
      <c r="AB62" s="2420"/>
      <c r="AC62" s="2420"/>
    </row>
    <row r="63" spans="1:29" ht="33" customHeight="1" x14ac:dyDescent="0.25">
      <c r="A63" s="1547"/>
      <c r="B63" s="1549">
        <v>2</v>
      </c>
      <c r="C63" s="4591">
        <f>BATA!D80</f>
        <v>0</v>
      </c>
      <c r="D63" s="4592"/>
      <c r="E63" s="4592"/>
      <c r="F63" s="4592"/>
      <c r="G63" s="4592"/>
      <c r="H63" s="4592"/>
      <c r="I63" s="4593"/>
      <c r="J63" s="3747">
        <f>BATA!F80</f>
        <v>0</v>
      </c>
      <c r="K63" s="3748"/>
      <c r="L63" s="3748"/>
      <c r="M63" s="3748"/>
      <c r="N63" s="3912"/>
      <c r="O63" s="4586">
        <f>BATA!F131</f>
        <v>0</v>
      </c>
      <c r="P63" s="4587"/>
      <c r="Q63" s="4587"/>
      <c r="R63" s="4588"/>
      <c r="S63" s="4580"/>
      <c r="T63" s="4581"/>
      <c r="U63" s="3922">
        <f>BATA!H131</f>
        <v>0</v>
      </c>
      <c r="V63" s="4570"/>
      <c r="W63" s="3923"/>
      <c r="X63" s="4589">
        <f>'FKS(PAP-03)'!K223</f>
        <v>0</v>
      </c>
      <c r="Y63" s="4590"/>
      <c r="Z63" s="1547"/>
      <c r="AA63" s="2420"/>
      <c r="AB63" s="2420"/>
      <c r="AC63" s="2420"/>
    </row>
    <row r="64" spans="1:29" ht="33" customHeight="1" x14ac:dyDescent="0.25">
      <c r="A64" s="1547"/>
      <c r="B64" s="1549">
        <v>3</v>
      </c>
      <c r="C64" s="4591">
        <f>BATA!D86</f>
        <v>0</v>
      </c>
      <c r="D64" s="4592"/>
      <c r="E64" s="4592"/>
      <c r="F64" s="4592"/>
      <c r="G64" s="4592"/>
      <c r="H64" s="4592"/>
      <c r="I64" s="4593"/>
      <c r="J64" s="3747">
        <f>BATA!F86</f>
        <v>0</v>
      </c>
      <c r="K64" s="3748"/>
      <c r="L64" s="3748"/>
      <c r="M64" s="3748"/>
      <c r="N64" s="3912"/>
      <c r="O64" s="4586">
        <f>BATA!F132</f>
        <v>0</v>
      </c>
      <c r="P64" s="4587"/>
      <c r="Q64" s="4587"/>
      <c r="R64" s="4588"/>
      <c r="S64" s="4582"/>
      <c r="T64" s="4583"/>
      <c r="U64" s="3922">
        <f>BATA!H132</f>
        <v>0</v>
      </c>
      <c r="V64" s="4570"/>
      <c r="W64" s="3923"/>
      <c r="X64" s="4589">
        <f>'FKS(PAP-03)'!K224</f>
        <v>0</v>
      </c>
      <c r="Y64" s="4590"/>
      <c r="Z64" s="1547"/>
      <c r="AA64" s="2420"/>
      <c r="AB64" s="2420"/>
      <c r="AC64" s="2420"/>
    </row>
    <row r="65" spans="1:30" ht="16.5" customHeight="1" x14ac:dyDescent="0.25">
      <c r="A65" s="1547"/>
      <c r="B65" s="127"/>
      <c r="C65" s="3512" t="s">
        <v>969</v>
      </c>
      <c r="D65" s="3515"/>
      <c r="E65" s="3515"/>
      <c r="F65" s="3515"/>
      <c r="G65" s="3515"/>
      <c r="H65" s="3515"/>
      <c r="I65" s="3513"/>
      <c r="J65" s="3512" t="s">
        <v>15</v>
      </c>
      <c r="K65" s="3515"/>
      <c r="L65" s="3515"/>
      <c r="M65" s="3515"/>
      <c r="N65" s="3513"/>
      <c r="O65" s="3512" t="s">
        <v>39</v>
      </c>
      <c r="P65" s="3642"/>
      <c r="Q65" s="3642"/>
      <c r="R65" s="3643"/>
      <c r="S65" s="4575" t="s">
        <v>364</v>
      </c>
      <c r="T65" s="4576"/>
      <c r="U65" s="3512" t="s">
        <v>444</v>
      </c>
      <c r="V65" s="3515"/>
      <c r="W65" s="3515"/>
      <c r="X65" s="3515"/>
      <c r="Y65" s="3513"/>
      <c r="Z65" s="1547"/>
      <c r="AA65" s="2420"/>
      <c r="AB65" s="2420"/>
      <c r="AC65" s="2420"/>
    </row>
    <row r="66" spans="1:30" s="13" customFormat="1" ht="14.25" customHeight="1" x14ac:dyDescent="0.25">
      <c r="A66" s="1547"/>
      <c r="B66" s="188"/>
      <c r="C66" s="4562" t="s">
        <v>986</v>
      </c>
      <c r="D66" s="4562"/>
      <c r="E66" s="4562"/>
      <c r="F66" s="4562"/>
      <c r="G66" s="4562"/>
      <c r="H66" s="4562"/>
      <c r="I66" s="4562"/>
      <c r="J66" s="4562"/>
      <c r="K66" s="4562"/>
      <c r="L66" s="4562"/>
      <c r="M66" s="4562"/>
      <c r="N66" s="4562"/>
      <c r="O66" s="4562"/>
      <c r="P66" s="4562"/>
      <c r="Q66" s="4562"/>
      <c r="R66" s="4562"/>
      <c r="S66" s="4563">
        <v>1</v>
      </c>
      <c r="T66" s="4564"/>
      <c r="U66" s="3082" t="s">
        <v>54</v>
      </c>
      <c r="V66" s="3083"/>
      <c r="W66" s="3084"/>
      <c r="X66" s="3082" t="s">
        <v>51</v>
      </c>
      <c r="Y66" s="3084"/>
      <c r="Z66" s="1547"/>
      <c r="AA66" s="2421"/>
      <c r="AB66" s="2421"/>
      <c r="AC66" s="2421"/>
      <c r="AD66" s="2421"/>
    </row>
    <row r="67" spans="1:30" s="13" customFormat="1" ht="33" customHeight="1" x14ac:dyDescent="0.25">
      <c r="A67" s="1547"/>
      <c r="B67" s="131">
        <v>1</v>
      </c>
      <c r="C67" s="4569">
        <f>BATA!C135</f>
        <v>0</v>
      </c>
      <c r="D67" s="4569"/>
      <c r="E67" s="4569"/>
      <c r="F67" s="4569"/>
      <c r="G67" s="4569"/>
      <c r="H67" s="4569"/>
      <c r="I67" s="4569"/>
      <c r="J67" s="3534">
        <f>BATA!F96</f>
        <v>0</v>
      </c>
      <c r="K67" s="3535"/>
      <c r="L67" s="3535"/>
      <c r="M67" s="3535"/>
      <c r="N67" s="3536"/>
      <c r="O67" s="3922">
        <f>BATA!F135</f>
        <v>0</v>
      </c>
      <c r="P67" s="4570"/>
      <c r="Q67" s="4570"/>
      <c r="R67" s="3923"/>
      <c r="S67" s="4565"/>
      <c r="T67" s="4566"/>
      <c r="U67" s="4571">
        <f>BATA!H135</f>
        <v>0</v>
      </c>
      <c r="V67" s="4572"/>
      <c r="W67" s="4573"/>
      <c r="X67" s="4574">
        <f>'FKS(PAP-03)'!K227</f>
        <v>0</v>
      </c>
      <c r="Y67" s="3504"/>
      <c r="Z67" s="1556"/>
      <c r="AA67" s="2421"/>
      <c r="AB67" s="2421"/>
      <c r="AC67" s="2421"/>
      <c r="AD67" s="2421"/>
    </row>
    <row r="68" spans="1:30" s="13" customFormat="1" ht="33" customHeight="1" x14ac:dyDescent="0.25">
      <c r="A68" s="1547"/>
      <c r="B68" s="131">
        <v>2</v>
      </c>
      <c r="C68" s="4569">
        <f>BATA!C136</f>
        <v>0</v>
      </c>
      <c r="D68" s="4569"/>
      <c r="E68" s="4569"/>
      <c r="F68" s="4569"/>
      <c r="G68" s="4569"/>
      <c r="H68" s="4569"/>
      <c r="I68" s="4569"/>
      <c r="J68" s="3534">
        <f>BATA!F102</f>
        <v>0</v>
      </c>
      <c r="K68" s="3535"/>
      <c r="L68" s="3535"/>
      <c r="M68" s="3535"/>
      <c r="N68" s="3536"/>
      <c r="O68" s="3922">
        <f>BATA!F136</f>
        <v>0</v>
      </c>
      <c r="P68" s="4570"/>
      <c r="Q68" s="4570"/>
      <c r="R68" s="3923"/>
      <c r="S68" s="4567"/>
      <c r="T68" s="4568"/>
      <c r="U68" s="4571">
        <f>BATA!H136</f>
        <v>0</v>
      </c>
      <c r="V68" s="4572"/>
      <c r="W68" s="4573"/>
      <c r="X68" s="4574">
        <f>'FKS(PAP-03)'!K228</f>
        <v>0</v>
      </c>
      <c r="Y68" s="3504"/>
      <c r="Z68" s="1556"/>
      <c r="AA68" s="2421"/>
      <c r="AB68" s="2421"/>
      <c r="AC68" s="2421"/>
      <c r="AD68" s="2421"/>
    </row>
    <row r="69" spans="1:30" s="13" customFormat="1" ht="15" customHeight="1" x14ac:dyDescent="0.25">
      <c r="A69" s="1547"/>
      <c r="B69" s="3531" t="s">
        <v>445</v>
      </c>
      <c r="C69" s="3532"/>
      <c r="D69" s="3532"/>
      <c r="E69" s="3532"/>
      <c r="F69" s="3532"/>
      <c r="G69" s="3532"/>
      <c r="H69" s="3532"/>
      <c r="I69" s="3532"/>
      <c r="J69" s="3532"/>
      <c r="K69" s="3532"/>
      <c r="L69" s="3532"/>
      <c r="M69" s="3532"/>
      <c r="N69" s="3532"/>
      <c r="O69" s="3532"/>
      <c r="P69" s="3532"/>
      <c r="Q69" s="3532"/>
      <c r="R69" s="3532"/>
      <c r="S69" s="3532"/>
      <c r="T69" s="3533"/>
      <c r="U69" s="4554">
        <f>'FKS(PAP-03)'!J229</f>
        <v>6000000000</v>
      </c>
      <c r="V69" s="4555"/>
      <c r="W69" s="4556"/>
      <c r="X69" s="4557">
        <f>'FKS(PAP-03)'!K229</f>
        <v>0.68571428571428572</v>
      </c>
      <c r="Y69" s="4558"/>
      <c r="Z69" s="1556"/>
      <c r="AA69" s="2421"/>
      <c r="AB69" s="2421"/>
      <c r="AC69" s="2421"/>
      <c r="AD69" s="2421"/>
    </row>
    <row r="70" spans="1:30" s="13" customFormat="1" ht="15" customHeight="1" x14ac:dyDescent="0.25">
      <c r="A70" s="1547"/>
      <c r="B70" s="3531" t="s">
        <v>446</v>
      </c>
      <c r="C70" s="3532"/>
      <c r="D70" s="3532"/>
      <c r="E70" s="3532"/>
      <c r="F70" s="3532"/>
      <c r="G70" s="3532"/>
      <c r="H70" s="3532"/>
      <c r="I70" s="3532"/>
      <c r="J70" s="3532"/>
      <c r="K70" s="3532"/>
      <c r="L70" s="3532"/>
      <c r="M70" s="3532"/>
      <c r="N70" s="3532"/>
      <c r="O70" s="3532"/>
      <c r="P70" s="3532"/>
      <c r="Q70" s="3532"/>
      <c r="R70" s="3532"/>
      <c r="S70" s="3532"/>
      <c r="T70" s="3533"/>
      <c r="U70" s="4554">
        <f>'FKS(PAP-03)'!J230</f>
        <v>2750000000</v>
      </c>
      <c r="V70" s="4555"/>
      <c r="W70" s="4556"/>
      <c r="X70" s="4557">
        <f>'FKS(PAP-03)'!K230</f>
        <v>0.56428571428571428</v>
      </c>
      <c r="Y70" s="4558"/>
      <c r="Z70" s="1556"/>
      <c r="AA70" s="2421"/>
      <c r="AB70" s="2421"/>
      <c r="AC70" s="2421"/>
      <c r="AD70" s="2421"/>
    </row>
    <row r="71" spans="1:30" s="13" customFormat="1" ht="22.5" customHeight="1" x14ac:dyDescent="0.25">
      <c r="A71" s="1547"/>
      <c r="B71" s="4559" t="str">
        <f>'FKS(PAP-03)'!C231</f>
        <v>Saat ini PD. BPR Dompu menggunakan Piutang lancar sebagai jaminan untuk pengajuan kredit di LPDB, hal ini disebabkan fix Asset yang dimiliki masih dalam proses hibah, sehingga membutuhkan waktu yang cukup lama,sehingga total nilai agunan sebesar 69% dan total penjaminan sebesar 56% dengan skor 3.50 dan memenuhi Syarat.</v>
      </c>
      <c r="C71" s="4559"/>
      <c r="D71" s="4559"/>
      <c r="E71" s="4559"/>
      <c r="F71" s="4559"/>
      <c r="G71" s="4559"/>
      <c r="H71" s="4559"/>
      <c r="I71" s="4559"/>
      <c r="J71" s="4559"/>
      <c r="K71" s="4559"/>
      <c r="L71" s="4559"/>
      <c r="M71" s="4559"/>
      <c r="N71" s="4559"/>
      <c r="O71" s="4559"/>
      <c r="P71" s="4559"/>
      <c r="Q71" s="3652" t="s">
        <v>365</v>
      </c>
      <c r="R71" s="2994"/>
      <c r="S71" s="2994"/>
      <c r="T71" s="2994"/>
      <c r="U71" s="4560">
        <f>'FKS(PAP-03)'!L232</f>
        <v>7</v>
      </c>
      <c r="V71" s="4560"/>
      <c r="W71" s="4560"/>
      <c r="X71" s="4560"/>
      <c r="Y71" s="4560"/>
      <c r="Z71" s="1556"/>
      <c r="AA71" s="2421"/>
      <c r="AB71" s="2421"/>
      <c r="AC71" s="2421"/>
      <c r="AD71" s="2421"/>
    </row>
    <row r="72" spans="1:30" s="13" customFormat="1" ht="123" customHeight="1" x14ac:dyDescent="0.25">
      <c r="A72" s="1547"/>
      <c r="B72" s="4559"/>
      <c r="C72" s="4559"/>
      <c r="D72" s="4559"/>
      <c r="E72" s="4559"/>
      <c r="F72" s="4559"/>
      <c r="G72" s="4559"/>
      <c r="H72" s="4559"/>
      <c r="I72" s="4559"/>
      <c r="J72" s="4559"/>
      <c r="K72" s="4559"/>
      <c r="L72" s="4559"/>
      <c r="M72" s="4559"/>
      <c r="N72" s="4559"/>
      <c r="O72" s="4559"/>
      <c r="P72" s="4559"/>
      <c r="Q72" s="3652" t="s">
        <v>236</v>
      </c>
      <c r="R72" s="2994"/>
      <c r="S72" s="2994"/>
      <c r="T72" s="2994"/>
      <c r="U72" s="4561">
        <f>'FKS(PAP-03)'!L233</f>
        <v>3.5</v>
      </c>
      <c r="V72" s="4561"/>
      <c r="W72" s="4560" t="str">
        <f>'FKS(PAP-03)'!N233</f>
        <v>Memenuhi Syarat</v>
      </c>
      <c r="X72" s="4560"/>
      <c r="Y72" s="4560"/>
      <c r="Z72" s="1556"/>
      <c r="AA72" s="2421"/>
      <c r="AB72" s="2421"/>
      <c r="AC72" s="2421"/>
      <c r="AD72" s="2421"/>
    </row>
    <row r="73" spans="1:30" s="13" customFormat="1" ht="15" customHeight="1" x14ac:dyDescent="0.25">
      <c r="A73" s="1547"/>
      <c r="B73" s="1573"/>
      <c r="C73" s="2435"/>
      <c r="D73" s="2435"/>
      <c r="E73" s="2435"/>
      <c r="F73" s="2435"/>
      <c r="G73" s="2435"/>
      <c r="H73" s="2435"/>
      <c r="I73" s="2435"/>
      <c r="J73" s="2436"/>
      <c r="K73" s="2436"/>
      <c r="L73" s="2436"/>
      <c r="M73" s="2436"/>
      <c r="N73" s="2436"/>
      <c r="O73" s="2436"/>
      <c r="P73" s="2437"/>
      <c r="Q73" s="2437"/>
      <c r="R73" s="2437"/>
      <c r="S73" s="2437"/>
      <c r="T73" s="2437"/>
      <c r="U73" s="1573"/>
      <c r="V73" s="1573"/>
      <c r="W73" s="1573"/>
      <c r="X73" s="1573"/>
      <c r="Y73" s="1573"/>
      <c r="Z73" s="1556"/>
      <c r="AA73" s="2421"/>
      <c r="AB73" s="2421"/>
      <c r="AC73" s="2421"/>
      <c r="AD73" s="2421"/>
    </row>
    <row r="74" spans="1:30" s="7" customFormat="1" ht="13.5" customHeight="1" x14ac:dyDescent="0.35">
      <c r="A74" s="132"/>
      <c r="B74" s="601"/>
      <c r="C74" s="1570"/>
      <c r="D74" s="1570"/>
      <c r="E74" s="1570"/>
      <c r="F74" s="1570"/>
      <c r="G74" s="1570"/>
      <c r="H74" s="1570"/>
      <c r="I74" s="1570"/>
      <c r="J74" s="1570"/>
      <c r="K74" s="1570"/>
      <c r="L74" s="1570"/>
      <c r="M74" s="1570"/>
      <c r="N74" s="1570"/>
      <c r="O74" s="1570"/>
      <c r="P74" s="1570"/>
      <c r="Q74" s="1570"/>
      <c r="R74" s="1570"/>
      <c r="S74" s="1570"/>
      <c r="T74" s="1570"/>
      <c r="U74" s="1570"/>
      <c r="V74" s="1570"/>
      <c r="W74" s="1570"/>
      <c r="X74" s="1570"/>
      <c r="Y74" s="1570"/>
      <c r="Z74" s="132"/>
      <c r="AA74" s="60"/>
      <c r="AB74" s="60"/>
      <c r="AC74" s="60"/>
      <c r="AD74" s="60"/>
    </row>
    <row r="75" spans="1:30" s="14" customFormat="1" ht="15" customHeight="1" x14ac:dyDescent="0.35">
      <c r="A75" s="1559"/>
      <c r="B75" s="4550" t="s">
        <v>100</v>
      </c>
      <c r="C75" s="4551"/>
      <c r="D75" s="4551"/>
      <c r="E75" s="4551"/>
      <c r="F75" s="4551"/>
      <c r="G75" s="4551"/>
      <c r="H75" s="4551"/>
      <c r="I75" s="4551"/>
      <c r="J75" s="4551"/>
      <c r="K75" s="4551"/>
      <c r="L75" s="4551"/>
      <c r="M75" s="4551"/>
      <c r="N75" s="4551"/>
      <c r="O75" s="4551"/>
      <c r="P75" s="4551"/>
      <c r="Q75" s="4551"/>
      <c r="R75" s="4551"/>
      <c r="S75" s="4551"/>
      <c r="T75" s="4551"/>
      <c r="U75" s="4551"/>
      <c r="V75" s="4551"/>
      <c r="W75" s="4551"/>
      <c r="X75" s="4551"/>
      <c r="Y75" s="4552"/>
      <c r="Z75" s="1559"/>
      <c r="AA75" s="62"/>
      <c r="AB75" s="62"/>
      <c r="AC75" s="62"/>
      <c r="AD75" s="62"/>
    </row>
    <row r="76" spans="1:30" s="17" customFormat="1" ht="15" customHeight="1" x14ac:dyDescent="0.35">
      <c r="A76" s="577"/>
      <c r="B76" s="593"/>
      <c r="C76" s="594"/>
      <c r="D76" s="594"/>
      <c r="E76" s="594"/>
      <c r="F76" s="594"/>
      <c r="G76" s="594"/>
      <c r="H76" s="594"/>
      <c r="I76" s="594"/>
      <c r="J76" s="594"/>
      <c r="K76" s="594"/>
      <c r="L76" s="594"/>
      <c r="M76" s="594"/>
      <c r="N76" s="594"/>
      <c r="O76" s="594"/>
      <c r="P76" s="594"/>
      <c r="Q76" s="594"/>
      <c r="R76" s="594"/>
      <c r="S76" s="594"/>
      <c r="T76" s="594"/>
      <c r="U76" s="594"/>
      <c r="V76" s="594"/>
      <c r="W76" s="594"/>
      <c r="X76" s="594"/>
      <c r="Y76" s="595"/>
      <c r="Z76" s="577"/>
      <c r="AA76" s="2426"/>
      <c r="AB76" s="2426"/>
      <c r="AC76" s="2426"/>
      <c r="AD76" s="2426"/>
    </row>
    <row r="77" spans="1:30" s="14" customFormat="1" ht="15" customHeight="1" x14ac:dyDescent="0.35">
      <c r="A77" s="1559"/>
      <c r="B77" s="4466" t="s">
        <v>120</v>
      </c>
      <c r="C77" s="4467"/>
      <c r="D77" s="4467"/>
      <c r="E77" s="4467"/>
      <c r="F77" s="4467"/>
      <c r="G77" s="4467"/>
      <c r="H77" s="4467"/>
      <c r="I77" s="4467"/>
      <c r="J77" s="4467"/>
      <c r="K77" s="4467"/>
      <c r="L77" s="4467"/>
      <c r="M77" s="4467"/>
      <c r="N77" s="4467"/>
      <c r="O77" s="4467"/>
      <c r="P77" s="4467"/>
      <c r="Q77" s="4467"/>
      <c r="R77" s="4467"/>
      <c r="S77" s="4467"/>
      <c r="T77" s="4467"/>
      <c r="U77" s="4467"/>
      <c r="V77" s="4467"/>
      <c r="W77" s="4467"/>
      <c r="X77" s="4467"/>
      <c r="Y77" s="4468"/>
      <c r="Z77" s="1559"/>
      <c r="AA77" s="62"/>
      <c r="AB77" s="62"/>
      <c r="AC77" s="62"/>
      <c r="AD77" s="62"/>
    </row>
    <row r="78" spans="1:30" s="17" customFormat="1" ht="15" customHeight="1" x14ac:dyDescent="0.35">
      <c r="A78" s="577"/>
      <c r="B78" s="4515" t="s">
        <v>183</v>
      </c>
      <c r="C78" s="4515"/>
      <c r="D78" s="4515"/>
      <c r="E78" s="4515"/>
      <c r="F78" s="4515"/>
      <c r="G78" s="4515"/>
      <c r="H78" s="4515"/>
      <c r="I78" s="4515"/>
      <c r="J78" s="4515"/>
      <c r="K78" s="4515"/>
      <c r="L78" s="4515"/>
      <c r="M78" s="4515"/>
      <c r="N78" s="4515"/>
      <c r="O78" s="4515"/>
      <c r="P78" s="4515"/>
      <c r="Q78" s="4515"/>
      <c r="R78" s="4515"/>
      <c r="S78" s="4515"/>
      <c r="T78" s="4515"/>
      <c r="U78" s="4553" t="s">
        <v>181</v>
      </c>
      <c r="V78" s="4553"/>
      <c r="W78" s="4553"/>
      <c r="X78" s="4553"/>
      <c r="Y78" s="4553"/>
      <c r="Z78" s="577"/>
      <c r="AA78" s="2426"/>
      <c r="AB78" s="2426"/>
      <c r="AC78" s="2426"/>
      <c r="AD78" s="2426"/>
    </row>
    <row r="79" spans="1:30" s="17" customFormat="1" ht="15" customHeight="1" x14ac:dyDescent="0.35">
      <c r="A79" s="577"/>
      <c r="B79" s="4515"/>
      <c r="C79" s="4515"/>
      <c r="D79" s="4515"/>
      <c r="E79" s="4515"/>
      <c r="F79" s="4515"/>
      <c r="G79" s="4515"/>
      <c r="H79" s="4515"/>
      <c r="I79" s="4515"/>
      <c r="J79" s="4515"/>
      <c r="K79" s="4515"/>
      <c r="L79" s="4515"/>
      <c r="M79" s="4515"/>
      <c r="N79" s="4515"/>
      <c r="O79" s="4515"/>
      <c r="P79" s="4515"/>
      <c r="Q79" s="4515"/>
      <c r="R79" s="4515"/>
      <c r="S79" s="4515"/>
      <c r="T79" s="4516"/>
      <c r="U79" s="1581">
        <v>1</v>
      </c>
      <c r="V79" s="1581">
        <v>2</v>
      </c>
      <c r="W79" s="1581">
        <v>3</v>
      </c>
      <c r="X79" s="1581">
        <v>4</v>
      </c>
      <c r="Y79" s="1581">
        <v>5</v>
      </c>
      <c r="Z79" s="577"/>
      <c r="AA79" s="2426"/>
      <c r="AB79" s="2426"/>
      <c r="AC79" s="2426"/>
      <c r="AD79" s="2426"/>
    </row>
    <row r="80" spans="1:30" s="14" customFormat="1" ht="15" customHeight="1" x14ac:dyDescent="0.35">
      <c r="A80" s="1559"/>
      <c r="B80" s="1560">
        <v>1</v>
      </c>
      <c r="C80" s="4495" t="s">
        <v>121</v>
      </c>
      <c r="D80" s="4495"/>
      <c r="E80" s="4495"/>
      <c r="F80" s="4495"/>
      <c r="G80" s="4495"/>
      <c r="H80" s="4495"/>
      <c r="I80" s="4495"/>
      <c r="J80" s="4495"/>
      <c r="K80" s="4495"/>
      <c r="L80" s="4495"/>
      <c r="M80" s="4495"/>
      <c r="N80" s="4495"/>
      <c r="O80" s="4495"/>
      <c r="P80" s="4495"/>
      <c r="Q80" s="4495"/>
      <c r="R80" s="4495"/>
      <c r="S80" s="4495"/>
      <c r="T80" s="4495"/>
      <c r="U80" s="4496">
        <f>'FKS(PAP-03)'!T531</f>
        <v>4.666666666666667</v>
      </c>
      <c r="V80" s="4497"/>
      <c r="W80" s="4497"/>
      <c r="X80" s="4497"/>
      <c r="Y80" s="4498"/>
      <c r="Z80" s="1559"/>
      <c r="AA80" s="62"/>
      <c r="AB80" s="62"/>
      <c r="AC80" s="62"/>
      <c r="AD80" s="62"/>
    </row>
    <row r="81" spans="1:30" s="14" customFormat="1" ht="15" customHeight="1" x14ac:dyDescent="0.35">
      <c r="A81" s="1559"/>
      <c r="B81" s="3915"/>
      <c r="C81" s="4505" t="str">
        <f>'FKS(PAP-03)'!D529</f>
        <v>Dalam hal kepatuhan terkait dengan pelaporan keuangan, Perusahaan yang bersangkutan mampu menyerahkan  Tepat Waktu sesuai dengan Periode Pelaporan. dengan kualitas informasi yang disampaikan, laporan keuangan perusahaan dinyatakan wajar, tanpa syarat. Hal ini ditunjang dengan penggunaan teknologi yang sudah sangat modern dalam hal penyusunan laporan keuangan yang valid dan akurat dengan jumlah skor rata-rata 4,67</v>
      </c>
      <c r="D81" s="4505"/>
      <c r="E81" s="4505"/>
      <c r="F81" s="4505"/>
      <c r="G81" s="4505"/>
      <c r="H81" s="4505"/>
      <c r="I81" s="4505"/>
      <c r="J81" s="4505"/>
      <c r="K81" s="4505"/>
      <c r="L81" s="4505"/>
      <c r="M81" s="4505"/>
      <c r="N81" s="4505"/>
      <c r="O81" s="4505"/>
      <c r="P81" s="4505"/>
      <c r="Q81" s="4505"/>
      <c r="R81" s="4505"/>
      <c r="S81" s="4505"/>
      <c r="T81" s="4505"/>
      <c r="U81" s="4499"/>
      <c r="V81" s="4500"/>
      <c r="W81" s="4500"/>
      <c r="X81" s="4500"/>
      <c r="Y81" s="4501"/>
      <c r="Z81" s="1559"/>
      <c r="AA81" s="62"/>
      <c r="AB81" s="62"/>
      <c r="AC81" s="62"/>
      <c r="AD81" s="62"/>
    </row>
    <row r="82" spans="1:30" s="14" customFormat="1" ht="15" customHeight="1" x14ac:dyDescent="0.35">
      <c r="A82" s="1559"/>
      <c r="B82" s="3926"/>
      <c r="C82" s="4505"/>
      <c r="D82" s="4505"/>
      <c r="E82" s="4505"/>
      <c r="F82" s="4505"/>
      <c r="G82" s="4505"/>
      <c r="H82" s="4505"/>
      <c r="I82" s="4505"/>
      <c r="J82" s="4505"/>
      <c r="K82" s="4505"/>
      <c r="L82" s="4505"/>
      <c r="M82" s="4505"/>
      <c r="N82" s="4505"/>
      <c r="O82" s="4505"/>
      <c r="P82" s="4505"/>
      <c r="Q82" s="4505"/>
      <c r="R82" s="4505"/>
      <c r="S82" s="4505"/>
      <c r="T82" s="4505"/>
      <c r="U82" s="4499"/>
      <c r="V82" s="4500"/>
      <c r="W82" s="4500"/>
      <c r="X82" s="4500"/>
      <c r="Y82" s="4501"/>
      <c r="Z82" s="1559"/>
      <c r="AA82" s="62"/>
      <c r="AB82" s="62"/>
      <c r="AC82" s="62"/>
      <c r="AD82" s="62"/>
    </row>
    <row r="83" spans="1:30" s="14" customFormat="1" ht="15" customHeight="1" x14ac:dyDescent="0.35">
      <c r="A83" s="1559"/>
      <c r="B83" s="3926"/>
      <c r="C83" s="4505"/>
      <c r="D83" s="4505"/>
      <c r="E83" s="4505"/>
      <c r="F83" s="4505"/>
      <c r="G83" s="4505"/>
      <c r="H83" s="4505"/>
      <c r="I83" s="4505"/>
      <c r="J83" s="4505"/>
      <c r="K83" s="4505"/>
      <c r="L83" s="4505"/>
      <c r="M83" s="4505"/>
      <c r="N83" s="4505"/>
      <c r="O83" s="4505"/>
      <c r="P83" s="4505"/>
      <c r="Q83" s="4505"/>
      <c r="R83" s="4505"/>
      <c r="S83" s="4505"/>
      <c r="T83" s="4505"/>
      <c r="U83" s="4499"/>
      <c r="V83" s="4500"/>
      <c r="W83" s="4500"/>
      <c r="X83" s="4500"/>
      <c r="Y83" s="4501"/>
      <c r="Z83" s="1559"/>
      <c r="AA83" s="62"/>
      <c r="AB83" s="62"/>
      <c r="AC83" s="62"/>
      <c r="AD83" s="62"/>
    </row>
    <row r="84" spans="1:30" s="14" customFormat="1" ht="15" customHeight="1" x14ac:dyDescent="0.35">
      <c r="A84" s="1559"/>
      <c r="B84" s="3926"/>
      <c r="C84" s="4505"/>
      <c r="D84" s="4505"/>
      <c r="E84" s="4505"/>
      <c r="F84" s="4505"/>
      <c r="G84" s="4505"/>
      <c r="H84" s="4505"/>
      <c r="I84" s="4505"/>
      <c r="J84" s="4505"/>
      <c r="K84" s="4505"/>
      <c r="L84" s="4505"/>
      <c r="M84" s="4505"/>
      <c r="N84" s="4505"/>
      <c r="O84" s="4505"/>
      <c r="P84" s="4505"/>
      <c r="Q84" s="4505"/>
      <c r="R84" s="4505"/>
      <c r="S84" s="4505"/>
      <c r="T84" s="4505"/>
      <c r="U84" s="4499"/>
      <c r="V84" s="4500"/>
      <c r="W84" s="4500"/>
      <c r="X84" s="4500"/>
      <c r="Y84" s="4501"/>
      <c r="Z84" s="1559"/>
      <c r="AA84" s="62"/>
      <c r="AB84" s="62"/>
      <c r="AC84" s="62"/>
      <c r="AD84" s="62"/>
    </row>
    <row r="85" spans="1:30" s="14" customFormat="1" ht="45" customHeight="1" x14ac:dyDescent="0.35">
      <c r="A85" s="1559"/>
      <c r="B85" s="3916"/>
      <c r="C85" s="4505"/>
      <c r="D85" s="4505"/>
      <c r="E85" s="4505"/>
      <c r="F85" s="4505"/>
      <c r="G85" s="4505"/>
      <c r="H85" s="4505"/>
      <c r="I85" s="4505"/>
      <c r="J85" s="4505"/>
      <c r="K85" s="4505"/>
      <c r="L85" s="4505"/>
      <c r="M85" s="4505"/>
      <c r="N85" s="4505"/>
      <c r="O85" s="4505"/>
      <c r="P85" s="4505"/>
      <c r="Q85" s="4505"/>
      <c r="R85" s="4505"/>
      <c r="S85" s="4505"/>
      <c r="T85" s="4505"/>
      <c r="U85" s="4502"/>
      <c r="V85" s="4503"/>
      <c r="W85" s="4503"/>
      <c r="X85" s="4503"/>
      <c r="Y85" s="4504"/>
      <c r="Z85" s="1559"/>
      <c r="AA85" s="62"/>
      <c r="AB85" s="62"/>
      <c r="AC85" s="62"/>
      <c r="AD85" s="62"/>
    </row>
    <row r="86" spans="1:30" s="14" customFormat="1" ht="15" customHeight="1" x14ac:dyDescent="0.35">
      <c r="A86" s="1559"/>
      <c r="B86" s="1560">
        <v>2</v>
      </c>
      <c r="C86" s="4495" t="s">
        <v>335</v>
      </c>
      <c r="D86" s="4495"/>
      <c r="E86" s="4495"/>
      <c r="F86" s="4495"/>
      <c r="G86" s="4495"/>
      <c r="H86" s="4495"/>
      <c r="I86" s="4495"/>
      <c r="J86" s="4495"/>
      <c r="K86" s="4495"/>
      <c r="L86" s="4495"/>
      <c r="M86" s="4495"/>
      <c r="N86" s="4495"/>
      <c r="O86" s="4495"/>
      <c r="P86" s="4495"/>
      <c r="Q86" s="4495"/>
      <c r="R86" s="4495"/>
      <c r="S86" s="4495"/>
      <c r="T86" s="4495"/>
      <c r="U86" s="4496">
        <f>'FKS(PAP-03)'!T573</f>
        <v>3.3333333333333335</v>
      </c>
      <c r="V86" s="4497"/>
      <c r="W86" s="4497"/>
      <c r="X86" s="4497"/>
      <c r="Y86" s="4498"/>
      <c r="Z86" s="1559"/>
      <c r="AA86" s="62"/>
      <c r="AB86" s="62"/>
      <c r="AC86" s="62"/>
      <c r="AD86" s="62"/>
    </row>
    <row r="87" spans="1:30" s="14" customFormat="1" ht="15" customHeight="1" x14ac:dyDescent="0.35">
      <c r="A87" s="1559"/>
      <c r="B87" s="3915"/>
      <c r="C87" s="4505" t="str">
        <f>'FKS(PAP-03)'!D571</f>
        <v>Perusahaan diketahui telah menjadi nasabah JAMKRIDA selama 4 tahun dengan memanfaatkan penjaminan sekurang-kurangnya 1 Jenis produk. Selama menjalin kerjasama dengan JAMKRIDA, perusahaan milik terjamin menunjukan sikap yang kooperatif dalam memenuhi kewajiban pembayaran walauppun kendala-kendala muncul dilapangan. Selama dalam masa penjaminan, terjamin selalu tepat waktu dalam melakukan pembayaran kewajiban. Sementara itu diketahui terjamin juga memanfaatkan fasilitas dari perusahaan pembiayaan lain, namun kualitasnya juga sangat baik.Terkait dengan penggunaan fasilitas Pembiayaan/Penjaminan, Terjamin terbukti tidak melakukan side streaming, artinya fasilitas yang diterima benar-benar dialokasikan untuk kebutuhan sebagaimana diusulkan dalam pengajuan. Begitupun dengan jumlah skor rata-rata adalah 3,33</v>
      </c>
      <c r="D87" s="4505"/>
      <c r="E87" s="4505"/>
      <c r="F87" s="4505"/>
      <c r="G87" s="4505"/>
      <c r="H87" s="4505"/>
      <c r="I87" s="4505"/>
      <c r="J87" s="4505"/>
      <c r="K87" s="4505"/>
      <c r="L87" s="4505"/>
      <c r="M87" s="4505"/>
      <c r="N87" s="4505"/>
      <c r="O87" s="4505"/>
      <c r="P87" s="4505"/>
      <c r="Q87" s="4505"/>
      <c r="R87" s="4505"/>
      <c r="S87" s="4505"/>
      <c r="T87" s="4505"/>
      <c r="U87" s="4499"/>
      <c r="V87" s="4500"/>
      <c r="W87" s="4500"/>
      <c r="X87" s="4500"/>
      <c r="Y87" s="4501"/>
      <c r="Z87" s="1559"/>
      <c r="AA87" s="62"/>
      <c r="AB87" s="62"/>
      <c r="AC87" s="62"/>
      <c r="AD87" s="62"/>
    </row>
    <row r="88" spans="1:30" s="14" customFormat="1" ht="15" customHeight="1" x14ac:dyDescent="0.35">
      <c r="A88" s="1559"/>
      <c r="B88" s="3926"/>
      <c r="C88" s="4505"/>
      <c r="D88" s="4505"/>
      <c r="E88" s="4505"/>
      <c r="F88" s="4505"/>
      <c r="G88" s="4505"/>
      <c r="H88" s="4505"/>
      <c r="I88" s="4505"/>
      <c r="J88" s="4505"/>
      <c r="K88" s="4505"/>
      <c r="L88" s="4505"/>
      <c r="M88" s="4505"/>
      <c r="N88" s="4505"/>
      <c r="O88" s="4505"/>
      <c r="P88" s="4505"/>
      <c r="Q88" s="4505"/>
      <c r="R88" s="4505"/>
      <c r="S88" s="4505"/>
      <c r="T88" s="4505"/>
      <c r="U88" s="4499"/>
      <c r="V88" s="4500"/>
      <c r="W88" s="4500"/>
      <c r="X88" s="4500"/>
      <c r="Y88" s="4501"/>
      <c r="Z88" s="1559"/>
      <c r="AA88" s="62"/>
      <c r="AB88" s="62"/>
      <c r="AC88" s="62"/>
      <c r="AD88" s="62"/>
    </row>
    <row r="89" spans="1:30" s="14" customFormat="1" ht="15" customHeight="1" x14ac:dyDescent="0.35">
      <c r="A89" s="1559"/>
      <c r="B89" s="3926"/>
      <c r="C89" s="4505"/>
      <c r="D89" s="4505"/>
      <c r="E89" s="4505"/>
      <c r="F89" s="4505"/>
      <c r="G89" s="4505"/>
      <c r="H89" s="4505"/>
      <c r="I89" s="4505"/>
      <c r="J89" s="4505"/>
      <c r="K89" s="4505"/>
      <c r="L89" s="4505"/>
      <c r="M89" s="4505"/>
      <c r="N89" s="4505"/>
      <c r="O89" s="4505"/>
      <c r="P89" s="4505"/>
      <c r="Q89" s="4505"/>
      <c r="R89" s="4505"/>
      <c r="S89" s="4505"/>
      <c r="T89" s="4505"/>
      <c r="U89" s="4499"/>
      <c r="V89" s="4500"/>
      <c r="W89" s="4500"/>
      <c r="X89" s="4500"/>
      <c r="Y89" s="4501"/>
      <c r="Z89" s="1559"/>
      <c r="AA89" s="62"/>
      <c r="AB89" s="62"/>
      <c r="AC89" s="62"/>
      <c r="AD89" s="62"/>
    </row>
    <row r="90" spans="1:30" s="14" customFormat="1" ht="15" customHeight="1" x14ac:dyDescent="0.35">
      <c r="A90" s="1559"/>
      <c r="B90" s="3926"/>
      <c r="C90" s="4505"/>
      <c r="D90" s="4505"/>
      <c r="E90" s="4505"/>
      <c r="F90" s="4505"/>
      <c r="G90" s="4505"/>
      <c r="H90" s="4505"/>
      <c r="I90" s="4505"/>
      <c r="J90" s="4505"/>
      <c r="K90" s="4505"/>
      <c r="L90" s="4505"/>
      <c r="M90" s="4505"/>
      <c r="N90" s="4505"/>
      <c r="O90" s="4505"/>
      <c r="P90" s="4505"/>
      <c r="Q90" s="4505"/>
      <c r="R90" s="4505"/>
      <c r="S90" s="4505"/>
      <c r="T90" s="4505"/>
      <c r="U90" s="4499"/>
      <c r="V90" s="4500"/>
      <c r="W90" s="4500"/>
      <c r="X90" s="4500"/>
      <c r="Y90" s="4501"/>
      <c r="Z90" s="1559"/>
      <c r="AA90" s="62"/>
      <c r="AB90" s="62"/>
      <c r="AC90" s="62"/>
      <c r="AD90" s="62"/>
    </row>
    <row r="91" spans="1:30" s="14" customFormat="1" ht="15" customHeight="1" x14ac:dyDescent="0.35">
      <c r="A91" s="1559"/>
      <c r="B91" s="3926"/>
      <c r="C91" s="4505"/>
      <c r="D91" s="4505"/>
      <c r="E91" s="4505"/>
      <c r="F91" s="4505"/>
      <c r="G91" s="4505"/>
      <c r="H91" s="4505"/>
      <c r="I91" s="4505"/>
      <c r="J91" s="4505"/>
      <c r="K91" s="4505"/>
      <c r="L91" s="4505"/>
      <c r="M91" s="4505"/>
      <c r="N91" s="4505"/>
      <c r="O91" s="4505"/>
      <c r="P91" s="4505"/>
      <c r="Q91" s="4505"/>
      <c r="R91" s="4505"/>
      <c r="S91" s="4505"/>
      <c r="T91" s="4505"/>
      <c r="U91" s="4499"/>
      <c r="V91" s="4500"/>
      <c r="W91" s="4500"/>
      <c r="X91" s="4500"/>
      <c r="Y91" s="4501"/>
      <c r="Z91" s="1559"/>
      <c r="AA91" s="62"/>
      <c r="AB91" s="62"/>
      <c r="AC91" s="62"/>
      <c r="AD91" s="62"/>
    </row>
    <row r="92" spans="1:30" s="14" customFormat="1" ht="97.5" customHeight="1" x14ac:dyDescent="0.35">
      <c r="A92" s="1559"/>
      <c r="B92" s="3916"/>
      <c r="C92" s="4505"/>
      <c r="D92" s="4505"/>
      <c r="E92" s="4505"/>
      <c r="F92" s="4505"/>
      <c r="G92" s="4505"/>
      <c r="H92" s="4505"/>
      <c r="I92" s="4505"/>
      <c r="J92" s="4505"/>
      <c r="K92" s="4505"/>
      <c r="L92" s="4505"/>
      <c r="M92" s="4505"/>
      <c r="N92" s="4505"/>
      <c r="O92" s="4505"/>
      <c r="P92" s="4505"/>
      <c r="Q92" s="4505"/>
      <c r="R92" s="4505"/>
      <c r="S92" s="4505"/>
      <c r="T92" s="4505"/>
      <c r="U92" s="4502"/>
      <c r="V92" s="4503"/>
      <c r="W92" s="4503"/>
      <c r="X92" s="4503"/>
      <c r="Y92" s="4504"/>
      <c r="Z92" s="1559"/>
      <c r="AA92" s="62"/>
      <c r="AB92" s="62"/>
      <c r="AC92" s="62"/>
      <c r="AD92" s="62"/>
    </row>
    <row r="93" spans="1:30" s="14" customFormat="1" ht="15" customHeight="1" x14ac:dyDescent="0.35">
      <c r="A93" s="1559"/>
      <c r="B93" s="4544"/>
      <c r="C93" s="4545"/>
      <c r="D93" s="4545"/>
      <c r="E93" s="4545"/>
      <c r="F93" s="4545"/>
      <c r="G93" s="4545"/>
      <c r="H93" s="4545"/>
      <c r="I93" s="4545"/>
      <c r="J93" s="4545"/>
      <c r="K93" s="4545"/>
      <c r="L93" s="4545"/>
      <c r="M93" s="4545"/>
      <c r="N93" s="4546"/>
      <c r="O93" s="4523" t="s">
        <v>184</v>
      </c>
      <c r="P93" s="4523"/>
      <c r="Q93" s="4523"/>
      <c r="R93" s="4523"/>
      <c r="S93" s="4523"/>
      <c r="T93" s="4523"/>
      <c r="U93" s="4513">
        <f>SUM(U80:Y92)</f>
        <v>8</v>
      </c>
      <c r="V93" s="4514"/>
      <c r="W93" s="4514"/>
      <c r="X93" s="4514"/>
      <c r="Y93" s="4514"/>
      <c r="Z93" s="1559"/>
      <c r="AA93" s="62"/>
      <c r="AB93" s="62"/>
      <c r="AC93" s="62"/>
      <c r="AD93" s="62"/>
    </row>
    <row r="94" spans="1:30" s="14" customFormat="1" ht="48.75" customHeight="1" x14ac:dyDescent="0.35">
      <c r="A94" s="1559"/>
      <c r="B94" s="4547"/>
      <c r="C94" s="4548"/>
      <c r="D94" s="4548"/>
      <c r="E94" s="4548"/>
      <c r="F94" s="4548"/>
      <c r="G94" s="4548"/>
      <c r="H94" s="4548"/>
      <c r="I94" s="4548"/>
      <c r="J94" s="4548"/>
      <c r="K94" s="4548"/>
      <c r="L94" s="4548"/>
      <c r="M94" s="4548"/>
      <c r="N94" s="4549"/>
      <c r="O94" s="4523" t="s">
        <v>182</v>
      </c>
      <c r="P94" s="4523"/>
      <c r="Q94" s="4523"/>
      <c r="R94" s="4523"/>
      <c r="S94" s="4523"/>
      <c r="T94" s="4523"/>
      <c r="U94" s="4513">
        <f>U93/AD94</f>
        <v>4</v>
      </c>
      <c r="V94" s="4513"/>
      <c r="W94" s="4514" t="str">
        <f>IF(ROUND(U94,0)=1,"Sangat Tidak Memenuhi Syarat",IF(ROUND(U94,0)=2,"Kurang Memenuhi Syarat",IF(ROUND(U94,0)=3,"Cukup Memenuhi Syarat",IF(ROUND(U94,0)=4,"Memenuhi Syarat",IF(ROUND(U94,0)=5,"Sangat Memenuhi Syarat")))))</f>
        <v>Memenuhi Syarat</v>
      </c>
      <c r="X94" s="4514"/>
      <c r="Y94" s="4514"/>
      <c r="Z94" s="1559"/>
      <c r="AA94" s="62"/>
      <c r="AB94" s="62"/>
      <c r="AC94" s="62"/>
      <c r="AD94" s="2324">
        <f>COUNTIF(U80:Y92,"&gt;0")</f>
        <v>2</v>
      </c>
    </row>
    <row r="95" spans="1:30" s="14" customFormat="1" ht="15" customHeight="1" x14ac:dyDescent="0.35">
      <c r="A95" s="1559"/>
      <c r="B95" s="2386"/>
      <c r="C95" s="2386"/>
      <c r="D95" s="2386"/>
      <c r="E95" s="2386"/>
      <c r="F95" s="2386"/>
      <c r="G95" s="2386"/>
      <c r="H95" s="2386"/>
      <c r="I95" s="2386"/>
      <c r="J95" s="2386"/>
      <c r="K95" s="2386"/>
      <c r="L95" s="2386"/>
      <c r="M95" s="2386"/>
      <c r="N95" s="2386"/>
      <c r="O95" s="596"/>
      <c r="P95" s="596"/>
      <c r="Q95" s="596"/>
      <c r="R95" s="596"/>
      <c r="S95" s="596"/>
      <c r="T95" s="596"/>
      <c r="U95" s="597"/>
      <c r="V95" s="597"/>
      <c r="W95" s="597"/>
      <c r="X95" s="597"/>
      <c r="Y95" s="597"/>
      <c r="Z95" s="1559"/>
      <c r="AA95" s="62"/>
      <c r="AB95" s="62"/>
      <c r="AC95" s="62"/>
      <c r="AD95" s="62"/>
    </row>
    <row r="96" spans="1:30" s="14" customFormat="1" ht="15" customHeight="1" x14ac:dyDescent="0.35">
      <c r="A96" s="1559"/>
      <c r="B96" s="2386"/>
      <c r="C96" s="2386"/>
      <c r="D96" s="2386"/>
      <c r="E96" s="2386"/>
      <c r="F96" s="2386"/>
      <c r="G96" s="2386"/>
      <c r="H96" s="2386"/>
      <c r="I96" s="2386"/>
      <c r="J96" s="2386"/>
      <c r="K96" s="2386"/>
      <c r="L96" s="2386"/>
      <c r="M96" s="2386"/>
      <c r="N96" s="2386"/>
      <c r="O96" s="596"/>
      <c r="P96" s="596"/>
      <c r="Q96" s="596"/>
      <c r="R96" s="596"/>
      <c r="S96" s="596"/>
      <c r="T96" s="596"/>
      <c r="U96" s="597"/>
      <c r="V96" s="597"/>
      <c r="W96" s="597"/>
      <c r="X96" s="597"/>
      <c r="Y96" s="597"/>
      <c r="Z96" s="1559"/>
      <c r="AA96" s="62"/>
      <c r="AB96" s="62"/>
      <c r="AC96" s="62"/>
      <c r="AD96" s="62"/>
    </row>
    <row r="97" spans="1:30" s="14" customFormat="1" ht="15" customHeight="1" x14ac:dyDescent="0.35">
      <c r="A97" s="1559"/>
      <c r="B97" s="4466" t="s">
        <v>101</v>
      </c>
      <c r="C97" s="4467"/>
      <c r="D97" s="4467"/>
      <c r="E97" s="4467"/>
      <c r="F97" s="4467"/>
      <c r="G97" s="4467"/>
      <c r="H97" s="4467"/>
      <c r="I97" s="4467"/>
      <c r="J97" s="4467"/>
      <c r="K97" s="4467"/>
      <c r="L97" s="4467"/>
      <c r="M97" s="4467"/>
      <c r="N97" s="4467"/>
      <c r="O97" s="4467"/>
      <c r="P97" s="4467"/>
      <c r="Q97" s="4467"/>
      <c r="R97" s="4467"/>
      <c r="S97" s="4467"/>
      <c r="T97" s="4467"/>
      <c r="U97" s="4467"/>
      <c r="V97" s="4467"/>
      <c r="W97" s="4467"/>
      <c r="X97" s="4467"/>
      <c r="Y97" s="4468"/>
      <c r="Z97" s="1559"/>
      <c r="AA97" s="62"/>
      <c r="AB97" s="62"/>
      <c r="AC97" s="62"/>
      <c r="AD97" s="62"/>
    </row>
    <row r="98" spans="1:30" s="17" customFormat="1" ht="15" customHeight="1" x14ac:dyDescent="0.35">
      <c r="A98" s="577"/>
      <c r="B98" s="4515" t="s">
        <v>183</v>
      </c>
      <c r="C98" s="4515"/>
      <c r="D98" s="4515"/>
      <c r="E98" s="4515"/>
      <c r="F98" s="4515"/>
      <c r="G98" s="4515"/>
      <c r="H98" s="4515"/>
      <c r="I98" s="4515"/>
      <c r="J98" s="4515"/>
      <c r="K98" s="4515"/>
      <c r="L98" s="4515"/>
      <c r="M98" s="4515"/>
      <c r="N98" s="4515"/>
      <c r="O98" s="4515"/>
      <c r="P98" s="4515"/>
      <c r="Q98" s="4515"/>
      <c r="R98" s="4515"/>
      <c r="S98" s="4515"/>
      <c r="T98" s="4515"/>
      <c r="U98" s="4517" t="s">
        <v>276</v>
      </c>
      <c r="V98" s="4518"/>
      <c r="W98" s="4518"/>
      <c r="X98" s="4518"/>
      <c r="Y98" s="4519"/>
      <c r="Z98" s="577"/>
      <c r="AA98" s="2426"/>
      <c r="AB98" s="2426"/>
      <c r="AC98" s="2426"/>
      <c r="AD98" s="2426"/>
    </row>
    <row r="99" spans="1:30" s="17" customFormat="1" ht="15" customHeight="1" x14ac:dyDescent="0.35">
      <c r="A99" s="577"/>
      <c r="B99" s="4515"/>
      <c r="C99" s="4515"/>
      <c r="D99" s="4515"/>
      <c r="E99" s="4515"/>
      <c r="F99" s="4515"/>
      <c r="G99" s="4515"/>
      <c r="H99" s="4515"/>
      <c r="I99" s="4515"/>
      <c r="J99" s="4515"/>
      <c r="K99" s="4515"/>
      <c r="L99" s="4515"/>
      <c r="M99" s="4515"/>
      <c r="N99" s="4515"/>
      <c r="O99" s="4515"/>
      <c r="P99" s="4515"/>
      <c r="Q99" s="4515"/>
      <c r="R99" s="4515"/>
      <c r="S99" s="4515"/>
      <c r="T99" s="4516"/>
      <c r="U99" s="4520"/>
      <c r="V99" s="4521"/>
      <c r="W99" s="4521"/>
      <c r="X99" s="4521"/>
      <c r="Y99" s="4522"/>
      <c r="Z99" s="577"/>
      <c r="AA99" s="2426"/>
      <c r="AB99" s="2426"/>
      <c r="AC99" s="2426"/>
      <c r="AD99" s="2426"/>
    </row>
    <row r="100" spans="1:30" s="14" customFormat="1" ht="15" customHeight="1" x14ac:dyDescent="0.35">
      <c r="A100" s="1559"/>
      <c r="B100" s="1560">
        <v>1</v>
      </c>
      <c r="C100" s="4495" t="s">
        <v>102</v>
      </c>
      <c r="D100" s="4495"/>
      <c r="E100" s="4495"/>
      <c r="F100" s="4495"/>
      <c r="G100" s="4495"/>
      <c r="H100" s="4495"/>
      <c r="I100" s="4495"/>
      <c r="J100" s="4495"/>
      <c r="K100" s="4495"/>
      <c r="L100" s="4495"/>
      <c r="M100" s="4495"/>
      <c r="N100" s="4495"/>
      <c r="O100" s="4495"/>
      <c r="P100" s="4495"/>
      <c r="Q100" s="4495"/>
      <c r="R100" s="4495"/>
      <c r="S100" s="4495"/>
      <c r="T100" s="4495"/>
      <c r="U100" s="4496">
        <f>'FKS(PAP-03)'!T456</f>
        <v>3.8</v>
      </c>
      <c r="V100" s="4524"/>
      <c r="W100" s="4524"/>
      <c r="X100" s="4524"/>
      <c r="Y100" s="4525"/>
      <c r="Z100" s="1559"/>
      <c r="AA100" s="62"/>
      <c r="AB100" s="62"/>
      <c r="AC100" s="62"/>
      <c r="AD100" s="62"/>
    </row>
    <row r="101" spans="1:30" s="14" customFormat="1" ht="15" customHeight="1" x14ac:dyDescent="0.35">
      <c r="A101" s="1559"/>
      <c r="B101" s="3915"/>
      <c r="C101" s="4505" t="str">
        <f>'FKS(PAP-03)'!D454</f>
        <v>Perusahaan sudah berjalan lebih dari 8 tahun. Kompetensi perusahaan sudah berpengalaman untuk menciptakan keunggulan kompetitif terhadap persaingan industri. Perencanaan Usaha dan Pengendalian Keuangan sudah baik, manajemen dalam mengambil keputusan terbilang cukup baik dengan pengelolaan risiko yang mampu mendapatkan solusi untuk mengurangi risiko yang timbul dengan skor rata-rata pengalaman adalah 3.80</v>
      </c>
      <c r="D101" s="4505"/>
      <c r="E101" s="4505"/>
      <c r="F101" s="4505"/>
      <c r="G101" s="4505"/>
      <c r="H101" s="4505"/>
      <c r="I101" s="4505"/>
      <c r="J101" s="4505"/>
      <c r="K101" s="4505"/>
      <c r="L101" s="4505"/>
      <c r="M101" s="4505"/>
      <c r="N101" s="4505"/>
      <c r="O101" s="4505"/>
      <c r="P101" s="4505"/>
      <c r="Q101" s="4505"/>
      <c r="R101" s="4505"/>
      <c r="S101" s="4505"/>
      <c r="T101" s="4505"/>
      <c r="U101" s="4526"/>
      <c r="V101" s="4527"/>
      <c r="W101" s="4527"/>
      <c r="X101" s="4527"/>
      <c r="Y101" s="4528"/>
      <c r="Z101" s="1559"/>
      <c r="AA101" s="62"/>
      <c r="AB101" s="62"/>
      <c r="AC101" s="62"/>
      <c r="AD101" s="62"/>
    </row>
    <row r="102" spans="1:30" s="14" customFormat="1" ht="15" customHeight="1" x14ac:dyDescent="0.35">
      <c r="A102" s="1559"/>
      <c r="B102" s="3926"/>
      <c r="C102" s="4505"/>
      <c r="D102" s="4505"/>
      <c r="E102" s="4505"/>
      <c r="F102" s="4505"/>
      <c r="G102" s="4505"/>
      <c r="H102" s="4505"/>
      <c r="I102" s="4505"/>
      <c r="J102" s="4505"/>
      <c r="K102" s="4505"/>
      <c r="L102" s="4505"/>
      <c r="M102" s="4505"/>
      <c r="N102" s="4505"/>
      <c r="O102" s="4505"/>
      <c r="P102" s="4505"/>
      <c r="Q102" s="4505"/>
      <c r="R102" s="4505"/>
      <c r="S102" s="4505"/>
      <c r="T102" s="4505"/>
      <c r="U102" s="4526"/>
      <c r="V102" s="4527"/>
      <c r="W102" s="4527"/>
      <c r="X102" s="4527"/>
      <c r="Y102" s="4528"/>
      <c r="Z102" s="1559"/>
      <c r="AA102" s="62"/>
      <c r="AB102" s="62"/>
      <c r="AC102" s="62"/>
      <c r="AD102" s="62"/>
    </row>
    <row r="103" spans="1:30" s="14" customFormat="1" ht="15" customHeight="1" x14ac:dyDescent="0.35">
      <c r="A103" s="1559"/>
      <c r="B103" s="3926"/>
      <c r="C103" s="4505"/>
      <c r="D103" s="4505"/>
      <c r="E103" s="4505"/>
      <c r="F103" s="4505"/>
      <c r="G103" s="4505"/>
      <c r="H103" s="4505"/>
      <c r="I103" s="4505"/>
      <c r="J103" s="4505"/>
      <c r="K103" s="4505"/>
      <c r="L103" s="4505"/>
      <c r="M103" s="4505"/>
      <c r="N103" s="4505"/>
      <c r="O103" s="4505"/>
      <c r="P103" s="4505"/>
      <c r="Q103" s="4505"/>
      <c r="R103" s="4505"/>
      <c r="S103" s="4505"/>
      <c r="T103" s="4505"/>
      <c r="U103" s="4526"/>
      <c r="V103" s="4527"/>
      <c r="W103" s="4527"/>
      <c r="X103" s="4527"/>
      <c r="Y103" s="4528"/>
      <c r="Z103" s="1559"/>
      <c r="AA103" s="62"/>
      <c r="AB103" s="62"/>
      <c r="AC103" s="62"/>
      <c r="AD103" s="62"/>
    </row>
    <row r="104" spans="1:30" s="14" customFormat="1" ht="15" customHeight="1" x14ac:dyDescent="0.35">
      <c r="A104" s="1559"/>
      <c r="B104" s="3926"/>
      <c r="C104" s="4505"/>
      <c r="D104" s="4505"/>
      <c r="E104" s="4505"/>
      <c r="F104" s="4505"/>
      <c r="G104" s="4505"/>
      <c r="H104" s="4505"/>
      <c r="I104" s="4505"/>
      <c r="J104" s="4505"/>
      <c r="K104" s="4505"/>
      <c r="L104" s="4505"/>
      <c r="M104" s="4505"/>
      <c r="N104" s="4505"/>
      <c r="O104" s="4505"/>
      <c r="P104" s="4505"/>
      <c r="Q104" s="4505"/>
      <c r="R104" s="4505"/>
      <c r="S104" s="4505"/>
      <c r="T104" s="4505"/>
      <c r="U104" s="4526"/>
      <c r="V104" s="4527"/>
      <c r="W104" s="4527"/>
      <c r="X104" s="4527"/>
      <c r="Y104" s="4528"/>
      <c r="Z104" s="1559"/>
      <c r="AA104" s="62"/>
      <c r="AB104" s="62"/>
      <c r="AC104" s="62"/>
      <c r="AD104" s="62"/>
    </row>
    <row r="105" spans="1:30" s="14" customFormat="1" ht="35.25" customHeight="1" x14ac:dyDescent="0.35">
      <c r="A105" s="1559"/>
      <c r="B105" s="3916"/>
      <c r="C105" s="4505"/>
      <c r="D105" s="4505"/>
      <c r="E105" s="4505"/>
      <c r="F105" s="4505"/>
      <c r="G105" s="4505"/>
      <c r="H105" s="4505"/>
      <c r="I105" s="4505"/>
      <c r="J105" s="4505"/>
      <c r="K105" s="4505"/>
      <c r="L105" s="4505"/>
      <c r="M105" s="4505"/>
      <c r="N105" s="4505"/>
      <c r="O105" s="4505"/>
      <c r="P105" s="4505"/>
      <c r="Q105" s="4505"/>
      <c r="R105" s="4505"/>
      <c r="S105" s="4505"/>
      <c r="T105" s="4505"/>
      <c r="U105" s="4529"/>
      <c r="V105" s="4530"/>
      <c r="W105" s="4530"/>
      <c r="X105" s="4530"/>
      <c r="Y105" s="4531"/>
      <c r="Z105" s="1559"/>
      <c r="AA105" s="62"/>
      <c r="AB105" s="62"/>
      <c r="AC105" s="62"/>
      <c r="AD105" s="62"/>
    </row>
    <row r="106" spans="1:30" s="14" customFormat="1" ht="15" customHeight="1" x14ac:dyDescent="0.35">
      <c r="A106" s="1559"/>
      <c r="B106" s="1560">
        <v>2</v>
      </c>
      <c r="C106" s="4495" t="s">
        <v>113</v>
      </c>
      <c r="D106" s="4495"/>
      <c r="E106" s="4495"/>
      <c r="F106" s="4495"/>
      <c r="G106" s="4495"/>
      <c r="H106" s="4495"/>
      <c r="I106" s="4495"/>
      <c r="J106" s="4495"/>
      <c r="K106" s="4495"/>
      <c r="L106" s="4495"/>
      <c r="M106" s="4495"/>
      <c r="N106" s="4495"/>
      <c r="O106" s="4495"/>
      <c r="P106" s="4495"/>
      <c r="Q106" s="4495"/>
      <c r="R106" s="4495"/>
      <c r="S106" s="4495"/>
      <c r="T106" s="4495"/>
      <c r="U106" s="4496">
        <f>'FKS(PAP-03)'!T481</f>
        <v>4</v>
      </c>
      <c r="V106" s="4524"/>
      <c r="W106" s="4524"/>
      <c r="X106" s="4524"/>
      <c r="Y106" s="4525"/>
      <c r="Z106" s="1559"/>
      <c r="AA106" s="62"/>
      <c r="AB106" s="62"/>
      <c r="AC106" s="62"/>
      <c r="AD106" s="62"/>
    </row>
    <row r="107" spans="1:30" s="14" customFormat="1" ht="15" customHeight="1" x14ac:dyDescent="0.35">
      <c r="A107" s="1559"/>
      <c r="B107" s="3915"/>
      <c r="C107" s="4505" t="str">
        <f>'FKS(PAP-03)'!D479</f>
        <v>Key Person yang memegang peranan vital dalam perusahaan memiliki latar belakang pendidkan yang memadai, ''dimana rata2 Tenaga kerja  pada umumnya merupakan Sarjana dan D3</v>
      </c>
      <c r="D107" s="4505"/>
      <c r="E107" s="4505"/>
      <c r="F107" s="4505"/>
      <c r="G107" s="4505"/>
      <c r="H107" s="4505"/>
      <c r="I107" s="4505"/>
      <c r="J107" s="4505"/>
      <c r="K107" s="4505"/>
      <c r="L107" s="4505"/>
      <c r="M107" s="4505"/>
      <c r="N107" s="4505"/>
      <c r="O107" s="4505"/>
      <c r="P107" s="4505"/>
      <c r="Q107" s="4505"/>
      <c r="R107" s="4505"/>
      <c r="S107" s="4505"/>
      <c r="T107" s="4505"/>
      <c r="U107" s="4526"/>
      <c r="V107" s="4527"/>
      <c r="W107" s="4527"/>
      <c r="X107" s="4527"/>
      <c r="Y107" s="4528"/>
      <c r="Z107" s="1559"/>
      <c r="AA107" s="62"/>
      <c r="AB107" s="62"/>
      <c r="AC107" s="62"/>
      <c r="AD107" s="62"/>
    </row>
    <row r="108" spans="1:30" s="14" customFormat="1" ht="15" customHeight="1" x14ac:dyDescent="0.35">
      <c r="A108" s="1559"/>
      <c r="B108" s="3926"/>
      <c r="C108" s="4505"/>
      <c r="D108" s="4505"/>
      <c r="E108" s="4505"/>
      <c r="F108" s="4505"/>
      <c r="G108" s="4505"/>
      <c r="H108" s="4505"/>
      <c r="I108" s="4505"/>
      <c r="J108" s="4505"/>
      <c r="K108" s="4505"/>
      <c r="L108" s="4505"/>
      <c r="M108" s="4505"/>
      <c r="N108" s="4505"/>
      <c r="O108" s="4505"/>
      <c r="P108" s="4505"/>
      <c r="Q108" s="4505"/>
      <c r="R108" s="4505"/>
      <c r="S108" s="4505"/>
      <c r="T108" s="4505"/>
      <c r="U108" s="4526"/>
      <c r="V108" s="4527"/>
      <c r="W108" s="4527"/>
      <c r="X108" s="4527"/>
      <c r="Y108" s="4528"/>
      <c r="Z108" s="1559"/>
      <c r="AA108" s="62"/>
      <c r="AB108" s="62"/>
      <c r="AC108" s="62"/>
      <c r="AD108" s="62"/>
    </row>
    <row r="109" spans="1:30" s="14" customFormat="1" ht="15" customHeight="1" x14ac:dyDescent="0.35">
      <c r="A109" s="1559"/>
      <c r="B109" s="3926"/>
      <c r="C109" s="4505"/>
      <c r="D109" s="4505"/>
      <c r="E109" s="4505"/>
      <c r="F109" s="4505"/>
      <c r="G109" s="4505"/>
      <c r="H109" s="4505"/>
      <c r="I109" s="4505"/>
      <c r="J109" s="4505"/>
      <c r="K109" s="4505"/>
      <c r="L109" s="4505"/>
      <c r="M109" s="4505"/>
      <c r="N109" s="4505"/>
      <c r="O109" s="4505"/>
      <c r="P109" s="4505"/>
      <c r="Q109" s="4505"/>
      <c r="R109" s="4505"/>
      <c r="S109" s="4505"/>
      <c r="T109" s="4505"/>
      <c r="U109" s="4526"/>
      <c r="V109" s="4527"/>
      <c r="W109" s="4527"/>
      <c r="X109" s="4527"/>
      <c r="Y109" s="4528"/>
      <c r="Z109" s="1559"/>
      <c r="AA109" s="62"/>
      <c r="AB109" s="62"/>
      <c r="AC109" s="62"/>
      <c r="AD109" s="62"/>
    </row>
    <row r="110" spans="1:30" s="14" customFormat="1" ht="15" customHeight="1" x14ac:dyDescent="0.35">
      <c r="A110" s="1559"/>
      <c r="B110" s="3926"/>
      <c r="C110" s="4505"/>
      <c r="D110" s="4505"/>
      <c r="E110" s="4505"/>
      <c r="F110" s="4505"/>
      <c r="G110" s="4505"/>
      <c r="H110" s="4505"/>
      <c r="I110" s="4505"/>
      <c r="J110" s="4505"/>
      <c r="K110" s="4505"/>
      <c r="L110" s="4505"/>
      <c r="M110" s="4505"/>
      <c r="N110" s="4505"/>
      <c r="O110" s="4505"/>
      <c r="P110" s="4505"/>
      <c r="Q110" s="4505"/>
      <c r="R110" s="4505"/>
      <c r="S110" s="4505"/>
      <c r="T110" s="4505"/>
      <c r="U110" s="4526"/>
      <c r="V110" s="4527"/>
      <c r="W110" s="4527"/>
      <c r="X110" s="4527"/>
      <c r="Y110" s="4528"/>
      <c r="Z110" s="1559"/>
      <c r="AA110" s="62"/>
      <c r="AB110" s="62"/>
      <c r="AC110" s="62"/>
      <c r="AD110" s="62"/>
    </row>
    <row r="111" spans="1:30" s="14" customFormat="1" ht="15" customHeight="1" x14ac:dyDescent="0.35">
      <c r="A111" s="1559"/>
      <c r="B111" s="3926"/>
      <c r="C111" s="4505"/>
      <c r="D111" s="4505"/>
      <c r="E111" s="4505"/>
      <c r="F111" s="4505"/>
      <c r="G111" s="4505"/>
      <c r="H111" s="4505"/>
      <c r="I111" s="4505"/>
      <c r="J111" s="4505"/>
      <c r="K111" s="4505"/>
      <c r="L111" s="4505"/>
      <c r="M111" s="4505"/>
      <c r="N111" s="4505"/>
      <c r="O111" s="4505"/>
      <c r="P111" s="4505"/>
      <c r="Q111" s="4505"/>
      <c r="R111" s="4505"/>
      <c r="S111" s="4505"/>
      <c r="T111" s="4505"/>
      <c r="U111" s="4526"/>
      <c r="V111" s="4527"/>
      <c r="W111" s="4527"/>
      <c r="X111" s="4527"/>
      <c r="Y111" s="4528"/>
      <c r="Z111" s="1559"/>
      <c r="AA111" s="62"/>
      <c r="AB111" s="62"/>
      <c r="AC111" s="62"/>
      <c r="AD111" s="62"/>
    </row>
    <row r="112" spans="1:30" s="14" customFormat="1" ht="26.25" customHeight="1" x14ac:dyDescent="0.35">
      <c r="A112" s="1559"/>
      <c r="B112" s="3916"/>
      <c r="C112" s="4505"/>
      <c r="D112" s="4505"/>
      <c r="E112" s="4505"/>
      <c r="F112" s="4505"/>
      <c r="G112" s="4505"/>
      <c r="H112" s="4505"/>
      <c r="I112" s="4505"/>
      <c r="J112" s="4505"/>
      <c r="K112" s="4505"/>
      <c r="L112" s="4505"/>
      <c r="M112" s="4505"/>
      <c r="N112" s="4505"/>
      <c r="O112" s="4505"/>
      <c r="P112" s="4505"/>
      <c r="Q112" s="4505"/>
      <c r="R112" s="4505"/>
      <c r="S112" s="4505"/>
      <c r="T112" s="4505"/>
      <c r="U112" s="4529"/>
      <c r="V112" s="4530"/>
      <c r="W112" s="4530"/>
      <c r="X112" s="4530"/>
      <c r="Y112" s="4531"/>
      <c r="Z112" s="1559"/>
      <c r="AA112" s="62"/>
      <c r="AB112" s="62"/>
      <c r="AC112" s="62"/>
      <c r="AD112" s="62"/>
    </row>
    <row r="113" spans="1:30" s="14" customFormat="1" ht="15" customHeight="1" x14ac:dyDescent="0.35">
      <c r="A113" s="1559"/>
      <c r="B113" s="1560">
        <v>3</v>
      </c>
      <c r="C113" s="4495" t="s">
        <v>185</v>
      </c>
      <c r="D113" s="4495"/>
      <c r="E113" s="4495"/>
      <c r="F113" s="4495"/>
      <c r="G113" s="4495"/>
      <c r="H113" s="4495"/>
      <c r="I113" s="4495"/>
      <c r="J113" s="4495"/>
      <c r="K113" s="4495"/>
      <c r="L113" s="4495"/>
      <c r="M113" s="4495"/>
      <c r="N113" s="4495"/>
      <c r="O113" s="4495"/>
      <c r="P113" s="4495"/>
      <c r="Q113" s="4495"/>
      <c r="R113" s="4495"/>
      <c r="S113" s="4495"/>
      <c r="T113" s="4495"/>
      <c r="U113" s="4496">
        <f>'FKS(PAP-03)'!T490</f>
        <v>4</v>
      </c>
      <c r="V113" s="4524"/>
      <c r="W113" s="4524"/>
      <c r="X113" s="4524"/>
      <c r="Y113" s="4525"/>
      <c r="Z113" s="1559"/>
      <c r="AA113" s="62"/>
      <c r="AB113" s="62"/>
      <c r="AC113" s="62"/>
      <c r="AD113" s="62"/>
    </row>
    <row r="114" spans="1:30" s="14" customFormat="1" ht="15" customHeight="1" x14ac:dyDescent="0.35">
      <c r="A114" s="1559"/>
      <c r="B114" s="3915"/>
      <c r="C114" s="4505" t="str">
        <f>'FKS(PAP-03)'!D488</f>
        <v>Key Person diketahui memiliki track record yang sangat baik dalam mejalankan usaha dengan skor rata-rata 4</v>
      </c>
      <c r="D114" s="4505"/>
      <c r="E114" s="4505"/>
      <c r="F114" s="4505"/>
      <c r="G114" s="4505"/>
      <c r="H114" s="4505"/>
      <c r="I114" s="4505"/>
      <c r="J114" s="4505"/>
      <c r="K114" s="4505"/>
      <c r="L114" s="4505"/>
      <c r="M114" s="4505"/>
      <c r="N114" s="4505"/>
      <c r="O114" s="4505"/>
      <c r="P114" s="4505"/>
      <c r="Q114" s="4505"/>
      <c r="R114" s="4505"/>
      <c r="S114" s="4505"/>
      <c r="T114" s="4505"/>
      <c r="U114" s="4526"/>
      <c r="V114" s="4527"/>
      <c r="W114" s="4527"/>
      <c r="X114" s="4527"/>
      <c r="Y114" s="4528"/>
      <c r="Z114" s="1559"/>
      <c r="AA114" s="62"/>
      <c r="AB114" s="62"/>
      <c r="AC114" s="62"/>
      <c r="AD114" s="62"/>
    </row>
    <row r="115" spans="1:30" s="14" customFormat="1" ht="15" customHeight="1" x14ac:dyDescent="0.35">
      <c r="A115" s="1559"/>
      <c r="B115" s="3926"/>
      <c r="C115" s="4505"/>
      <c r="D115" s="4505"/>
      <c r="E115" s="4505"/>
      <c r="F115" s="4505"/>
      <c r="G115" s="4505"/>
      <c r="H115" s="4505"/>
      <c r="I115" s="4505"/>
      <c r="J115" s="4505"/>
      <c r="K115" s="4505"/>
      <c r="L115" s="4505"/>
      <c r="M115" s="4505"/>
      <c r="N115" s="4505"/>
      <c r="O115" s="4505"/>
      <c r="P115" s="4505"/>
      <c r="Q115" s="4505"/>
      <c r="R115" s="4505"/>
      <c r="S115" s="4505"/>
      <c r="T115" s="4505"/>
      <c r="U115" s="4526"/>
      <c r="V115" s="4527"/>
      <c r="W115" s="4527"/>
      <c r="X115" s="4527"/>
      <c r="Y115" s="4528"/>
      <c r="Z115" s="1559"/>
      <c r="AA115" s="62"/>
      <c r="AB115" s="62"/>
      <c r="AC115" s="62"/>
      <c r="AD115" s="62"/>
    </row>
    <row r="116" spans="1:30" s="14" customFormat="1" ht="15" customHeight="1" x14ac:dyDescent="0.35">
      <c r="A116" s="1559"/>
      <c r="B116" s="3926"/>
      <c r="C116" s="4505"/>
      <c r="D116" s="4505"/>
      <c r="E116" s="4505"/>
      <c r="F116" s="4505"/>
      <c r="G116" s="4505"/>
      <c r="H116" s="4505"/>
      <c r="I116" s="4505"/>
      <c r="J116" s="4505"/>
      <c r="K116" s="4505"/>
      <c r="L116" s="4505"/>
      <c r="M116" s="4505"/>
      <c r="N116" s="4505"/>
      <c r="O116" s="4505"/>
      <c r="P116" s="4505"/>
      <c r="Q116" s="4505"/>
      <c r="R116" s="4505"/>
      <c r="S116" s="4505"/>
      <c r="T116" s="4505"/>
      <c r="U116" s="4526"/>
      <c r="V116" s="4527"/>
      <c r="W116" s="4527"/>
      <c r="X116" s="4527"/>
      <c r="Y116" s="4528"/>
      <c r="Z116" s="1559"/>
      <c r="AA116" s="62"/>
      <c r="AB116" s="62"/>
      <c r="AC116" s="62"/>
      <c r="AD116" s="62"/>
    </row>
    <row r="117" spans="1:30" s="14" customFormat="1" ht="15" customHeight="1" x14ac:dyDescent="0.35">
      <c r="A117" s="1559"/>
      <c r="B117" s="3926"/>
      <c r="C117" s="4505"/>
      <c r="D117" s="4505"/>
      <c r="E117" s="4505"/>
      <c r="F117" s="4505"/>
      <c r="G117" s="4505"/>
      <c r="H117" s="4505"/>
      <c r="I117" s="4505"/>
      <c r="J117" s="4505"/>
      <c r="K117" s="4505"/>
      <c r="L117" s="4505"/>
      <c r="M117" s="4505"/>
      <c r="N117" s="4505"/>
      <c r="O117" s="4505"/>
      <c r="P117" s="4505"/>
      <c r="Q117" s="4505"/>
      <c r="R117" s="4505"/>
      <c r="S117" s="4505"/>
      <c r="T117" s="4505"/>
      <c r="U117" s="4526"/>
      <c r="V117" s="4527"/>
      <c r="W117" s="4527"/>
      <c r="X117" s="4527"/>
      <c r="Y117" s="4528"/>
      <c r="Z117" s="1559"/>
      <c r="AA117" s="62"/>
      <c r="AB117" s="62"/>
      <c r="AC117" s="62"/>
      <c r="AD117" s="62"/>
    </row>
    <row r="118" spans="1:30" s="14" customFormat="1" ht="15" customHeight="1" x14ac:dyDescent="0.35">
      <c r="A118" s="1559"/>
      <c r="B118" s="3916"/>
      <c r="C118" s="4505"/>
      <c r="D118" s="4505"/>
      <c r="E118" s="4505"/>
      <c r="F118" s="4505"/>
      <c r="G118" s="4505"/>
      <c r="H118" s="4505"/>
      <c r="I118" s="4505"/>
      <c r="J118" s="4505"/>
      <c r="K118" s="4505"/>
      <c r="L118" s="4505"/>
      <c r="M118" s="4505"/>
      <c r="N118" s="4505"/>
      <c r="O118" s="4505"/>
      <c r="P118" s="4505"/>
      <c r="Q118" s="4505"/>
      <c r="R118" s="4505"/>
      <c r="S118" s="4505"/>
      <c r="T118" s="4505"/>
      <c r="U118" s="4529"/>
      <c r="V118" s="4530"/>
      <c r="W118" s="4530"/>
      <c r="X118" s="4530"/>
      <c r="Y118" s="4531"/>
      <c r="Z118" s="1559"/>
      <c r="AA118" s="62"/>
      <c r="AB118" s="62"/>
      <c r="AC118" s="62"/>
      <c r="AD118" s="62"/>
    </row>
    <row r="119" spans="1:30" s="14" customFormat="1" ht="15" customHeight="1" x14ac:dyDescent="0.35">
      <c r="A119" s="1559"/>
      <c r="B119" s="1560">
        <v>4</v>
      </c>
      <c r="C119" s="4495" t="s">
        <v>119</v>
      </c>
      <c r="D119" s="4495"/>
      <c r="E119" s="4495"/>
      <c r="F119" s="4495"/>
      <c r="G119" s="4495"/>
      <c r="H119" s="4495"/>
      <c r="I119" s="4495"/>
      <c r="J119" s="4495"/>
      <c r="K119" s="4495"/>
      <c r="L119" s="4495"/>
      <c r="M119" s="4495"/>
      <c r="N119" s="4495"/>
      <c r="O119" s="4495"/>
      <c r="P119" s="4495"/>
      <c r="Q119" s="4495"/>
      <c r="R119" s="4495"/>
      <c r="S119" s="4495"/>
      <c r="T119" s="4495"/>
      <c r="U119" s="4496">
        <f>'FKS(PAP-03)'!T498</f>
        <v>5</v>
      </c>
      <c r="V119" s="4524"/>
      <c r="W119" s="4524"/>
      <c r="X119" s="4524"/>
      <c r="Y119" s="4525"/>
      <c r="Z119" s="1559"/>
      <c r="AA119" s="62"/>
      <c r="AB119" s="62"/>
      <c r="AC119" s="62"/>
      <c r="AD119" s="62"/>
    </row>
    <row r="120" spans="1:30" s="14" customFormat="1" ht="15" customHeight="1" x14ac:dyDescent="0.35">
      <c r="A120" s="1559"/>
      <c r="B120" s="3915"/>
      <c r="C120" s="4505" t="str">
        <f>'FKS(PAP-03)'!D496</f>
        <v>Struktur organisasi dalam perusahaan telah memiliki jenjang yang sesuai dengan kondisi internal. Seluruh aktifitas pekerjaan berjalan sesuai dengan sistem dan kewenangan yang disusun dengan sangat jelas skor rata-rata 5</v>
      </c>
      <c r="D120" s="4505"/>
      <c r="E120" s="4505"/>
      <c r="F120" s="4505"/>
      <c r="G120" s="4505"/>
      <c r="H120" s="4505"/>
      <c r="I120" s="4505"/>
      <c r="J120" s="4505"/>
      <c r="K120" s="4505"/>
      <c r="L120" s="4505"/>
      <c r="M120" s="4505"/>
      <c r="N120" s="4505"/>
      <c r="O120" s="4505"/>
      <c r="P120" s="4505"/>
      <c r="Q120" s="4505"/>
      <c r="R120" s="4505"/>
      <c r="S120" s="4505"/>
      <c r="T120" s="4505"/>
      <c r="U120" s="4526"/>
      <c r="V120" s="4527"/>
      <c r="W120" s="4527"/>
      <c r="X120" s="4527"/>
      <c r="Y120" s="4528"/>
      <c r="Z120" s="1559"/>
      <c r="AA120" s="62"/>
      <c r="AB120" s="62"/>
      <c r="AC120" s="62"/>
      <c r="AD120" s="62"/>
    </row>
    <row r="121" spans="1:30" s="14" customFormat="1" ht="15" customHeight="1" x14ac:dyDescent="0.35">
      <c r="A121" s="1559"/>
      <c r="B121" s="3926"/>
      <c r="C121" s="4505"/>
      <c r="D121" s="4505"/>
      <c r="E121" s="4505"/>
      <c r="F121" s="4505"/>
      <c r="G121" s="4505"/>
      <c r="H121" s="4505"/>
      <c r="I121" s="4505"/>
      <c r="J121" s="4505"/>
      <c r="K121" s="4505"/>
      <c r="L121" s="4505"/>
      <c r="M121" s="4505"/>
      <c r="N121" s="4505"/>
      <c r="O121" s="4505"/>
      <c r="P121" s="4505"/>
      <c r="Q121" s="4505"/>
      <c r="R121" s="4505"/>
      <c r="S121" s="4505"/>
      <c r="T121" s="4505"/>
      <c r="U121" s="4526"/>
      <c r="V121" s="4527"/>
      <c r="W121" s="4527"/>
      <c r="X121" s="4527"/>
      <c r="Y121" s="4528"/>
      <c r="Z121" s="1559"/>
      <c r="AA121" s="62"/>
      <c r="AB121" s="62"/>
      <c r="AC121" s="62"/>
      <c r="AD121" s="62"/>
    </row>
    <row r="122" spans="1:30" s="14" customFormat="1" ht="15" customHeight="1" x14ac:dyDescent="0.35">
      <c r="A122" s="1559"/>
      <c r="B122" s="3926"/>
      <c r="C122" s="4505"/>
      <c r="D122" s="4505"/>
      <c r="E122" s="4505"/>
      <c r="F122" s="4505"/>
      <c r="G122" s="4505"/>
      <c r="H122" s="4505"/>
      <c r="I122" s="4505"/>
      <c r="J122" s="4505"/>
      <c r="K122" s="4505"/>
      <c r="L122" s="4505"/>
      <c r="M122" s="4505"/>
      <c r="N122" s="4505"/>
      <c r="O122" s="4505"/>
      <c r="P122" s="4505"/>
      <c r="Q122" s="4505"/>
      <c r="R122" s="4505"/>
      <c r="S122" s="4505"/>
      <c r="T122" s="4505"/>
      <c r="U122" s="4526"/>
      <c r="V122" s="4527"/>
      <c r="W122" s="4527"/>
      <c r="X122" s="4527"/>
      <c r="Y122" s="4528"/>
      <c r="Z122" s="1559"/>
      <c r="AA122" s="62"/>
      <c r="AB122" s="62"/>
      <c r="AC122" s="62"/>
      <c r="AD122" s="62"/>
    </row>
    <row r="123" spans="1:30" s="14" customFormat="1" ht="15" customHeight="1" x14ac:dyDescent="0.35">
      <c r="A123" s="1559"/>
      <c r="B123" s="3926"/>
      <c r="C123" s="4505"/>
      <c r="D123" s="4505"/>
      <c r="E123" s="4505"/>
      <c r="F123" s="4505"/>
      <c r="G123" s="4505"/>
      <c r="H123" s="4505"/>
      <c r="I123" s="4505"/>
      <c r="J123" s="4505"/>
      <c r="K123" s="4505"/>
      <c r="L123" s="4505"/>
      <c r="M123" s="4505"/>
      <c r="N123" s="4505"/>
      <c r="O123" s="4505"/>
      <c r="P123" s="4505"/>
      <c r="Q123" s="4505"/>
      <c r="R123" s="4505"/>
      <c r="S123" s="4505"/>
      <c r="T123" s="4505"/>
      <c r="U123" s="4526"/>
      <c r="V123" s="4527"/>
      <c r="W123" s="4527"/>
      <c r="X123" s="4527"/>
      <c r="Y123" s="4528"/>
      <c r="Z123" s="1559"/>
      <c r="AA123" s="62"/>
      <c r="AB123" s="62"/>
      <c r="AC123" s="62"/>
      <c r="AD123" s="62"/>
    </row>
    <row r="124" spans="1:30" s="14" customFormat="1" ht="15" customHeight="1" x14ac:dyDescent="0.35">
      <c r="A124" s="1559"/>
      <c r="B124" s="3916"/>
      <c r="C124" s="4505"/>
      <c r="D124" s="4505"/>
      <c r="E124" s="4505"/>
      <c r="F124" s="4505"/>
      <c r="G124" s="4505"/>
      <c r="H124" s="4505"/>
      <c r="I124" s="4505"/>
      <c r="J124" s="4505"/>
      <c r="K124" s="4505"/>
      <c r="L124" s="4505"/>
      <c r="M124" s="4505"/>
      <c r="N124" s="4505"/>
      <c r="O124" s="4505"/>
      <c r="P124" s="4505"/>
      <c r="Q124" s="4505"/>
      <c r="R124" s="4505"/>
      <c r="S124" s="4505"/>
      <c r="T124" s="4505"/>
      <c r="U124" s="4529"/>
      <c r="V124" s="4530"/>
      <c r="W124" s="4530"/>
      <c r="X124" s="4530"/>
      <c r="Y124" s="4531"/>
      <c r="Z124" s="1559"/>
      <c r="AA124" s="62"/>
      <c r="AB124" s="62"/>
      <c r="AC124" s="62"/>
      <c r="AD124" s="62"/>
    </row>
    <row r="125" spans="1:30" s="14" customFormat="1" ht="15" customHeight="1" x14ac:dyDescent="0.35">
      <c r="A125" s="1559"/>
      <c r="B125" s="1560">
        <v>5</v>
      </c>
      <c r="C125" s="4495" t="s">
        <v>150</v>
      </c>
      <c r="D125" s="4495"/>
      <c r="E125" s="4495"/>
      <c r="F125" s="4495"/>
      <c r="G125" s="4495"/>
      <c r="H125" s="4495"/>
      <c r="I125" s="4495"/>
      <c r="J125" s="4495"/>
      <c r="K125" s="4495"/>
      <c r="L125" s="4495"/>
      <c r="M125" s="4495"/>
      <c r="N125" s="4495"/>
      <c r="O125" s="4495"/>
      <c r="P125" s="4495"/>
      <c r="Q125" s="4495"/>
      <c r="R125" s="4495"/>
      <c r="S125" s="4495"/>
      <c r="T125" s="4495"/>
      <c r="U125" s="4496">
        <f>'FKS(PAP-03)'!T506</f>
        <v>4</v>
      </c>
      <c r="V125" s="4524"/>
      <c r="W125" s="4524"/>
      <c r="X125" s="4524"/>
      <c r="Y125" s="4525"/>
      <c r="Z125" s="1559"/>
      <c r="AA125" s="62"/>
      <c r="AB125" s="62"/>
      <c r="AC125" s="62"/>
      <c r="AD125" s="62"/>
    </row>
    <row r="126" spans="1:30" s="14" customFormat="1" ht="15" customHeight="1" x14ac:dyDescent="0.35">
      <c r="A126" s="1559"/>
      <c r="B126" s="3915"/>
      <c r="C126" s="4505" t="str">
        <f>'FKS(PAP-03)'!D504</f>
        <v>Kaderisasi dalam perusahaan telah direncanakan dengan baik, terlihat dari kesiapan kader kader dalam menghadapi pasar dengan skor rata-rata 4</v>
      </c>
      <c r="D126" s="4505"/>
      <c r="E126" s="4505"/>
      <c r="F126" s="4505"/>
      <c r="G126" s="4505"/>
      <c r="H126" s="4505"/>
      <c r="I126" s="4505"/>
      <c r="J126" s="4505"/>
      <c r="K126" s="4505"/>
      <c r="L126" s="4505"/>
      <c r="M126" s="4505"/>
      <c r="N126" s="4505"/>
      <c r="O126" s="4505"/>
      <c r="P126" s="4505"/>
      <c r="Q126" s="4505"/>
      <c r="R126" s="4505"/>
      <c r="S126" s="4505"/>
      <c r="T126" s="4505"/>
      <c r="U126" s="4526"/>
      <c r="V126" s="4527"/>
      <c r="W126" s="4527"/>
      <c r="X126" s="4527"/>
      <c r="Y126" s="4528"/>
      <c r="Z126" s="1559"/>
      <c r="AA126" s="62"/>
      <c r="AB126" s="62"/>
      <c r="AC126" s="62"/>
      <c r="AD126" s="62"/>
    </row>
    <row r="127" spans="1:30" s="14" customFormat="1" ht="15" customHeight="1" x14ac:dyDescent="0.35">
      <c r="A127" s="1559"/>
      <c r="B127" s="3926"/>
      <c r="C127" s="4505"/>
      <c r="D127" s="4505"/>
      <c r="E127" s="4505"/>
      <c r="F127" s="4505"/>
      <c r="G127" s="4505"/>
      <c r="H127" s="4505"/>
      <c r="I127" s="4505"/>
      <c r="J127" s="4505"/>
      <c r="K127" s="4505"/>
      <c r="L127" s="4505"/>
      <c r="M127" s="4505"/>
      <c r="N127" s="4505"/>
      <c r="O127" s="4505"/>
      <c r="P127" s="4505"/>
      <c r="Q127" s="4505"/>
      <c r="R127" s="4505"/>
      <c r="S127" s="4505"/>
      <c r="T127" s="4505"/>
      <c r="U127" s="4526"/>
      <c r="V127" s="4527"/>
      <c r="W127" s="4527"/>
      <c r="X127" s="4527"/>
      <c r="Y127" s="4528"/>
      <c r="Z127" s="1559"/>
      <c r="AA127" s="62"/>
      <c r="AB127" s="62"/>
      <c r="AC127" s="62"/>
      <c r="AD127" s="62"/>
    </row>
    <row r="128" spans="1:30" s="14" customFormat="1" ht="15" customHeight="1" x14ac:dyDescent="0.35">
      <c r="A128" s="1559"/>
      <c r="B128" s="3926"/>
      <c r="C128" s="4505"/>
      <c r="D128" s="4505"/>
      <c r="E128" s="4505"/>
      <c r="F128" s="4505"/>
      <c r="G128" s="4505"/>
      <c r="H128" s="4505"/>
      <c r="I128" s="4505"/>
      <c r="J128" s="4505"/>
      <c r="K128" s="4505"/>
      <c r="L128" s="4505"/>
      <c r="M128" s="4505"/>
      <c r="N128" s="4505"/>
      <c r="O128" s="4505"/>
      <c r="P128" s="4505"/>
      <c r="Q128" s="4505"/>
      <c r="R128" s="4505"/>
      <c r="S128" s="4505"/>
      <c r="T128" s="4505"/>
      <c r="U128" s="4526"/>
      <c r="V128" s="4527"/>
      <c r="W128" s="4527"/>
      <c r="X128" s="4527"/>
      <c r="Y128" s="4528"/>
      <c r="Z128" s="1559"/>
      <c r="AA128" s="62"/>
      <c r="AB128" s="62"/>
      <c r="AC128" s="62"/>
      <c r="AD128" s="62"/>
    </row>
    <row r="129" spans="1:30" s="14" customFormat="1" ht="15" customHeight="1" x14ac:dyDescent="0.35">
      <c r="A129" s="1559"/>
      <c r="B129" s="3926"/>
      <c r="C129" s="4505"/>
      <c r="D129" s="4505"/>
      <c r="E129" s="4505"/>
      <c r="F129" s="4505"/>
      <c r="G129" s="4505"/>
      <c r="H129" s="4505"/>
      <c r="I129" s="4505"/>
      <c r="J129" s="4505"/>
      <c r="K129" s="4505"/>
      <c r="L129" s="4505"/>
      <c r="M129" s="4505"/>
      <c r="N129" s="4505"/>
      <c r="O129" s="4505"/>
      <c r="P129" s="4505"/>
      <c r="Q129" s="4505"/>
      <c r="R129" s="4505"/>
      <c r="S129" s="4505"/>
      <c r="T129" s="4505"/>
      <c r="U129" s="4526"/>
      <c r="V129" s="4527"/>
      <c r="W129" s="4527"/>
      <c r="X129" s="4527"/>
      <c r="Y129" s="4528"/>
      <c r="Z129" s="1559"/>
      <c r="AA129" s="62"/>
      <c r="AB129" s="62"/>
      <c r="AC129" s="62"/>
      <c r="AD129" s="62"/>
    </row>
    <row r="130" spans="1:30" s="14" customFormat="1" ht="15" customHeight="1" x14ac:dyDescent="0.35">
      <c r="A130" s="1559"/>
      <c r="B130" s="3916"/>
      <c r="C130" s="4505"/>
      <c r="D130" s="4505"/>
      <c r="E130" s="4505"/>
      <c r="F130" s="4505"/>
      <c r="G130" s="4505"/>
      <c r="H130" s="4505"/>
      <c r="I130" s="4505"/>
      <c r="J130" s="4505"/>
      <c r="K130" s="4505"/>
      <c r="L130" s="4505"/>
      <c r="M130" s="4505"/>
      <c r="N130" s="4505"/>
      <c r="O130" s="4505"/>
      <c r="P130" s="4505"/>
      <c r="Q130" s="4505"/>
      <c r="R130" s="4505"/>
      <c r="S130" s="4505"/>
      <c r="T130" s="4505"/>
      <c r="U130" s="4529"/>
      <c r="V130" s="4530"/>
      <c r="W130" s="4530"/>
      <c r="X130" s="4530"/>
      <c r="Y130" s="4531"/>
      <c r="Z130" s="1559"/>
      <c r="AA130" s="62"/>
      <c r="AB130" s="62"/>
      <c r="AC130" s="62"/>
      <c r="AD130" s="62"/>
    </row>
    <row r="131" spans="1:30" s="14" customFormat="1" ht="15" customHeight="1" x14ac:dyDescent="0.35">
      <c r="A131" s="1559"/>
      <c r="B131" s="4506"/>
      <c r="C131" s="4507"/>
      <c r="D131" s="4507"/>
      <c r="E131" s="4507"/>
      <c r="F131" s="4507"/>
      <c r="G131" s="4507"/>
      <c r="H131" s="4507"/>
      <c r="I131" s="4507"/>
      <c r="J131" s="4507"/>
      <c r="K131" s="4507"/>
      <c r="L131" s="4507"/>
      <c r="M131" s="4507"/>
      <c r="N131" s="4508"/>
      <c r="O131" s="4523" t="s">
        <v>184</v>
      </c>
      <c r="P131" s="4523"/>
      <c r="Q131" s="4523"/>
      <c r="R131" s="4523"/>
      <c r="S131" s="4523"/>
      <c r="T131" s="4523"/>
      <c r="U131" s="4513">
        <f>SUM(U100:Y130)</f>
        <v>20.8</v>
      </c>
      <c r="V131" s="4513"/>
      <c r="W131" s="4513"/>
      <c r="X131" s="4513"/>
      <c r="Y131" s="4513"/>
      <c r="Z131" s="1559"/>
      <c r="AA131" s="62"/>
      <c r="AB131" s="62"/>
      <c r="AC131" s="62"/>
      <c r="AD131" s="62"/>
    </row>
    <row r="132" spans="1:30" s="14" customFormat="1" ht="41.25" customHeight="1" x14ac:dyDescent="0.35">
      <c r="A132" s="1559"/>
      <c r="B132" s="4509"/>
      <c r="C132" s="4510"/>
      <c r="D132" s="4510"/>
      <c r="E132" s="4510"/>
      <c r="F132" s="4510"/>
      <c r="G132" s="4510"/>
      <c r="H132" s="4510"/>
      <c r="I132" s="4510"/>
      <c r="J132" s="4510"/>
      <c r="K132" s="4510"/>
      <c r="L132" s="4510"/>
      <c r="M132" s="4510"/>
      <c r="N132" s="4511"/>
      <c r="O132" s="4523" t="s">
        <v>218</v>
      </c>
      <c r="P132" s="4523"/>
      <c r="Q132" s="4523"/>
      <c r="R132" s="4523"/>
      <c r="S132" s="4523"/>
      <c r="T132" s="4523"/>
      <c r="U132" s="4514">
        <f>U131/AD132</f>
        <v>4.16</v>
      </c>
      <c r="V132" s="4514"/>
      <c r="W132" s="4514" t="str">
        <f>IF(ROUND(U132,0)=1,"Sangat Tidak Memenuhi Syarat",IF(ROUND(U132,0)=2,"Kurang Memenuhi Syarat",IF(ROUND(U132,0)=3,"Cukup Memenuhi Syarat",IF(ROUND(U132,0)=4,"Memenuhi Syarat",IF(ROUND(U132,0)=5,"Sangat Memenuhi Syarat")))))</f>
        <v>Memenuhi Syarat</v>
      </c>
      <c r="X132" s="4514"/>
      <c r="Y132" s="4514"/>
      <c r="Z132" s="1559"/>
      <c r="AA132" s="62"/>
      <c r="AB132" s="62"/>
      <c r="AC132" s="62"/>
      <c r="AD132" s="62">
        <f>COUNTIF(U100:Y130,"&gt;0")</f>
        <v>5</v>
      </c>
    </row>
    <row r="133" spans="1:30" s="14" customFormat="1" ht="15" customHeight="1" x14ac:dyDescent="0.35">
      <c r="A133" s="1559"/>
      <c r="B133" s="1557"/>
      <c r="C133" s="1557"/>
      <c r="D133" s="1557"/>
      <c r="E133" s="1557"/>
      <c r="F133" s="1557"/>
      <c r="G133" s="1557"/>
      <c r="H133" s="1557"/>
      <c r="I133" s="1557"/>
      <c r="J133" s="1557"/>
      <c r="K133" s="1557"/>
      <c r="L133" s="1557"/>
      <c r="M133" s="1557"/>
      <c r="N133" s="1557"/>
      <c r="O133" s="2427"/>
      <c r="P133" s="2427"/>
      <c r="Q133" s="2427"/>
      <c r="R133" s="2427"/>
      <c r="S133" s="2427"/>
      <c r="T133" s="2427"/>
      <c r="U133" s="2428"/>
      <c r="V133" s="2428"/>
      <c r="W133" s="2428"/>
      <c r="X133" s="2428"/>
      <c r="Y133" s="2428"/>
      <c r="Z133" s="1559"/>
      <c r="AA133" s="62"/>
      <c r="AB133" s="62"/>
      <c r="AC133" s="62"/>
      <c r="AD133" s="62"/>
    </row>
    <row r="134" spans="1:30" s="14" customFormat="1" ht="15" customHeight="1" x14ac:dyDescent="0.35">
      <c r="A134" s="1559"/>
      <c r="B134" s="2386"/>
      <c r="C134" s="2386"/>
      <c r="D134" s="2386"/>
      <c r="E134" s="2386"/>
      <c r="F134" s="2386"/>
      <c r="G134" s="2386"/>
      <c r="H134" s="2386"/>
      <c r="I134" s="2386"/>
      <c r="J134" s="2386"/>
      <c r="K134" s="2386"/>
      <c r="L134" s="2386"/>
      <c r="M134" s="2386"/>
      <c r="N134" s="2386"/>
      <c r="O134" s="596"/>
      <c r="P134" s="596"/>
      <c r="Q134" s="596"/>
      <c r="R134" s="596"/>
      <c r="S134" s="596"/>
      <c r="T134" s="596"/>
      <c r="U134" s="597"/>
      <c r="V134" s="597"/>
      <c r="W134" s="597"/>
      <c r="X134" s="597"/>
      <c r="Y134" s="597"/>
      <c r="Z134" s="1559"/>
      <c r="AA134" s="62"/>
      <c r="AB134" s="62"/>
      <c r="AC134" s="62"/>
      <c r="AD134" s="62"/>
    </row>
    <row r="135" spans="1:30" s="14" customFormat="1" ht="15" customHeight="1" x14ac:dyDescent="0.35">
      <c r="A135" s="1559"/>
      <c r="B135" s="4466" t="s">
        <v>186</v>
      </c>
      <c r="C135" s="4467"/>
      <c r="D135" s="4467"/>
      <c r="E135" s="4467"/>
      <c r="F135" s="4467"/>
      <c r="G135" s="4467"/>
      <c r="H135" s="4467"/>
      <c r="I135" s="4467"/>
      <c r="J135" s="4467"/>
      <c r="K135" s="4467"/>
      <c r="L135" s="4467"/>
      <c r="M135" s="4467"/>
      <c r="N135" s="4467"/>
      <c r="O135" s="4467"/>
      <c r="P135" s="4467"/>
      <c r="Q135" s="4467"/>
      <c r="R135" s="4467"/>
      <c r="S135" s="4467"/>
      <c r="T135" s="4467"/>
      <c r="U135" s="4467"/>
      <c r="V135" s="4467"/>
      <c r="W135" s="4467"/>
      <c r="X135" s="4467"/>
      <c r="Y135" s="4468"/>
      <c r="Z135" s="1559"/>
      <c r="AA135" s="62"/>
      <c r="AB135" s="62"/>
      <c r="AC135" s="62"/>
      <c r="AD135" s="62"/>
    </row>
    <row r="136" spans="1:30" s="14" customFormat="1" ht="15" customHeight="1" x14ac:dyDescent="0.35">
      <c r="A136" s="1559"/>
      <c r="B136" s="4469" t="str">
        <f>'FIP(PAP-01)'!C81</f>
        <v>Secara umum rating manajemen ditinjau dari aspek integritas karakter, pengalaman, luasnya pengetahuan dan keterampilan dan masuk dalam kategori penilaian Cukup Memenuhi Syarat, dengan skor rata-rata 3,33</v>
      </c>
      <c r="C136" s="4470"/>
      <c r="D136" s="4470"/>
      <c r="E136" s="4470"/>
      <c r="F136" s="4470"/>
      <c r="G136" s="4470"/>
      <c r="H136" s="4470"/>
      <c r="I136" s="4470"/>
      <c r="J136" s="4470"/>
      <c r="K136" s="4470"/>
      <c r="L136" s="4470"/>
      <c r="M136" s="4470"/>
      <c r="N136" s="4471"/>
      <c r="O136" s="4475" t="s">
        <v>182</v>
      </c>
      <c r="P136" s="4476"/>
      <c r="Q136" s="4476"/>
      <c r="R136" s="4476"/>
      <c r="S136" s="4476"/>
      <c r="T136" s="4477"/>
      <c r="U136" s="4481">
        <f>'FIP(PAP-01)'!U83</f>
        <v>3.3333333333333335</v>
      </c>
      <c r="V136" s="4482"/>
      <c r="W136" s="4485" t="str">
        <f>IF(ROUND(U136,0)=1,"Sangat Tidak Memenuhi Syarat",IF(ROUND(U136,0)=2,"Kurang Memenuhi Syarat",IF(ROUND(U136,0)=3,"Cukup Memenuhi Syarat",IF(ROUND(U136,0)=4,"Memenuhi Syarat",IF(ROUND(U136,0)=5,"Sangat Memenuhi Syarat")))))</f>
        <v>Cukup Memenuhi Syarat</v>
      </c>
      <c r="X136" s="4486"/>
      <c r="Y136" s="4487"/>
      <c r="Z136" s="1559"/>
      <c r="AA136" s="62"/>
      <c r="AB136" s="62"/>
      <c r="AC136" s="62"/>
      <c r="AD136" s="62"/>
    </row>
    <row r="137" spans="1:30" s="14" customFormat="1" ht="41.25" customHeight="1" x14ac:dyDescent="0.35">
      <c r="A137" s="1559"/>
      <c r="B137" s="4472"/>
      <c r="C137" s="4473"/>
      <c r="D137" s="4473"/>
      <c r="E137" s="4473"/>
      <c r="F137" s="4473"/>
      <c r="G137" s="4473"/>
      <c r="H137" s="4473"/>
      <c r="I137" s="4473"/>
      <c r="J137" s="4473"/>
      <c r="K137" s="4473"/>
      <c r="L137" s="4473"/>
      <c r="M137" s="4473"/>
      <c r="N137" s="4474"/>
      <c r="O137" s="4478"/>
      <c r="P137" s="4479"/>
      <c r="Q137" s="4479"/>
      <c r="R137" s="4479"/>
      <c r="S137" s="4479"/>
      <c r="T137" s="4480"/>
      <c r="U137" s="4483"/>
      <c r="V137" s="4484"/>
      <c r="W137" s="4488"/>
      <c r="X137" s="4489"/>
      <c r="Y137" s="4490"/>
      <c r="Z137" s="1559"/>
      <c r="AA137" s="62"/>
      <c r="AB137" s="62"/>
      <c r="AC137" s="62"/>
      <c r="AD137" s="62">
        <f>'FIP(PAP-01)'!AF84</f>
        <v>3</v>
      </c>
    </row>
    <row r="138" spans="1:30" s="14" customFormat="1" ht="15" customHeight="1" x14ac:dyDescent="0.35">
      <c r="A138" s="1559"/>
      <c r="B138" s="2386"/>
      <c r="C138" s="2386"/>
      <c r="D138" s="2386"/>
      <c r="E138" s="2386"/>
      <c r="F138" s="2386"/>
      <c r="G138" s="2386"/>
      <c r="H138" s="2386"/>
      <c r="I138" s="2386"/>
      <c r="J138" s="2386"/>
      <c r="K138" s="2386"/>
      <c r="L138" s="2386"/>
      <c r="M138" s="2386"/>
      <c r="N138" s="2386"/>
      <c r="O138" s="596"/>
      <c r="P138" s="596"/>
      <c r="Q138" s="596"/>
      <c r="R138" s="596"/>
      <c r="S138" s="596"/>
      <c r="T138" s="596"/>
      <c r="U138" s="597"/>
      <c r="V138" s="597"/>
      <c r="W138" s="597"/>
      <c r="X138" s="597"/>
      <c r="Y138" s="597"/>
      <c r="Z138" s="1559"/>
      <c r="AA138" s="62"/>
      <c r="AB138" s="62"/>
      <c r="AC138" s="62"/>
      <c r="AD138" s="62"/>
    </row>
    <row r="139" spans="1:30" s="14" customFormat="1" ht="15" customHeight="1" x14ac:dyDescent="0.35">
      <c r="A139" s="1559"/>
      <c r="B139" s="2386"/>
      <c r="C139" s="2386"/>
      <c r="D139" s="2386"/>
      <c r="E139" s="2386"/>
      <c r="F139" s="2386"/>
      <c r="G139" s="2386"/>
      <c r="H139" s="2386"/>
      <c r="I139" s="2386"/>
      <c r="J139" s="2386"/>
      <c r="K139" s="2386"/>
      <c r="L139" s="2386"/>
      <c r="M139" s="2386"/>
      <c r="N139" s="2386"/>
      <c r="O139" s="596"/>
      <c r="P139" s="596"/>
      <c r="Q139" s="596"/>
      <c r="R139" s="596"/>
      <c r="S139" s="596"/>
      <c r="T139" s="596"/>
      <c r="U139" s="597"/>
      <c r="V139" s="597"/>
      <c r="W139" s="597"/>
      <c r="X139" s="597"/>
      <c r="Y139" s="597"/>
      <c r="Z139" s="1559"/>
      <c r="AA139" s="62"/>
      <c r="AB139" s="62"/>
      <c r="AC139" s="62"/>
      <c r="AD139" s="62"/>
    </row>
    <row r="140" spans="1:30" s="14" customFormat="1" ht="15" customHeight="1" x14ac:dyDescent="0.35">
      <c r="A140" s="1559"/>
      <c r="B140" s="4466" t="s">
        <v>336</v>
      </c>
      <c r="C140" s="4467"/>
      <c r="D140" s="4467"/>
      <c r="E140" s="4467"/>
      <c r="F140" s="4467"/>
      <c r="G140" s="4467"/>
      <c r="H140" s="4467"/>
      <c r="I140" s="4467"/>
      <c r="J140" s="4467"/>
      <c r="K140" s="4467"/>
      <c r="L140" s="4467"/>
      <c r="M140" s="4467"/>
      <c r="N140" s="4467"/>
      <c r="O140" s="4467"/>
      <c r="P140" s="4467"/>
      <c r="Q140" s="4467"/>
      <c r="R140" s="4467"/>
      <c r="S140" s="4467"/>
      <c r="T140" s="4467"/>
      <c r="U140" s="4467"/>
      <c r="V140" s="4467"/>
      <c r="W140" s="4467"/>
      <c r="X140" s="4467"/>
      <c r="Y140" s="4468"/>
      <c r="Z140" s="1559"/>
      <c r="AA140" s="62"/>
      <c r="AB140" s="62"/>
      <c r="AC140" s="62"/>
      <c r="AD140" s="62"/>
    </row>
    <row r="141" spans="1:30" s="17" customFormat="1" ht="15" customHeight="1" x14ac:dyDescent="0.35">
      <c r="A141" s="577"/>
      <c r="B141" s="4515" t="s">
        <v>183</v>
      </c>
      <c r="C141" s="4515"/>
      <c r="D141" s="4515"/>
      <c r="E141" s="4515"/>
      <c r="F141" s="4515"/>
      <c r="G141" s="4515"/>
      <c r="H141" s="4515"/>
      <c r="I141" s="4515"/>
      <c r="J141" s="4515"/>
      <c r="K141" s="4515"/>
      <c r="L141" s="4515"/>
      <c r="M141" s="4515"/>
      <c r="N141" s="4515"/>
      <c r="O141" s="4515"/>
      <c r="P141" s="4515"/>
      <c r="Q141" s="4515"/>
      <c r="R141" s="4515"/>
      <c r="S141" s="4515"/>
      <c r="T141" s="4515"/>
      <c r="U141" s="4517" t="s">
        <v>276</v>
      </c>
      <c r="V141" s="4518"/>
      <c r="W141" s="4518"/>
      <c r="X141" s="4518"/>
      <c r="Y141" s="4519"/>
      <c r="Z141" s="577"/>
      <c r="AA141" s="2426"/>
      <c r="AB141" s="2426"/>
      <c r="AC141" s="2426"/>
      <c r="AD141" s="2426"/>
    </row>
    <row r="142" spans="1:30" s="17" customFormat="1" ht="15" customHeight="1" x14ac:dyDescent="0.35">
      <c r="A142" s="577"/>
      <c r="B142" s="4515"/>
      <c r="C142" s="4515"/>
      <c r="D142" s="4515"/>
      <c r="E142" s="4515"/>
      <c r="F142" s="4515"/>
      <c r="G142" s="4515"/>
      <c r="H142" s="4515"/>
      <c r="I142" s="4515"/>
      <c r="J142" s="4515"/>
      <c r="K142" s="4515"/>
      <c r="L142" s="4515"/>
      <c r="M142" s="4515"/>
      <c r="N142" s="4515"/>
      <c r="O142" s="4515"/>
      <c r="P142" s="4515"/>
      <c r="Q142" s="4515"/>
      <c r="R142" s="4515"/>
      <c r="S142" s="4515"/>
      <c r="T142" s="4516"/>
      <c r="U142" s="4520"/>
      <c r="V142" s="4521"/>
      <c r="W142" s="4521"/>
      <c r="X142" s="4521"/>
      <c r="Y142" s="4522"/>
      <c r="Z142" s="577"/>
      <c r="AA142" s="2426"/>
      <c r="AB142" s="2426"/>
      <c r="AC142" s="2426"/>
      <c r="AD142" s="2426"/>
    </row>
    <row r="143" spans="1:30" s="14" customFormat="1" ht="15" customHeight="1" x14ac:dyDescent="0.35">
      <c r="A143" s="1559"/>
      <c r="B143" s="1560">
        <v>1</v>
      </c>
      <c r="C143" s="4495" t="s">
        <v>125</v>
      </c>
      <c r="D143" s="4495"/>
      <c r="E143" s="4495"/>
      <c r="F143" s="4495"/>
      <c r="G143" s="4495"/>
      <c r="H143" s="4495"/>
      <c r="I143" s="4495"/>
      <c r="J143" s="4495"/>
      <c r="K143" s="4495"/>
      <c r="L143" s="4495"/>
      <c r="M143" s="4495"/>
      <c r="N143" s="4495"/>
      <c r="O143" s="4495"/>
      <c r="P143" s="4495"/>
      <c r="Q143" s="4495"/>
      <c r="R143" s="4495"/>
      <c r="S143" s="4495"/>
      <c r="T143" s="4495"/>
      <c r="U143" s="4496">
        <f>'FKS(PAP-03)'!T284</f>
        <v>3.5714285714285716</v>
      </c>
      <c r="V143" s="4524"/>
      <c r="W143" s="4524"/>
      <c r="X143" s="4524"/>
      <c r="Y143" s="4525"/>
      <c r="Z143" s="1559"/>
      <c r="AA143" s="62"/>
      <c r="AB143" s="62"/>
      <c r="AC143" s="62"/>
      <c r="AD143" s="62"/>
    </row>
    <row r="144" spans="1:30" s="14" customFormat="1" ht="15" customHeight="1" x14ac:dyDescent="0.35">
      <c r="A144" s="1559"/>
      <c r="B144" s="3926"/>
      <c r="C144" s="4538" t="str">
        <f>'FKS(PAP-03)'!D282</f>
        <v>Perusahaan memiliki potensi daya serap, tingkat konsumsi dan daya beli yang cukup tinggi. Dimana target pasar baru mencakup area sekitar lokasi uasaha dengan kondisi permintaan yang cukup stabil. Dengan kondisi ini, permintaan diprediksi akan tumbuh sebesar 5%-10%. LKB ini  diperkirakan masuk dalam daftar 10 besar pemain utama dalam industri sejenis di Kabupaten Dompu. Namun, dengan realisasi penjualan yang berada pada kisaran 80%-90% dari target yang ditetapkan perusahaan. Skor rata-rata untuk tingkat permintaan mencapai 3,57 dan masuk katagori memenuhi syarat</v>
      </c>
      <c r="D144" s="4539"/>
      <c r="E144" s="4539"/>
      <c r="F144" s="4539"/>
      <c r="G144" s="4539"/>
      <c r="H144" s="4539"/>
      <c r="I144" s="4539"/>
      <c r="J144" s="4539"/>
      <c r="K144" s="4539"/>
      <c r="L144" s="4539"/>
      <c r="M144" s="4539"/>
      <c r="N144" s="4539"/>
      <c r="O144" s="4539"/>
      <c r="P144" s="4539"/>
      <c r="Q144" s="4539"/>
      <c r="R144" s="4539"/>
      <c r="S144" s="4539"/>
      <c r="T144" s="4540"/>
      <c r="U144" s="4526"/>
      <c r="V144" s="4527"/>
      <c r="W144" s="4527"/>
      <c r="X144" s="4527"/>
      <c r="Y144" s="4528"/>
      <c r="Z144" s="1559"/>
      <c r="AA144" s="62"/>
      <c r="AB144" s="62"/>
      <c r="AC144" s="62"/>
      <c r="AD144" s="62"/>
    </row>
    <row r="145" spans="1:30" s="14" customFormat="1" ht="102" customHeight="1" x14ac:dyDescent="0.35">
      <c r="A145" s="1559"/>
      <c r="B145" s="3926"/>
      <c r="C145" s="4541"/>
      <c r="D145" s="4542"/>
      <c r="E145" s="4542"/>
      <c r="F145" s="4542"/>
      <c r="G145" s="4542"/>
      <c r="H145" s="4542"/>
      <c r="I145" s="4542"/>
      <c r="J145" s="4542"/>
      <c r="K145" s="4542"/>
      <c r="L145" s="4542"/>
      <c r="M145" s="4542"/>
      <c r="N145" s="4542"/>
      <c r="O145" s="4542"/>
      <c r="P145" s="4542"/>
      <c r="Q145" s="4542"/>
      <c r="R145" s="4542"/>
      <c r="S145" s="4542"/>
      <c r="T145" s="4543"/>
      <c r="U145" s="4529"/>
      <c r="V145" s="4530"/>
      <c r="W145" s="4530"/>
      <c r="X145" s="4530"/>
      <c r="Y145" s="4531"/>
      <c r="Z145" s="1559"/>
      <c r="AA145" s="62"/>
      <c r="AB145" s="62"/>
      <c r="AC145" s="62"/>
      <c r="AD145" s="62"/>
    </row>
    <row r="146" spans="1:30" s="14" customFormat="1" ht="15" customHeight="1" x14ac:dyDescent="0.35">
      <c r="A146" s="1559"/>
      <c r="B146" s="1560">
        <v>2</v>
      </c>
      <c r="C146" s="4495" t="s">
        <v>136</v>
      </c>
      <c r="D146" s="4495"/>
      <c r="E146" s="4495"/>
      <c r="F146" s="4495"/>
      <c r="G146" s="4495"/>
      <c r="H146" s="4495"/>
      <c r="I146" s="4495"/>
      <c r="J146" s="4495"/>
      <c r="K146" s="4495"/>
      <c r="L146" s="4495"/>
      <c r="M146" s="4495"/>
      <c r="N146" s="4495"/>
      <c r="O146" s="4495"/>
      <c r="P146" s="4495"/>
      <c r="Q146" s="4495"/>
      <c r="R146" s="4495"/>
      <c r="S146" s="4495"/>
      <c r="T146" s="4495"/>
      <c r="U146" s="4496">
        <f>'FKS(PAP-03)'!T318</f>
        <v>3</v>
      </c>
      <c r="V146" s="4524"/>
      <c r="W146" s="4524"/>
      <c r="X146" s="4524"/>
      <c r="Y146" s="4525"/>
      <c r="Z146" s="1559"/>
      <c r="AA146" s="62"/>
      <c r="AB146" s="62"/>
      <c r="AC146" s="62"/>
      <c r="AD146" s="62"/>
    </row>
    <row r="147" spans="1:30" s="14" customFormat="1" ht="15" customHeight="1" x14ac:dyDescent="0.35">
      <c r="A147" s="1559"/>
      <c r="B147" s="3915"/>
      <c r="C147" s="4505" t="str">
        <f>'FKS(PAP-03)'!D316</f>
        <v>Kualitas produk yang ditawarkan terbilang sudah baik, ditambah lagi dengan harga yang telah sesuai dengan rata-rata harga pasar. Dengan varian produk di bawah 10 jenis produk dan jaringan distribusi mencapai 4 cabang/outlet, hal ini turut membentuk brand image perusahaan menjadi cukup kuat. Dari sisi penjualan, syarat yang dibebankan kepada konsumen juga cukup mudah, melayani pembayaran cash maupun kredit tanpa uang muka maupun jaminan. Jumlah skor rata-rata kualitas produk atau jasa adalah 3,00</v>
      </c>
      <c r="D147" s="4505"/>
      <c r="E147" s="4505"/>
      <c r="F147" s="4505"/>
      <c r="G147" s="4505"/>
      <c r="H147" s="4505"/>
      <c r="I147" s="4505"/>
      <c r="J147" s="4505"/>
      <c r="K147" s="4505"/>
      <c r="L147" s="4505"/>
      <c r="M147" s="4505"/>
      <c r="N147" s="4505"/>
      <c r="O147" s="4505"/>
      <c r="P147" s="4505"/>
      <c r="Q147" s="4505"/>
      <c r="R147" s="4505"/>
      <c r="S147" s="4505"/>
      <c r="T147" s="4505"/>
      <c r="U147" s="4526"/>
      <c r="V147" s="4527"/>
      <c r="W147" s="4527"/>
      <c r="X147" s="4527"/>
      <c r="Y147" s="4528"/>
      <c r="Z147" s="1559"/>
      <c r="AA147" s="62"/>
      <c r="AB147" s="62"/>
      <c r="AC147" s="62"/>
      <c r="AD147" s="62"/>
    </row>
    <row r="148" spans="1:30" s="14" customFormat="1" ht="15" customHeight="1" x14ac:dyDescent="0.35">
      <c r="A148" s="1559"/>
      <c r="B148" s="3926"/>
      <c r="C148" s="4505"/>
      <c r="D148" s="4505"/>
      <c r="E148" s="4505"/>
      <c r="F148" s="4505"/>
      <c r="G148" s="4505"/>
      <c r="H148" s="4505"/>
      <c r="I148" s="4505"/>
      <c r="J148" s="4505"/>
      <c r="K148" s="4505"/>
      <c r="L148" s="4505"/>
      <c r="M148" s="4505"/>
      <c r="N148" s="4505"/>
      <c r="O148" s="4505"/>
      <c r="P148" s="4505"/>
      <c r="Q148" s="4505"/>
      <c r="R148" s="4505"/>
      <c r="S148" s="4505"/>
      <c r="T148" s="4505"/>
      <c r="U148" s="4526"/>
      <c r="V148" s="4527"/>
      <c r="W148" s="4527"/>
      <c r="X148" s="4527"/>
      <c r="Y148" s="4528"/>
      <c r="Z148" s="1559"/>
      <c r="AA148" s="62"/>
      <c r="AB148" s="62"/>
      <c r="AC148" s="62"/>
      <c r="AD148" s="62"/>
    </row>
    <row r="149" spans="1:30" s="14" customFormat="1" ht="15" customHeight="1" x14ac:dyDescent="0.35">
      <c r="A149" s="1559"/>
      <c r="B149" s="3926"/>
      <c r="C149" s="4505"/>
      <c r="D149" s="4505"/>
      <c r="E149" s="4505"/>
      <c r="F149" s="4505"/>
      <c r="G149" s="4505"/>
      <c r="H149" s="4505"/>
      <c r="I149" s="4505"/>
      <c r="J149" s="4505"/>
      <c r="K149" s="4505"/>
      <c r="L149" s="4505"/>
      <c r="M149" s="4505"/>
      <c r="N149" s="4505"/>
      <c r="O149" s="4505"/>
      <c r="P149" s="4505"/>
      <c r="Q149" s="4505"/>
      <c r="R149" s="4505"/>
      <c r="S149" s="4505"/>
      <c r="T149" s="4505"/>
      <c r="U149" s="4526"/>
      <c r="V149" s="4527"/>
      <c r="W149" s="4527"/>
      <c r="X149" s="4527"/>
      <c r="Y149" s="4528"/>
      <c r="Z149" s="1559"/>
      <c r="AA149" s="62"/>
      <c r="AB149" s="62"/>
      <c r="AC149" s="62"/>
      <c r="AD149" s="62"/>
    </row>
    <row r="150" spans="1:30" s="14" customFormat="1" ht="59.25" customHeight="1" x14ac:dyDescent="0.35">
      <c r="A150" s="1559"/>
      <c r="B150" s="3916"/>
      <c r="C150" s="4505"/>
      <c r="D150" s="4505"/>
      <c r="E150" s="4505"/>
      <c r="F150" s="4505"/>
      <c r="G150" s="4505"/>
      <c r="H150" s="4505"/>
      <c r="I150" s="4505"/>
      <c r="J150" s="4505"/>
      <c r="K150" s="4505"/>
      <c r="L150" s="4505"/>
      <c r="M150" s="4505"/>
      <c r="N150" s="4505"/>
      <c r="O150" s="4505"/>
      <c r="P150" s="4505"/>
      <c r="Q150" s="4505"/>
      <c r="R150" s="4505"/>
      <c r="S150" s="4505"/>
      <c r="T150" s="4505"/>
      <c r="U150" s="4529"/>
      <c r="V150" s="4530"/>
      <c r="W150" s="4530"/>
      <c r="X150" s="4530"/>
      <c r="Y150" s="4531"/>
      <c r="Z150" s="1559"/>
      <c r="AA150" s="62"/>
      <c r="AB150" s="62"/>
      <c r="AC150" s="62"/>
      <c r="AD150" s="62"/>
    </row>
    <row r="151" spans="1:30" s="14" customFormat="1" ht="15" customHeight="1" x14ac:dyDescent="0.35">
      <c r="A151" s="1559"/>
      <c r="B151" s="1560">
        <v>3</v>
      </c>
      <c r="C151" s="4495" t="s">
        <v>132</v>
      </c>
      <c r="D151" s="4495"/>
      <c r="E151" s="4495"/>
      <c r="F151" s="4495"/>
      <c r="G151" s="4495"/>
      <c r="H151" s="4495"/>
      <c r="I151" s="4495"/>
      <c r="J151" s="4495"/>
      <c r="K151" s="4495"/>
      <c r="L151" s="4495"/>
      <c r="M151" s="4495"/>
      <c r="N151" s="4495"/>
      <c r="O151" s="4495"/>
      <c r="P151" s="4495"/>
      <c r="Q151" s="4495"/>
      <c r="R151" s="4495"/>
      <c r="S151" s="4495"/>
      <c r="T151" s="4495"/>
      <c r="U151" s="4496">
        <f>'FKS(PAP-03)'!T336</f>
        <v>3.5</v>
      </c>
      <c r="V151" s="4524"/>
      <c r="W151" s="4524"/>
      <c r="X151" s="4524"/>
      <c r="Y151" s="4525"/>
      <c r="Z151" s="1559"/>
      <c r="AA151" s="62"/>
      <c r="AB151" s="62"/>
      <c r="AC151" s="62"/>
      <c r="AD151" s="62"/>
    </row>
    <row r="152" spans="1:30" s="14" customFormat="1" ht="15" customHeight="1" x14ac:dyDescent="0.35">
      <c r="A152" s="1559"/>
      <c r="B152" s="3915"/>
      <c r="C152" s="4505" t="str">
        <f>'FKS(PAP-03)'!D334</f>
        <v>Berdasarkan verifikasi di lapangan, terdapat kurang lebih  60% Nasabah taat membayar Tabungan wajib penjualan dan Kualitas Hubungan dengan Penyimpan/Deposan Terbesar cukup baik, sehingga deposan terus menambah saldo tabungannya, sehingga diperoleh skor 3.50</v>
      </c>
      <c r="D152" s="4505"/>
      <c r="E152" s="4505"/>
      <c r="F152" s="4505"/>
      <c r="G152" s="4505"/>
      <c r="H152" s="4505"/>
      <c r="I152" s="4505"/>
      <c r="J152" s="4505"/>
      <c r="K152" s="4505"/>
      <c r="L152" s="4505"/>
      <c r="M152" s="4505"/>
      <c r="N152" s="4505"/>
      <c r="O152" s="4505"/>
      <c r="P152" s="4505"/>
      <c r="Q152" s="4505"/>
      <c r="R152" s="4505"/>
      <c r="S152" s="4505"/>
      <c r="T152" s="4505"/>
      <c r="U152" s="4526"/>
      <c r="V152" s="4527"/>
      <c r="W152" s="4527"/>
      <c r="X152" s="4527"/>
      <c r="Y152" s="4528"/>
      <c r="Z152" s="1559"/>
      <c r="AA152" s="62"/>
      <c r="AB152" s="62"/>
      <c r="AC152" s="62"/>
      <c r="AD152" s="62"/>
    </row>
    <row r="153" spans="1:30" s="14" customFormat="1" ht="15" customHeight="1" x14ac:dyDescent="0.35">
      <c r="A153" s="1559"/>
      <c r="B153" s="3926"/>
      <c r="C153" s="4505"/>
      <c r="D153" s="4505"/>
      <c r="E153" s="4505"/>
      <c r="F153" s="4505"/>
      <c r="G153" s="4505"/>
      <c r="H153" s="4505"/>
      <c r="I153" s="4505"/>
      <c r="J153" s="4505"/>
      <c r="K153" s="4505"/>
      <c r="L153" s="4505"/>
      <c r="M153" s="4505"/>
      <c r="N153" s="4505"/>
      <c r="O153" s="4505"/>
      <c r="P153" s="4505"/>
      <c r="Q153" s="4505"/>
      <c r="R153" s="4505"/>
      <c r="S153" s="4505"/>
      <c r="T153" s="4505"/>
      <c r="U153" s="4526"/>
      <c r="V153" s="4527"/>
      <c r="W153" s="4527"/>
      <c r="X153" s="4527"/>
      <c r="Y153" s="4528"/>
      <c r="Z153" s="1559"/>
      <c r="AA153" s="62"/>
      <c r="AB153" s="62"/>
      <c r="AC153" s="62"/>
      <c r="AD153" s="62"/>
    </row>
    <row r="154" spans="1:30" s="14" customFormat="1" ht="15" customHeight="1" x14ac:dyDescent="0.35">
      <c r="A154" s="1559"/>
      <c r="B154" s="3926"/>
      <c r="C154" s="4505"/>
      <c r="D154" s="4505"/>
      <c r="E154" s="4505"/>
      <c r="F154" s="4505"/>
      <c r="G154" s="4505"/>
      <c r="H154" s="4505"/>
      <c r="I154" s="4505"/>
      <c r="J154" s="4505"/>
      <c r="K154" s="4505"/>
      <c r="L154" s="4505"/>
      <c r="M154" s="4505"/>
      <c r="N154" s="4505"/>
      <c r="O154" s="4505"/>
      <c r="P154" s="4505"/>
      <c r="Q154" s="4505"/>
      <c r="R154" s="4505"/>
      <c r="S154" s="4505"/>
      <c r="T154" s="4505"/>
      <c r="U154" s="4526"/>
      <c r="V154" s="4527"/>
      <c r="W154" s="4527"/>
      <c r="X154" s="4527"/>
      <c r="Y154" s="4528"/>
      <c r="Z154" s="1559"/>
      <c r="AA154" s="62"/>
      <c r="AB154" s="62"/>
      <c r="AC154" s="62"/>
      <c r="AD154" s="62"/>
    </row>
    <row r="155" spans="1:30" s="14" customFormat="1" ht="54" customHeight="1" x14ac:dyDescent="0.35">
      <c r="A155" s="1559"/>
      <c r="B155" s="3916"/>
      <c r="C155" s="4505"/>
      <c r="D155" s="4505"/>
      <c r="E155" s="4505"/>
      <c r="F155" s="4505"/>
      <c r="G155" s="4505"/>
      <c r="H155" s="4505"/>
      <c r="I155" s="4505"/>
      <c r="J155" s="4505"/>
      <c r="K155" s="4505"/>
      <c r="L155" s="4505"/>
      <c r="M155" s="4505"/>
      <c r="N155" s="4505"/>
      <c r="O155" s="4505"/>
      <c r="P155" s="4505"/>
      <c r="Q155" s="4505"/>
      <c r="R155" s="4505"/>
      <c r="S155" s="4505"/>
      <c r="T155" s="4505"/>
      <c r="U155" s="4529"/>
      <c r="V155" s="4530"/>
      <c r="W155" s="4530"/>
      <c r="X155" s="4530"/>
      <c r="Y155" s="4531"/>
      <c r="Z155" s="1559"/>
      <c r="AA155" s="62"/>
      <c r="AB155" s="62"/>
      <c r="AC155" s="62"/>
      <c r="AD155" s="62"/>
    </row>
    <row r="156" spans="1:30" s="14" customFormat="1" ht="15" customHeight="1" x14ac:dyDescent="0.35">
      <c r="A156" s="1559"/>
      <c r="B156" s="1560">
        <v>4</v>
      </c>
      <c r="C156" s="4495" t="s">
        <v>137</v>
      </c>
      <c r="D156" s="4495"/>
      <c r="E156" s="4495"/>
      <c r="F156" s="4495"/>
      <c r="G156" s="4495"/>
      <c r="H156" s="4495"/>
      <c r="I156" s="4495"/>
      <c r="J156" s="4495"/>
      <c r="K156" s="4495"/>
      <c r="L156" s="4495"/>
      <c r="M156" s="4495"/>
      <c r="N156" s="4495"/>
      <c r="O156" s="4495"/>
      <c r="P156" s="4495"/>
      <c r="Q156" s="4495"/>
      <c r="R156" s="4495"/>
      <c r="S156" s="4495"/>
      <c r="T156" s="4495"/>
      <c r="U156" s="4496">
        <f>'FKS(PAP-03)'!T366</f>
        <v>3.5</v>
      </c>
      <c r="V156" s="4524"/>
      <c r="W156" s="4524"/>
      <c r="X156" s="4524"/>
      <c r="Y156" s="4525"/>
      <c r="Z156" s="1559"/>
      <c r="AA156" s="62"/>
      <c r="AB156" s="62"/>
      <c r="AC156" s="62"/>
      <c r="AD156" s="62"/>
    </row>
    <row r="157" spans="1:30" s="14" customFormat="1" ht="15" customHeight="1" x14ac:dyDescent="0.35">
      <c r="A157" s="1559"/>
      <c r="B157" s="3915"/>
      <c r="C157" s="4505" t="str">
        <f>'FKS(PAP-03)'!D364</f>
        <v>Terkait dengan tingkat persaingan, dalam industri sejenis diketahui beberapa pemain besar menguasai sekitar 15-20% pasar. Namun perusahaan terlihat mampu bersaing karena biaya yang ditawarkan cukup kompetitif, ditambah dengan kualitas produk yang terbilang baik. Perusahaan juga terlihat mampu bersaing mengingat rendahnya faktor penghalang untuk keluar/masuknya produk ke dalam pasar. Strategi untuk menghadapi persaingan sudah begitu jelas dan rasional sesuai dengan kondisi internal. Perusahaan juga memiliki 2 (dua) aktivitas usaha lain yang saling terkait, 'Persaingan Produk Tabungan dan Pinjaman dengan lembaga keuangan sejenis cukup mampu bersaing</v>
      </c>
      <c r="D157" s="4505"/>
      <c r="E157" s="4505"/>
      <c r="F157" s="4505"/>
      <c r="G157" s="4505"/>
      <c r="H157" s="4505"/>
      <c r="I157" s="4505"/>
      <c r="J157" s="4505"/>
      <c r="K157" s="4505"/>
      <c r="L157" s="4505"/>
      <c r="M157" s="4505"/>
      <c r="N157" s="4505"/>
      <c r="O157" s="4505"/>
      <c r="P157" s="4505"/>
      <c r="Q157" s="4505"/>
      <c r="R157" s="4505"/>
      <c r="S157" s="4505"/>
      <c r="T157" s="4505"/>
      <c r="U157" s="4526"/>
      <c r="V157" s="4527"/>
      <c r="W157" s="4527"/>
      <c r="X157" s="4527"/>
      <c r="Y157" s="4528"/>
      <c r="Z157" s="1559"/>
      <c r="AA157" s="62"/>
      <c r="AB157" s="62"/>
      <c r="AC157" s="62"/>
      <c r="AD157" s="62"/>
    </row>
    <row r="158" spans="1:30" s="14" customFormat="1" ht="15" customHeight="1" x14ac:dyDescent="0.35">
      <c r="A158" s="1559"/>
      <c r="B158" s="3926"/>
      <c r="C158" s="4505"/>
      <c r="D158" s="4505"/>
      <c r="E158" s="4505"/>
      <c r="F158" s="4505"/>
      <c r="G158" s="4505"/>
      <c r="H158" s="4505"/>
      <c r="I158" s="4505"/>
      <c r="J158" s="4505"/>
      <c r="K158" s="4505"/>
      <c r="L158" s="4505"/>
      <c r="M158" s="4505"/>
      <c r="N158" s="4505"/>
      <c r="O158" s="4505"/>
      <c r="P158" s="4505"/>
      <c r="Q158" s="4505"/>
      <c r="R158" s="4505"/>
      <c r="S158" s="4505"/>
      <c r="T158" s="4505"/>
      <c r="U158" s="4526"/>
      <c r="V158" s="4527"/>
      <c r="W158" s="4527"/>
      <c r="X158" s="4527"/>
      <c r="Y158" s="4528"/>
      <c r="Z158" s="1559"/>
      <c r="AA158" s="62"/>
      <c r="AB158" s="62"/>
      <c r="AC158" s="62"/>
      <c r="AD158" s="62"/>
    </row>
    <row r="159" spans="1:30" s="14" customFormat="1" ht="113.25" customHeight="1" x14ac:dyDescent="0.35">
      <c r="A159" s="1559"/>
      <c r="B159" s="3916"/>
      <c r="C159" s="4505"/>
      <c r="D159" s="4505"/>
      <c r="E159" s="4505"/>
      <c r="F159" s="4505"/>
      <c r="G159" s="4505"/>
      <c r="H159" s="4505"/>
      <c r="I159" s="4505"/>
      <c r="J159" s="4505"/>
      <c r="K159" s="4505"/>
      <c r="L159" s="4505"/>
      <c r="M159" s="4505"/>
      <c r="N159" s="4505"/>
      <c r="O159" s="4505"/>
      <c r="P159" s="4505"/>
      <c r="Q159" s="4505"/>
      <c r="R159" s="4505"/>
      <c r="S159" s="4505"/>
      <c r="T159" s="4505"/>
      <c r="U159" s="4529"/>
      <c r="V159" s="4530"/>
      <c r="W159" s="4530"/>
      <c r="X159" s="4530"/>
      <c r="Y159" s="4531"/>
      <c r="Z159" s="1559"/>
      <c r="AA159" s="62"/>
      <c r="AB159" s="62"/>
      <c r="AC159" s="62"/>
      <c r="AD159" s="62"/>
    </row>
    <row r="160" spans="1:30" s="14" customFormat="1" ht="15" customHeight="1" x14ac:dyDescent="0.35">
      <c r="A160" s="1559"/>
      <c r="B160" s="4532"/>
      <c r="C160" s="4533"/>
      <c r="D160" s="4533"/>
      <c r="E160" s="4533"/>
      <c r="F160" s="4533"/>
      <c r="G160" s="4533"/>
      <c r="H160" s="4533"/>
      <c r="I160" s="4533"/>
      <c r="J160" s="4533"/>
      <c r="K160" s="4533"/>
      <c r="L160" s="4533"/>
      <c r="M160" s="4533"/>
      <c r="N160" s="4533"/>
      <c r="O160" s="4533"/>
      <c r="P160" s="4533"/>
      <c r="Q160" s="4533"/>
      <c r="R160" s="4533"/>
      <c r="S160" s="4533"/>
      <c r="T160" s="4534"/>
      <c r="U160" s="4535"/>
      <c r="V160" s="4536"/>
      <c r="W160" s="4536"/>
      <c r="X160" s="4536"/>
      <c r="Y160" s="4537"/>
      <c r="Z160" s="1559"/>
      <c r="AA160" s="62"/>
      <c r="AB160" s="62"/>
      <c r="AC160" s="62"/>
      <c r="AD160" s="62"/>
    </row>
    <row r="161" spans="1:30" s="14" customFormat="1" ht="15" customHeight="1" x14ac:dyDescent="0.35">
      <c r="A161" s="1559"/>
      <c r="B161" s="4506"/>
      <c r="C161" s="4507"/>
      <c r="D161" s="4507"/>
      <c r="E161" s="4507"/>
      <c r="F161" s="4507"/>
      <c r="G161" s="4507"/>
      <c r="H161" s="4507"/>
      <c r="I161" s="4507"/>
      <c r="J161" s="4507"/>
      <c r="K161" s="4507"/>
      <c r="L161" s="4507"/>
      <c r="M161" s="4507"/>
      <c r="N161" s="4508"/>
      <c r="O161" s="4523" t="s">
        <v>184</v>
      </c>
      <c r="P161" s="4523"/>
      <c r="Q161" s="4523"/>
      <c r="R161" s="4523"/>
      <c r="S161" s="4523"/>
      <c r="T161" s="4523"/>
      <c r="U161" s="4513">
        <f>SUM(U143:Y159)</f>
        <v>13.571428571428571</v>
      </c>
      <c r="V161" s="4513"/>
      <c r="W161" s="4513"/>
      <c r="X161" s="4513"/>
      <c r="Y161" s="4513"/>
      <c r="Z161" s="1559"/>
      <c r="AA161" s="62"/>
      <c r="AB161" s="62"/>
      <c r="AC161" s="62"/>
      <c r="AD161" s="62"/>
    </row>
    <row r="162" spans="1:30" s="14" customFormat="1" ht="46.5" customHeight="1" x14ac:dyDescent="0.35">
      <c r="A162" s="1559"/>
      <c r="B162" s="4509"/>
      <c r="C162" s="4510"/>
      <c r="D162" s="4510"/>
      <c r="E162" s="4510"/>
      <c r="F162" s="4510"/>
      <c r="G162" s="4510"/>
      <c r="H162" s="4510"/>
      <c r="I162" s="4510"/>
      <c r="J162" s="4510"/>
      <c r="K162" s="4510"/>
      <c r="L162" s="4510"/>
      <c r="M162" s="4510"/>
      <c r="N162" s="4511"/>
      <c r="O162" s="4523" t="s">
        <v>218</v>
      </c>
      <c r="P162" s="4523"/>
      <c r="Q162" s="4523"/>
      <c r="R162" s="4523"/>
      <c r="S162" s="4523"/>
      <c r="T162" s="4523"/>
      <c r="U162" s="4513">
        <f>U161/AD162</f>
        <v>3.3928571428571428</v>
      </c>
      <c r="V162" s="4513"/>
      <c r="W162" s="4514" t="str">
        <f>IF(ROUND(U162,0)=1,"Sangat Tidak Memenuhi Syarat",IF(ROUND(U162,0)=2,"Kurang Memenuhi Syarat",IF(ROUND(U162,0)=3,"Cukup Memenuhi Syarat",IF(ROUND(U162,0)=4,"Memenuhi Syarat",IF(ROUND(U162,0)=5,"Sangat Memenuhi Syarat")))))</f>
        <v>Cukup Memenuhi Syarat</v>
      </c>
      <c r="X162" s="4514"/>
      <c r="Y162" s="4514"/>
      <c r="Z162" s="1559"/>
      <c r="AA162" s="62"/>
      <c r="AB162" s="62"/>
      <c r="AC162" s="62"/>
      <c r="AD162" s="62">
        <f>COUNTIF(U143:Y159,"&gt;0")</f>
        <v>4</v>
      </c>
    </row>
    <row r="163" spans="1:30" s="14" customFormat="1" ht="15" customHeight="1" x14ac:dyDescent="0.35">
      <c r="A163" s="1559"/>
      <c r="B163" s="2386"/>
      <c r="C163" s="2386"/>
      <c r="D163" s="2386"/>
      <c r="E163" s="2386"/>
      <c r="F163" s="2386"/>
      <c r="G163" s="2386"/>
      <c r="H163" s="2386"/>
      <c r="I163" s="2386"/>
      <c r="J163" s="2386"/>
      <c r="K163" s="2386"/>
      <c r="L163" s="2386"/>
      <c r="M163" s="2386"/>
      <c r="N163" s="2386"/>
      <c r="O163" s="596"/>
      <c r="P163" s="596"/>
      <c r="Q163" s="596"/>
      <c r="R163" s="596"/>
      <c r="S163" s="596"/>
      <c r="T163" s="596"/>
      <c r="U163" s="597"/>
      <c r="V163" s="597"/>
      <c r="W163" s="597"/>
      <c r="X163" s="597"/>
      <c r="Y163" s="597"/>
      <c r="Z163" s="1559"/>
      <c r="AA163" s="62"/>
      <c r="AB163" s="62"/>
      <c r="AC163" s="62"/>
      <c r="AD163" s="62"/>
    </row>
    <row r="164" spans="1:30" s="14" customFormat="1" ht="15" customHeight="1" x14ac:dyDescent="0.35">
      <c r="A164" s="1559"/>
      <c r="B164" s="2386"/>
      <c r="C164" s="2386"/>
      <c r="D164" s="2386"/>
      <c r="E164" s="2386"/>
      <c r="F164" s="2386"/>
      <c r="G164" s="2386"/>
      <c r="H164" s="2386"/>
      <c r="I164" s="2386"/>
      <c r="J164" s="2386"/>
      <c r="K164" s="2386"/>
      <c r="L164" s="2386"/>
      <c r="M164" s="2386"/>
      <c r="N164" s="2386"/>
      <c r="O164" s="596"/>
      <c r="P164" s="596"/>
      <c r="Q164" s="596"/>
      <c r="R164" s="596"/>
      <c r="S164" s="596"/>
      <c r="T164" s="596"/>
      <c r="U164" s="597"/>
      <c r="V164" s="597"/>
      <c r="W164" s="597"/>
      <c r="X164" s="597"/>
      <c r="Y164" s="599"/>
      <c r="Z164" s="1559"/>
      <c r="AA164" s="62"/>
      <c r="AB164" s="62"/>
      <c r="AC164" s="62"/>
      <c r="AD164" s="62"/>
    </row>
    <row r="165" spans="1:30" s="14" customFormat="1" ht="15" customHeight="1" x14ac:dyDescent="0.35">
      <c r="A165" s="1559"/>
      <c r="B165" s="4466" t="s">
        <v>187</v>
      </c>
      <c r="C165" s="4467"/>
      <c r="D165" s="4467"/>
      <c r="E165" s="4467"/>
      <c r="F165" s="4467"/>
      <c r="G165" s="4467"/>
      <c r="H165" s="4467"/>
      <c r="I165" s="4467"/>
      <c r="J165" s="4467"/>
      <c r="K165" s="4467"/>
      <c r="L165" s="4467"/>
      <c r="M165" s="4467"/>
      <c r="N165" s="4467"/>
      <c r="O165" s="4467"/>
      <c r="P165" s="4467"/>
      <c r="Q165" s="4467"/>
      <c r="R165" s="4467"/>
      <c r="S165" s="4467"/>
      <c r="T165" s="4467"/>
      <c r="U165" s="4467"/>
      <c r="V165" s="4467"/>
      <c r="W165" s="4467"/>
      <c r="X165" s="4467"/>
      <c r="Y165" s="4468"/>
      <c r="Z165" s="1559"/>
      <c r="AA165" s="62"/>
      <c r="AB165" s="62"/>
      <c r="AC165" s="62"/>
      <c r="AD165" s="62"/>
    </row>
    <row r="166" spans="1:30" s="17" customFormat="1" ht="15" customHeight="1" x14ac:dyDescent="0.35">
      <c r="A166" s="577"/>
      <c r="B166" s="4515" t="s">
        <v>183</v>
      </c>
      <c r="C166" s="4515"/>
      <c r="D166" s="4515"/>
      <c r="E166" s="4515"/>
      <c r="F166" s="4515"/>
      <c r="G166" s="4515"/>
      <c r="H166" s="4515"/>
      <c r="I166" s="4515"/>
      <c r="J166" s="4515"/>
      <c r="K166" s="4515"/>
      <c r="L166" s="4515"/>
      <c r="M166" s="4515"/>
      <c r="N166" s="4515"/>
      <c r="O166" s="4515"/>
      <c r="P166" s="4515"/>
      <c r="Q166" s="4515"/>
      <c r="R166" s="4515"/>
      <c r="S166" s="4515"/>
      <c r="T166" s="4515"/>
      <c r="U166" s="4517" t="s">
        <v>276</v>
      </c>
      <c r="V166" s="4518"/>
      <c r="W166" s="4518"/>
      <c r="X166" s="4518"/>
      <c r="Y166" s="4519"/>
      <c r="Z166" s="577"/>
      <c r="AA166" s="2426"/>
      <c r="AB166" s="2426"/>
      <c r="AC166" s="2426"/>
      <c r="AD166" s="2426"/>
    </row>
    <row r="167" spans="1:30" s="17" customFormat="1" ht="15" customHeight="1" x14ac:dyDescent="0.35">
      <c r="A167" s="577"/>
      <c r="B167" s="4515"/>
      <c r="C167" s="4515"/>
      <c r="D167" s="4515"/>
      <c r="E167" s="4515"/>
      <c r="F167" s="4515"/>
      <c r="G167" s="4515"/>
      <c r="H167" s="4515"/>
      <c r="I167" s="4515"/>
      <c r="J167" s="4515"/>
      <c r="K167" s="4515"/>
      <c r="L167" s="4515"/>
      <c r="M167" s="4515"/>
      <c r="N167" s="4515"/>
      <c r="O167" s="4515"/>
      <c r="P167" s="4515"/>
      <c r="Q167" s="4515"/>
      <c r="R167" s="4515"/>
      <c r="S167" s="4515"/>
      <c r="T167" s="4516"/>
      <c r="U167" s="4520"/>
      <c r="V167" s="4521"/>
      <c r="W167" s="4521"/>
      <c r="X167" s="4521"/>
      <c r="Y167" s="4522"/>
      <c r="Z167" s="577"/>
      <c r="AA167" s="2426"/>
      <c r="AB167" s="2426"/>
      <c r="AC167" s="2426"/>
      <c r="AD167" s="2426"/>
    </row>
    <row r="168" spans="1:30" s="14" customFormat="1" ht="15" customHeight="1" x14ac:dyDescent="0.35">
      <c r="A168" s="1559"/>
      <c r="B168" s="1560">
        <v>1</v>
      </c>
      <c r="C168" s="4495" t="s">
        <v>138</v>
      </c>
      <c r="D168" s="4495"/>
      <c r="E168" s="4495"/>
      <c r="F168" s="4495"/>
      <c r="G168" s="4495"/>
      <c r="H168" s="4495"/>
      <c r="I168" s="4495"/>
      <c r="J168" s="4495"/>
      <c r="K168" s="4495"/>
      <c r="L168" s="4495"/>
      <c r="M168" s="4495"/>
      <c r="N168" s="4495"/>
      <c r="O168" s="4495"/>
      <c r="P168" s="4495"/>
      <c r="Q168" s="4495"/>
      <c r="R168" s="4495"/>
      <c r="S168" s="4495"/>
      <c r="T168" s="4495"/>
      <c r="U168" s="4496">
        <f>'FKS(PAP-03)'!T382</f>
        <v>4.25</v>
      </c>
      <c r="V168" s="4497"/>
      <c r="W168" s="4497"/>
      <c r="X168" s="4497"/>
      <c r="Y168" s="4498"/>
      <c r="Z168" s="1559"/>
      <c r="AA168" s="62"/>
      <c r="AB168" s="62"/>
      <c r="AC168" s="62"/>
      <c r="AD168" s="62"/>
    </row>
    <row r="169" spans="1:30" s="14" customFormat="1" ht="15" customHeight="1" x14ac:dyDescent="0.35">
      <c r="A169" s="1559"/>
      <c r="B169" s="3915"/>
      <c r="C169" s="4505" t="str">
        <f>'FKS(PAP-03)'!D380</f>
        <v>Berdasarkan hasil veriikasi diketahui bahwa lokasi usaha bertetap di area kawasan industri, tepatnya di  Jl. Rungkut Kidul Industri Surabaya, dimana disekelilingnya terdapat beberapa usaha sejenis (leasing &amp; BPR). Kondisi tempat usaha dapat dikatakan sangat layak, dengan kondisi terawat, Perijinan lokasi perusahaan telah memenuhi syarat sebagai mana diatur dalam ketentuan pemerintah. Mengenai status kepemilikan lokasi usaha,telah menjadi milik perusahaan. Kondisi lokasi usaha dengan skor rata-rata 4.25</v>
      </c>
      <c r="D169" s="4505"/>
      <c r="E169" s="4505"/>
      <c r="F169" s="4505"/>
      <c r="G169" s="4505"/>
      <c r="H169" s="4505"/>
      <c r="I169" s="4505"/>
      <c r="J169" s="4505"/>
      <c r="K169" s="4505"/>
      <c r="L169" s="4505"/>
      <c r="M169" s="4505"/>
      <c r="N169" s="4505"/>
      <c r="O169" s="4505"/>
      <c r="P169" s="4505"/>
      <c r="Q169" s="4505"/>
      <c r="R169" s="4505"/>
      <c r="S169" s="4505"/>
      <c r="T169" s="4505"/>
      <c r="U169" s="4499"/>
      <c r="V169" s="4500"/>
      <c r="W169" s="4500"/>
      <c r="X169" s="4500"/>
      <c r="Y169" s="4501"/>
      <c r="Z169" s="1559"/>
      <c r="AA169" s="62"/>
      <c r="AB169" s="62"/>
      <c r="AC169" s="62"/>
      <c r="AD169" s="62"/>
    </row>
    <row r="170" spans="1:30" s="14" customFormat="1" ht="15" customHeight="1" x14ac:dyDescent="0.35">
      <c r="A170" s="1559"/>
      <c r="B170" s="3926"/>
      <c r="C170" s="4505"/>
      <c r="D170" s="4505"/>
      <c r="E170" s="4505"/>
      <c r="F170" s="4505"/>
      <c r="G170" s="4505"/>
      <c r="H170" s="4505"/>
      <c r="I170" s="4505"/>
      <c r="J170" s="4505"/>
      <c r="K170" s="4505"/>
      <c r="L170" s="4505"/>
      <c r="M170" s="4505"/>
      <c r="N170" s="4505"/>
      <c r="O170" s="4505"/>
      <c r="P170" s="4505"/>
      <c r="Q170" s="4505"/>
      <c r="R170" s="4505"/>
      <c r="S170" s="4505"/>
      <c r="T170" s="4505"/>
      <c r="U170" s="4499"/>
      <c r="V170" s="4500"/>
      <c r="W170" s="4500"/>
      <c r="X170" s="4500"/>
      <c r="Y170" s="4501"/>
      <c r="Z170" s="1559"/>
      <c r="AA170" s="62"/>
      <c r="AB170" s="62"/>
      <c r="AC170" s="62"/>
      <c r="AD170" s="62"/>
    </row>
    <row r="171" spans="1:30" s="14" customFormat="1" ht="15" customHeight="1" x14ac:dyDescent="0.35">
      <c r="A171" s="1559"/>
      <c r="B171" s="3926"/>
      <c r="C171" s="4505"/>
      <c r="D171" s="4505"/>
      <c r="E171" s="4505"/>
      <c r="F171" s="4505"/>
      <c r="G171" s="4505"/>
      <c r="H171" s="4505"/>
      <c r="I171" s="4505"/>
      <c r="J171" s="4505"/>
      <c r="K171" s="4505"/>
      <c r="L171" s="4505"/>
      <c r="M171" s="4505"/>
      <c r="N171" s="4505"/>
      <c r="O171" s="4505"/>
      <c r="P171" s="4505"/>
      <c r="Q171" s="4505"/>
      <c r="R171" s="4505"/>
      <c r="S171" s="4505"/>
      <c r="T171" s="4505"/>
      <c r="U171" s="4499"/>
      <c r="V171" s="4500"/>
      <c r="W171" s="4500"/>
      <c r="X171" s="4500"/>
      <c r="Y171" s="4501"/>
      <c r="Z171" s="1559"/>
      <c r="AA171" s="62"/>
      <c r="AB171" s="62"/>
      <c r="AC171" s="62"/>
      <c r="AD171" s="62"/>
    </row>
    <row r="172" spans="1:30" s="14" customFormat="1" ht="69.75" customHeight="1" x14ac:dyDescent="0.35">
      <c r="A172" s="1559"/>
      <c r="B172" s="3916"/>
      <c r="C172" s="4505"/>
      <c r="D172" s="4505"/>
      <c r="E172" s="4505"/>
      <c r="F172" s="4505"/>
      <c r="G172" s="4505"/>
      <c r="H172" s="4505"/>
      <c r="I172" s="4505"/>
      <c r="J172" s="4505"/>
      <c r="K172" s="4505"/>
      <c r="L172" s="4505"/>
      <c r="M172" s="4505"/>
      <c r="N172" s="4505"/>
      <c r="O172" s="4505"/>
      <c r="P172" s="4505"/>
      <c r="Q172" s="4505"/>
      <c r="R172" s="4505"/>
      <c r="S172" s="4505"/>
      <c r="T172" s="4505"/>
      <c r="U172" s="4502"/>
      <c r="V172" s="4503"/>
      <c r="W172" s="4503"/>
      <c r="X172" s="4503"/>
      <c r="Y172" s="4504"/>
      <c r="Z172" s="1559"/>
      <c r="AA172" s="62"/>
      <c r="AB172" s="62"/>
      <c r="AC172" s="62"/>
      <c r="AD172" s="62"/>
    </row>
    <row r="173" spans="1:30" s="14" customFormat="1" ht="15" customHeight="1" x14ac:dyDescent="0.35">
      <c r="A173" s="1559"/>
      <c r="B173" s="1560">
        <v>2</v>
      </c>
      <c r="C173" s="4495" t="s">
        <v>144</v>
      </c>
      <c r="D173" s="4495"/>
      <c r="E173" s="4495"/>
      <c r="F173" s="4495"/>
      <c r="G173" s="4495"/>
      <c r="H173" s="4495"/>
      <c r="I173" s="4495"/>
      <c r="J173" s="4495"/>
      <c r="K173" s="4495"/>
      <c r="L173" s="4495"/>
      <c r="M173" s="4495"/>
      <c r="N173" s="4495"/>
      <c r="O173" s="4495"/>
      <c r="P173" s="4495"/>
      <c r="Q173" s="4495"/>
      <c r="R173" s="4495"/>
      <c r="S173" s="4495"/>
      <c r="T173" s="4495"/>
      <c r="U173" s="4496">
        <f>'FKS(PAP-03)'!T430</f>
        <v>3.8333333333333335</v>
      </c>
      <c r="V173" s="4497"/>
      <c r="W173" s="4497"/>
      <c r="X173" s="4497"/>
      <c r="Y173" s="4498"/>
      <c r="Z173" s="1559"/>
      <c r="AA173" s="62"/>
      <c r="AB173" s="62"/>
      <c r="AC173" s="62"/>
      <c r="AD173" s="62"/>
    </row>
    <row r="174" spans="1:30" s="14" customFormat="1" ht="15" customHeight="1" x14ac:dyDescent="0.35">
      <c r="A174" s="1559"/>
      <c r="B174" s="3915"/>
      <c r="C174" s="4505" t="str">
        <f>'FKS(PAP-03)'!D428</f>
        <v>Terkait dengan kondisi sarana/peralatan diketahui bahwa dibandingkan dengan perusahaan sejenis jumlahnya telah diatas rata-rata, dengan kapasitas pemakaian mencapai 80%.  Sarana yang digunakan juga terbilang modern. 'Semua pegawai menggunakan PC sebagai penunjang pekerjaan di perusahaan.'Kondisi Brankas dalam keadaan baik dan sudah memenuhi stadar serta memiliki tingkat keamaan yang sangat baik, 'salah satu keunggulan yang dimiliki oleh perusaahaan adalah Layanan jemput bola ke nasabah/debitur/Nasabah, sehingga membuat nasabah merasa sangat di bantu dan mudah dalam proses transaksi keuangannya. Skor rata-rata kondisi peralatan adalah 3,83</v>
      </c>
      <c r="D174" s="4505"/>
      <c r="E174" s="4505"/>
      <c r="F174" s="4505"/>
      <c r="G174" s="4505"/>
      <c r="H174" s="4505"/>
      <c r="I174" s="4505"/>
      <c r="J174" s="4505"/>
      <c r="K174" s="4505"/>
      <c r="L174" s="4505"/>
      <c r="M174" s="4505"/>
      <c r="N174" s="4505"/>
      <c r="O174" s="4505"/>
      <c r="P174" s="4505"/>
      <c r="Q174" s="4505"/>
      <c r="R174" s="4505"/>
      <c r="S174" s="4505"/>
      <c r="T174" s="4505"/>
      <c r="U174" s="4499"/>
      <c r="V174" s="4500"/>
      <c r="W174" s="4500"/>
      <c r="X174" s="4500"/>
      <c r="Y174" s="4501"/>
      <c r="Z174" s="1559"/>
      <c r="AA174" s="62"/>
      <c r="AB174" s="62"/>
      <c r="AC174" s="62"/>
      <c r="AD174" s="62"/>
    </row>
    <row r="175" spans="1:30" s="14" customFormat="1" ht="15" customHeight="1" x14ac:dyDescent="0.35">
      <c r="A175" s="1559"/>
      <c r="B175" s="3926"/>
      <c r="C175" s="4505"/>
      <c r="D175" s="4505"/>
      <c r="E175" s="4505"/>
      <c r="F175" s="4505"/>
      <c r="G175" s="4505"/>
      <c r="H175" s="4505"/>
      <c r="I175" s="4505"/>
      <c r="J175" s="4505"/>
      <c r="K175" s="4505"/>
      <c r="L175" s="4505"/>
      <c r="M175" s="4505"/>
      <c r="N175" s="4505"/>
      <c r="O175" s="4505"/>
      <c r="P175" s="4505"/>
      <c r="Q175" s="4505"/>
      <c r="R175" s="4505"/>
      <c r="S175" s="4505"/>
      <c r="T175" s="4505"/>
      <c r="U175" s="4499"/>
      <c r="V175" s="4500"/>
      <c r="W175" s="4500"/>
      <c r="X175" s="4500"/>
      <c r="Y175" s="4501"/>
      <c r="Z175" s="1559"/>
      <c r="AA175" s="62"/>
      <c r="AB175" s="62"/>
      <c r="AC175" s="62"/>
      <c r="AD175" s="62"/>
    </row>
    <row r="176" spans="1:30" s="14" customFormat="1" ht="96" customHeight="1" x14ac:dyDescent="0.35">
      <c r="A176" s="1559"/>
      <c r="B176" s="3916"/>
      <c r="C176" s="4505"/>
      <c r="D176" s="4505"/>
      <c r="E176" s="4505"/>
      <c r="F176" s="4505"/>
      <c r="G176" s="4505"/>
      <c r="H176" s="4505"/>
      <c r="I176" s="4505"/>
      <c r="J176" s="4505"/>
      <c r="K176" s="4505"/>
      <c r="L176" s="4505"/>
      <c r="M176" s="4505"/>
      <c r="N176" s="4505"/>
      <c r="O176" s="4505"/>
      <c r="P176" s="4505"/>
      <c r="Q176" s="4505"/>
      <c r="R176" s="4505"/>
      <c r="S176" s="4505"/>
      <c r="T176" s="4505"/>
      <c r="U176" s="4502"/>
      <c r="V176" s="4503"/>
      <c r="W176" s="4503"/>
      <c r="X176" s="4503"/>
      <c r="Y176" s="4504"/>
      <c r="Z176" s="1559"/>
      <c r="AA176" s="62"/>
      <c r="AB176" s="62"/>
      <c r="AC176" s="62"/>
      <c r="AD176" s="62"/>
    </row>
    <row r="177" spans="1:30" s="14" customFormat="1" ht="15" customHeight="1" x14ac:dyDescent="0.35">
      <c r="A177" s="1559"/>
      <c r="B177" s="4506"/>
      <c r="C177" s="4507"/>
      <c r="D177" s="4507"/>
      <c r="E177" s="4507"/>
      <c r="F177" s="4507"/>
      <c r="G177" s="4507"/>
      <c r="H177" s="4507"/>
      <c r="I177" s="4507"/>
      <c r="J177" s="4507"/>
      <c r="K177" s="4507"/>
      <c r="L177" s="4507"/>
      <c r="M177" s="4507"/>
      <c r="N177" s="4508"/>
      <c r="O177" s="4512" t="s">
        <v>184</v>
      </c>
      <c r="P177" s="4512"/>
      <c r="Q177" s="4512"/>
      <c r="R177" s="4512"/>
      <c r="S177" s="4512"/>
      <c r="T177" s="4512"/>
      <c r="U177" s="4513">
        <f>SUM(U168:Y176)</f>
        <v>8.0833333333333339</v>
      </c>
      <c r="V177" s="4513"/>
      <c r="W177" s="4513"/>
      <c r="X177" s="4513"/>
      <c r="Y177" s="4513"/>
      <c r="Z177" s="1559"/>
      <c r="AA177" s="62"/>
      <c r="AB177" s="62"/>
      <c r="AC177" s="62"/>
      <c r="AD177" s="62"/>
    </row>
    <row r="178" spans="1:30" s="14" customFormat="1" ht="50.25" customHeight="1" x14ac:dyDescent="0.35">
      <c r="A178" s="1559"/>
      <c r="B178" s="4509"/>
      <c r="C178" s="4510"/>
      <c r="D178" s="4510"/>
      <c r="E178" s="4510"/>
      <c r="F178" s="4510"/>
      <c r="G178" s="4510"/>
      <c r="H178" s="4510"/>
      <c r="I178" s="4510"/>
      <c r="J178" s="4510"/>
      <c r="K178" s="4510"/>
      <c r="L178" s="4510"/>
      <c r="M178" s="4510"/>
      <c r="N178" s="4511"/>
      <c r="O178" s="4512" t="s">
        <v>182</v>
      </c>
      <c r="P178" s="4512"/>
      <c r="Q178" s="4512"/>
      <c r="R178" s="4512"/>
      <c r="S178" s="4512"/>
      <c r="T178" s="4512"/>
      <c r="U178" s="4513">
        <f>U177/AD178</f>
        <v>4.041666666666667</v>
      </c>
      <c r="V178" s="4513"/>
      <c r="W178" s="4514" t="str">
        <f>IF(ROUND(U178,0)=1,"Sangat Tidak Memenuhi Syarat",IF(ROUND(U178,0)=2,"Kurang Memenuhi Syarat",IF(ROUND(U178,0)=3,"Cukup Memenuhi Syarat",IF(ROUND(U178,0)=4,"Memenuhi Syarat",IF(ROUND(U178,0)=5,"Sangat Memenuhi Syarat")))))</f>
        <v>Memenuhi Syarat</v>
      </c>
      <c r="X178" s="4514"/>
      <c r="Y178" s="4514"/>
      <c r="Z178" s="1559"/>
      <c r="AA178" s="62"/>
      <c r="AB178" s="62"/>
      <c r="AC178" s="62"/>
      <c r="AD178" s="2324">
        <f>COUNTIF(U168:Y176,"&gt;0")</f>
        <v>2</v>
      </c>
    </row>
    <row r="179" spans="1:30" s="14" customFormat="1" ht="15" customHeight="1" x14ac:dyDescent="0.35">
      <c r="A179" s="1559"/>
      <c r="B179" s="2386"/>
      <c r="C179" s="2386"/>
      <c r="D179" s="2386"/>
      <c r="E179" s="2386"/>
      <c r="F179" s="2386"/>
      <c r="G179" s="2386"/>
      <c r="H179" s="2386"/>
      <c r="I179" s="2386"/>
      <c r="J179" s="2386"/>
      <c r="K179" s="2386"/>
      <c r="L179" s="2386"/>
      <c r="M179" s="2386"/>
      <c r="N179" s="2386"/>
      <c r="O179" s="596"/>
      <c r="P179" s="596"/>
      <c r="Q179" s="596"/>
      <c r="R179" s="596"/>
      <c r="S179" s="596"/>
      <c r="T179" s="596"/>
      <c r="U179" s="598"/>
      <c r="V179" s="598"/>
      <c r="W179" s="598"/>
      <c r="X179" s="598"/>
      <c r="Y179" s="598"/>
      <c r="Z179" s="1559"/>
      <c r="AA179" s="62"/>
      <c r="AB179" s="62"/>
      <c r="AC179" s="62"/>
      <c r="AD179" s="2324"/>
    </row>
    <row r="180" spans="1:30" s="14" customFormat="1" ht="15" customHeight="1" x14ac:dyDescent="0.35">
      <c r="A180" s="1559"/>
      <c r="B180" s="2386"/>
      <c r="C180" s="2386"/>
      <c r="D180" s="2386"/>
      <c r="E180" s="2386"/>
      <c r="F180" s="2386"/>
      <c r="G180" s="2386"/>
      <c r="H180" s="2386"/>
      <c r="I180" s="2386"/>
      <c r="J180" s="2386"/>
      <c r="K180" s="2386"/>
      <c r="L180" s="2386"/>
      <c r="M180" s="2386"/>
      <c r="N180" s="2386"/>
      <c r="O180" s="596"/>
      <c r="P180" s="596"/>
      <c r="Q180" s="596"/>
      <c r="R180" s="596"/>
      <c r="S180" s="596"/>
      <c r="T180" s="596"/>
      <c r="U180" s="597"/>
      <c r="V180" s="597"/>
      <c r="W180" s="597"/>
      <c r="X180" s="597"/>
      <c r="Y180" s="597"/>
      <c r="Z180" s="1559"/>
      <c r="AA180" s="62"/>
      <c r="AB180" s="62"/>
      <c r="AC180" s="62"/>
      <c r="AD180" s="2324"/>
    </row>
    <row r="181" spans="1:30" s="14" customFormat="1" ht="15" customHeight="1" x14ac:dyDescent="0.35">
      <c r="A181" s="1559"/>
      <c r="B181" s="4466" t="s">
        <v>188</v>
      </c>
      <c r="C181" s="4467"/>
      <c r="D181" s="4467"/>
      <c r="E181" s="4467"/>
      <c r="F181" s="4467"/>
      <c r="G181" s="4467"/>
      <c r="H181" s="4467"/>
      <c r="I181" s="4467"/>
      <c r="J181" s="4467"/>
      <c r="K181" s="4467"/>
      <c r="L181" s="4467"/>
      <c r="M181" s="4467"/>
      <c r="N181" s="4467"/>
      <c r="O181" s="4467"/>
      <c r="P181" s="4467"/>
      <c r="Q181" s="4467"/>
      <c r="R181" s="4467"/>
      <c r="S181" s="4467"/>
      <c r="T181" s="4467"/>
      <c r="U181" s="4467"/>
      <c r="V181" s="4467"/>
      <c r="W181" s="4467"/>
      <c r="X181" s="4467"/>
      <c r="Y181" s="4468"/>
      <c r="Z181" s="1559"/>
      <c r="AA181" s="62"/>
      <c r="AB181" s="62"/>
      <c r="AC181" s="62"/>
      <c r="AD181" s="2324"/>
    </row>
    <row r="182" spans="1:30" s="14" customFormat="1" ht="15" customHeight="1" x14ac:dyDescent="0.35">
      <c r="A182" s="1559"/>
      <c r="B182" s="4469" t="str">
        <f>'FAK(PAP-02)'!A21</f>
        <v>Secara umum kondisi keuangan perusahaan masuk dalam kategori cukup baik, dengan nilai rata-rata sebesar 4,00. Ditinjau dari analisa pernyataan rugi laba diketahui bahwa perusahaan memilki profitabilitas yang baik. Sementara dari sisi neraca keuangan diketahui bahwa beberapa rasio utama seperti DER, ROE, ROA   dalam kondisi baik, hanya rasio CR saja yang perlu perhatian.</v>
      </c>
      <c r="C182" s="4470"/>
      <c r="D182" s="4470"/>
      <c r="E182" s="4470"/>
      <c r="F182" s="4470"/>
      <c r="G182" s="4470"/>
      <c r="H182" s="4470"/>
      <c r="I182" s="4470"/>
      <c r="J182" s="4470"/>
      <c r="K182" s="4470"/>
      <c r="L182" s="4470"/>
      <c r="M182" s="4470"/>
      <c r="N182" s="4471"/>
      <c r="O182" s="4475" t="s">
        <v>182</v>
      </c>
      <c r="P182" s="4476"/>
      <c r="Q182" s="4476"/>
      <c r="R182" s="4476"/>
      <c r="S182" s="4476"/>
      <c r="T182" s="4477"/>
      <c r="U182" s="4481">
        <f>'FAK(PAP-02)'!H23</f>
        <v>4</v>
      </c>
      <c r="V182" s="4482"/>
      <c r="W182" s="4485" t="str">
        <f>IF(ROUND(U182,0)=1,"Sangat Tidak Memenuhi Syarat",IF(ROUND(U182,0)=2,"Kurang Memenuhi Syarat",IF(ROUND(U182,0)=3,"Cukup Memenuhi Syarat",IF(ROUND(U182,0)=4,"Memenuhi Syarat",IF(ROUND(U182,0)=5,"Sangat Memenuhi Syarat")))))</f>
        <v>Memenuhi Syarat</v>
      </c>
      <c r="X182" s="4486"/>
      <c r="Y182" s="4487"/>
      <c r="Z182" s="1559"/>
      <c r="AA182" s="62"/>
      <c r="AB182" s="62"/>
      <c r="AC182" s="62"/>
      <c r="AD182" s="62"/>
    </row>
    <row r="183" spans="1:30" s="14" customFormat="1" ht="96" customHeight="1" x14ac:dyDescent="0.35">
      <c r="A183" s="1559"/>
      <c r="B183" s="4472"/>
      <c r="C183" s="4473"/>
      <c r="D183" s="4473"/>
      <c r="E183" s="4473"/>
      <c r="F183" s="4473"/>
      <c r="G183" s="4473"/>
      <c r="H183" s="4473"/>
      <c r="I183" s="4473"/>
      <c r="J183" s="4473"/>
      <c r="K183" s="4473"/>
      <c r="L183" s="4473"/>
      <c r="M183" s="4473"/>
      <c r="N183" s="4474"/>
      <c r="O183" s="4478"/>
      <c r="P183" s="4479"/>
      <c r="Q183" s="4479"/>
      <c r="R183" s="4479"/>
      <c r="S183" s="4479"/>
      <c r="T183" s="4480"/>
      <c r="U183" s="4483"/>
      <c r="V183" s="4484"/>
      <c r="W183" s="4488"/>
      <c r="X183" s="4489"/>
      <c r="Y183" s="4490"/>
      <c r="Z183" s="1559"/>
      <c r="AA183" s="62"/>
      <c r="AB183" s="62"/>
      <c r="AC183" s="62"/>
      <c r="AD183" s="62"/>
    </row>
    <row r="184" spans="1:30" s="14" customFormat="1" ht="15" customHeight="1" x14ac:dyDescent="0.35">
      <c r="A184" s="1559"/>
      <c r="B184" s="578"/>
      <c r="C184" s="578"/>
      <c r="D184" s="578"/>
      <c r="E184" s="579"/>
      <c r="F184" s="578"/>
      <c r="G184" s="578"/>
      <c r="H184" s="578"/>
      <c r="I184" s="578"/>
      <c r="J184" s="578"/>
      <c r="K184" s="578"/>
      <c r="L184" s="578"/>
      <c r="M184" s="578"/>
      <c r="N184" s="578"/>
      <c r="O184" s="578"/>
      <c r="P184" s="578"/>
      <c r="Q184" s="578"/>
      <c r="R184" s="578"/>
      <c r="S184" s="578"/>
      <c r="T184" s="578"/>
      <c r="U184" s="578"/>
      <c r="V184" s="578"/>
      <c r="W184" s="578"/>
      <c r="X184" s="578"/>
      <c r="Y184" s="578"/>
      <c r="Z184" s="1559"/>
      <c r="AA184" s="62"/>
      <c r="AB184" s="62"/>
      <c r="AC184" s="62"/>
      <c r="AD184" s="62"/>
    </row>
    <row r="185" spans="1:30" s="7" customFormat="1" ht="15.75" thickBot="1" x14ac:dyDescent="0.4">
      <c r="A185" s="132"/>
      <c r="B185" s="144"/>
      <c r="C185" s="144"/>
      <c r="D185" s="144"/>
      <c r="E185" s="144"/>
      <c r="F185" s="144"/>
      <c r="G185" s="144"/>
      <c r="H185" s="144"/>
      <c r="I185" s="144"/>
      <c r="J185" s="144"/>
      <c r="K185" s="144"/>
      <c r="L185" s="144"/>
      <c r="M185" s="144"/>
      <c r="N185" s="144"/>
      <c r="O185" s="144"/>
      <c r="P185" s="144"/>
      <c r="Q185" s="144"/>
      <c r="R185" s="132"/>
      <c r="S185" s="132"/>
      <c r="T185" s="132"/>
      <c r="U185" s="132"/>
      <c r="V185" s="132"/>
      <c r="W185" s="132"/>
      <c r="X185" s="132"/>
      <c r="Y185" s="132"/>
      <c r="Z185" s="132"/>
      <c r="AA185" s="60"/>
      <c r="AB185" s="60"/>
      <c r="AC185" s="60"/>
      <c r="AD185" s="60"/>
    </row>
    <row r="186" spans="1:30" s="37" customFormat="1" ht="15.75" thickBot="1" x14ac:dyDescent="0.4">
      <c r="A186" s="431"/>
      <c r="B186" s="4491" t="s">
        <v>189</v>
      </c>
      <c r="C186" s="4492"/>
      <c r="D186" s="4492"/>
      <c r="E186" s="4492"/>
      <c r="F186" s="4492"/>
      <c r="G186" s="4492"/>
      <c r="H186" s="4492"/>
      <c r="I186" s="4492"/>
      <c r="J186" s="4492"/>
      <c r="K186" s="4492"/>
      <c r="L186" s="4492"/>
      <c r="M186" s="4492"/>
      <c r="N186" s="4492"/>
      <c r="O186" s="4492"/>
      <c r="P186" s="4492"/>
      <c r="Q186" s="4492"/>
      <c r="R186" s="4493"/>
      <c r="S186" s="4493"/>
      <c r="T186" s="4493"/>
      <c r="U186" s="4493"/>
      <c r="V186" s="4493"/>
      <c r="W186" s="4493"/>
      <c r="X186" s="4493"/>
      <c r="Y186" s="4494"/>
      <c r="Z186" s="431"/>
      <c r="AA186" s="2429"/>
      <c r="AB186" s="2429"/>
      <c r="AC186" s="2429"/>
      <c r="AD186" s="2429"/>
    </row>
    <row r="187" spans="1:30" s="37" customFormat="1" ht="15" x14ac:dyDescent="0.35">
      <c r="A187" s="431"/>
      <c r="B187" s="618"/>
      <c r="C187" s="614"/>
      <c r="D187" s="614"/>
      <c r="E187" s="614"/>
      <c r="F187" s="614"/>
      <c r="G187" s="614"/>
      <c r="H187" s="614"/>
      <c r="I187" s="614"/>
      <c r="J187" s="614"/>
      <c r="K187" s="614"/>
      <c r="L187" s="614"/>
      <c r="M187" s="614"/>
      <c r="N187" s="614"/>
      <c r="O187" s="614"/>
      <c r="P187" s="614"/>
      <c r="Q187" s="614"/>
      <c r="R187" s="614"/>
      <c r="S187" s="614"/>
      <c r="T187" s="614"/>
      <c r="U187" s="614"/>
      <c r="V187" s="614"/>
      <c r="W187" s="614"/>
      <c r="X187" s="614"/>
      <c r="Y187" s="619"/>
      <c r="Z187" s="431"/>
      <c r="AA187" s="2429"/>
      <c r="AB187" s="2429"/>
      <c r="AC187" s="2429"/>
      <c r="AD187" s="2429"/>
    </row>
    <row r="188" spans="1:30" s="37" customFormat="1" ht="15.75" thickBot="1" x14ac:dyDescent="0.4">
      <c r="A188" s="431"/>
      <c r="B188" s="620" t="s">
        <v>59</v>
      </c>
      <c r="C188" s="4456" t="s">
        <v>62</v>
      </c>
      <c r="D188" s="4456"/>
      <c r="E188" s="4456"/>
      <c r="F188" s="4456"/>
      <c r="G188" s="4456"/>
      <c r="H188" s="4456"/>
      <c r="I188" s="4456"/>
      <c r="J188" s="4456"/>
      <c r="K188" s="4456"/>
      <c r="L188" s="4456"/>
      <c r="M188" s="4456"/>
      <c r="N188" s="4456"/>
      <c r="O188" s="4456"/>
      <c r="P188" s="4456"/>
      <c r="Q188" s="4456"/>
      <c r="R188" s="615"/>
      <c r="S188" s="615"/>
      <c r="T188" s="615"/>
      <c r="U188" s="615"/>
      <c r="V188" s="615"/>
      <c r="W188" s="615"/>
      <c r="X188" s="615"/>
      <c r="Y188" s="621"/>
      <c r="Z188" s="431"/>
      <c r="AA188" s="2429"/>
      <c r="AB188" s="2429"/>
      <c r="AC188" s="2429"/>
      <c r="AD188" s="2429"/>
    </row>
    <row r="189" spans="1:30" s="37" customFormat="1" ht="27.75" customHeight="1" x14ac:dyDescent="0.35">
      <c r="A189" s="431"/>
      <c r="B189" s="622"/>
      <c r="C189" s="4457" t="s">
        <v>987</v>
      </c>
      <c r="D189" s="4458"/>
      <c r="E189" s="4458"/>
      <c r="F189" s="4458"/>
      <c r="G189" s="4458"/>
      <c r="H189" s="4458"/>
      <c r="I189" s="4458"/>
      <c r="J189" s="4458"/>
      <c r="K189" s="4458"/>
      <c r="L189" s="4458"/>
      <c r="M189" s="4458"/>
      <c r="N189" s="4458"/>
      <c r="O189" s="4458"/>
      <c r="P189" s="4458"/>
      <c r="Q189" s="4458"/>
      <c r="R189" s="4458"/>
      <c r="S189" s="4458"/>
      <c r="T189" s="4458"/>
      <c r="U189" s="4458"/>
      <c r="V189" s="4458"/>
      <c r="W189" s="4458"/>
      <c r="X189" s="4459"/>
      <c r="Y189" s="623"/>
      <c r="Z189" s="431"/>
      <c r="AA189" s="2429"/>
      <c r="AB189" s="2429"/>
      <c r="AC189" s="2429"/>
      <c r="AD189" s="2429"/>
    </row>
    <row r="190" spans="1:30" s="37" customFormat="1" ht="75.75" customHeight="1" thickBot="1" x14ac:dyDescent="0.4">
      <c r="A190" s="431"/>
      <c r="B190" s="622"/>
      <c r="C190" s="4460"/>
      <c r="D190" s="4461"/>
      <c r="E190" s="4461"/>
      <c r="F190" s="4461"/>
      <c r="G190" s="4461"/>
      <c r="H190" s="4461"/>
      <c r="I190" s="4461"/>
      <c r="J190" s="4461"/>
      <c r="K190" s="4461"/>
      <c r="L190" s="4461"/>
      <c r="M190" s="4461"/>
      <c r="N190" s="4461"/>
      <c r="O190" s="4461"/>
      <c r="P190" s="4461"/>
      <c r="Q190" s="4461"/>
      <c r="R190" s="4461"/>
      <c r="S190" s="4461"/>
      <c r="T190" s="4461"/>
      <c r="U190" s="4461"/>
      <c r="V190" s="4461"/>
      <c r="W190" s="4461"/>
      <c r="X190" s="4462"/>
      <c r="Y190" s="623"/>
      <c r="Z190" s="431"/>
      <c r="AA190" s="2429"/>
      <c r="AB190" s="2429"/>
      <c r="AC190" s="2429"/>
      <c r="AD190" s="2429"/>
    </row>
    <row r="191" spans="1:30" s="37" customFormat="1" ht="13.5" customHeight="1" thickBot="1" x14ac:dyDescent="0.4">
      <c r="A191" s="431"/>
      <c r="B191" s="622"/>
      <c r="C191" s="616"/>
      <c r="D191" s="616"/>
      <c r="E191" s="616"/>
      <c r="F191" s="616"/>
      <c r="G191" s="616"/>
      <c r="H191" s="616"/>
      <c r="I191" s="616"/>
      <c r="J191" s="616"/>
      <c r="K191" s="616"/>
      <c r="L191" s="616"/>
      <c r="M191" s="616"/>
      <c r="N191" s="616"/>
      <c r="O191" s="616"/>
      <c r="P191" s="616"/>
      <c r="Q191" s="616"/>
      <c r="R191" s="617"/>
      <c r="S191" s="617"/>
      <c r="T191" s="617"/>
      <c r="U191" s="617"/>
      <c r="V191" s="617"/>
      <c r="W191" s="617"/>
      <c r="X191" s="617"/>
      <c r="Y191" s="623"/>
      <c r="Z191" s="431"/>
      <c r="AA191" s="2429"/>
      <c r="AB191" s="2429"/>
      <c r="AC191" s="2429"/>
      <c r="AD191" s="2429"/>
    </row>
    <row r="192" spans="1:30" s="37" customFormat="1" ht="37.5" customHeight="1" x14ac:dyDescent="0.35">
      <c r="A192" s="431"/>
      <c r="B192" s="622"/>
      <c r="C192" s="4457" t="s">
        <v>988</v>
      </c>
      <c r="D192" s="4458"/>
      <c r="E192" s="4458"/>
      <c r="F192" s="4458"/>
      <c r="G192" s="4458"/>
      <c r="H192" s="4458"/>
      <c r="I192" s="4458"/>
      <c r="J192" s="4458"/>
      <c r="K192" s="4458"/>
      <c r="L192" s="4458"/>
      <c r="M192" s="4458"/>
      <c r="N192" s="4458"/>
      <c r="O192" s="4458"/>
      <c r="P192" s="4458"/>
      <c r="Q192" s="4458"/>
      <c r="R192" s="4458"/>
      <c r="S192" s="4458"/>
      <c r="T192" s="4458"/>
      <c r="U192" s="4458"/>
      <c r="V192" s="4458"/>
      <c r="W192" s="4458"/>
      <c r="X192" s="4459"/>
      <c r="Y192" s="623"/>
      <c r="Z192" s="431"/>
      <c r="AA192" s="2429"/>
      <c r="AB192" s="2429"/>
      <c r="AC192" s="2429"/>
      <c r="AD192" s="2429"/>
    </row>
    <row r="193" spans="1:30" s="37" customFormat="1" ht="59.25" customHeight="1" thickBot="1" x14ac:dyDescent="0.4">
      <c r="A193" s="431"/>
      <c r="B193" s="622"/>
      <c r="C193" s="4460"/>
      <c r="D193" s="4461"/>
      <c r="E193" s="4461"/>
      <c r="F193" s="4461"/>
      <c r="G193" s="4461"/>
      <c r="H193" s="4461"/>
      <c r="I193" s="4461"/>
      <c r="J193" s="4461"/>
      <c r="K193" s="4461"/>
      <c r="L193" s="4461"/>
      <c r="M193" s="4461"/>
      <c r="N193" s="4461"/>
      <c r="O193" s="4461"/>
      <c r="P193" s="4461"/>
      <c r="Q193" s="4461"/>
      <c r="R193" s="4461"/>
      <c r="S193" s="4461"/>
      <c r="T193" s="4461"/>
      <c r="U193" s="4461"/>
      <c r="V193" s="4461"/>
      <c r="W193" s="4461"/>
      <c r="X193" s="4462"/>
      <c r="Y193" s="623"/>
      <c r="Z193" s="431"/>
      <c r="AA193" s="2429"/>
      <c r="AB193" s="2429"/>
      <c r="AC193" s="2429"/>
      <c r="AD193" s="2430"/>
    </row>
    <row r="194" spans="1:30" s="37" customFormat="1" ht="16.5" customHeight="1" x14ac:dyDescent="0.35">
      <c r="A194" s="431"/>
      <c r="B194" s="622"/>
      <c r="C194" s="615"/>
      <c r="D194" s="615"/>
      <c r="E194" s="615"/>
      <c r="F194" s="615"/>
      <c r="G194" s="615"/>
      <c r="H194" s="615"/>
      <c r="I194" s="615"/>
      <c r="J194" s="615"/>
      <c r="K194" s="615"/>
      <c r="L194" s="615"/>
      <c r="M194" s="615"/>
      <c r="N194" s="615"/>
      <c r="O194" s="615"/>
      <c r="P194" s="615"/>
      <c r="Q194" s="615"/>
      <c r="R194" s="615"/>
      <c r="S194" s="615"/>
      <c r="T194" s="615"/>
      <c r="U194" s="615"/>
      <c r="V194" s="615"/>
      <c r="W194" s="615"/>
      <c r="X194" s="615"/>
      <c r="Y194" s="623"/>
      <c r="Z194" s="586"/>
      <c r="AA194" s="2429"/>
      <c r="AB194" s="2429"/>
      <c r="AC194" s="2429"/>
      <c r="AD194" s="2429"/>
    </row>
    <row r="195" spans="1:30" s="37" customFormat="1" ht="17.25" customHeight="1" thickBot="1" x14ac:dyDescent="0.4">
      <c r="A195" s="431"/>
      <c r="B195" s="622" t="s">
        <v>60</v>
      </c>
      <c r="C195" s="4456" t="s">
        <v>63</v>
      </c>
      <c r="D195" s="4456"/>
      <c r="E195" s="4456"/>
      <c r="F195" s="4456"/>
      <c r="G195" s="4456"/>
      <c r="H195" s="4456"/>
      <c r="I195" s="615"/>
      <c r="J195" s="615"/>
      <c r="K195" s="615"/>
      <c r="L195" s="615"/>
      <c r="M195" s="615"/>
      <c r="N195" s="615"/>
      <c r="O195" s="615"/>
      <c r="P195" s="615"/>
      <c r="Q195" s="615"/>
      <c r="R195" s="615"/>
      <c r="S195" s="615"/>
      <c r="T195" s="615"/>
      <c r="U195" s="615"/>
      <c r="V195" s="615"/>
      <c r="W195" s="615"/>
      <c r="X195" s="615"/>
      <c r="Y195" s="623"/>
      <c r="Z195" s="586"/>
      <c r="AA195" s="2429"/>
      <c r="AB195" s="2429"/>
      <c r="AC195" s="2429"/>
      <c r="AD195" s="2429"/>
    </row>
    <row r="196" spans="1:30" s="37" customFormat="1" ht="25.5" customHeight="1" x14ac:dyDescent="0.35">
      <c r="A196" s="431"/>
      <c r="B196" s="622"/>
      <c r="C196" s="4457" t="s">
        <v>462</v>
      </c>
      <c r="D196" s="4458"/>
      <c r="E196" s="4458"/>
      <c r="F196" s="4458"/>
      <c r="G196" s="4458"/>
      <c r="H196" s="4458"/>
      <c r="I196" s="4458"/>
      <c r="J196" s="4458"/>
      <c r="K196" s="4458"/>
      <c r="L196" s="4458"/>
      <c r="M196" s="4458"/>
      <c r="N196" s="4458"/>
      <c r="O196" s="4458"/>
      <c r="P196" s="4458"/>
      <c r="Q196" s="4458"/>
      <c r="R196" s="4458"/>
      <c r="S196" s="4458"/>
      <c r="T196" s="4458"/>
      <c r="U196" s="4458"/>
      <c r="V196" s="4458"/>
      <c r="W196" s="4458"/>
      <c r="X196" s="4459"/>
      <c r="Y196" s="623"/>
      <c r="Z196" s="586"/>
      <c r="AA196" s="2429"/>
      <c r="AB196" s="2429"/>
      <c r="AC196" s="2429"/>
      <c r="AD196" s="2429"/>
    </row>
    <row r="197" spans="1:30" s="37" customFormat="1" ht="78.75" customHeight="1" thickBot="1" x14ac:dyDescent="0.4">
      <c r="A197" s="431"/>
      <c r="B197" s="622"/>
      <c r="C197" s="4460"/>
      <c r="D197" s="4461"/>
      <c r="E197" s="4461"/>
      <c r="F197" s="4461"/>
      <c r="G197" s="4461"/>
      <c r="H197" s="4461"/>
      <c r="I197" s="4461"/>
      <c r="J197" s="4461"/>
      <c r="K197" s="4461"/>
      <c r="L197" s="4461"/>
      <c r="M197" s="4461"/>
      <c r="N197" s="4461"/>
      <c r="O197" s="4461"/>
      <c r="P197" s="4461"/>
      <c r="Q197" s="4461"/>
      <c r="R197" s="4461"/>
      <c r="S197" s="4461"/>
      <c r="T197" s="4461"/>
      <c r="U197" s="4461"/>
      <c r="V197" s="4461"/>
      <c r="W197" s="4461"/>
      <c r="X197" s="4462"/>
      <c r="Y197" s="623"/>
      <c r="Z197" s="586"/>
      <c r="AA197" s="2429"/>
      <c r="AB197" s="2429"/>
      <c r="AC197" s="2429"/>
      <c r="AD197" s="2429"/>
    </row>
    <row r="198" spans="1:30" s="7" customFormat="1" ht="19.5" customHeight="1" x14ac:dyDescent="0.35">
      <c r="A198" s="132"/>
      <c r="B198" s="624"/>
      <c r="C198" s="625"/>
      <c r="D198" s="625"/>
      <c r="E198" s="625"/>
      <c r="F198" s="625"/>
      <c r="G198" s="625"/>
      <c r="H198" s="625"/>
      <c r="I198" s="625"/>
      <c r="J198" s="625"/>
      <c r="K198" s="625"/>
      <c r="L198" s="625"/>
      <c r="M198" s="625"/>
      <c r="N198" s="625"/>
      <c r="O198" s="625"/>
      <c r="P198" s="625"/>
      <c r="Q198" s="625"/>
      <c r="R198" s="626"/>
      <c r="S198" s="626"/>
      <c r="T198" s="626"/>
      <c r="U198" s="626"/>
      <c r="V198" s="626"/>
      <c r="W198" s="626"/>
      <c r="X198" s="626"/>
      <c r="Y198" s="627"/>
      <c r="Z198" s="132"/>
      <c r="AA198" s="60"/>
      <c r="AB198" s="60"/>
      <c r="AC198" s="60"/>
      <c r="AD198" s="60"/>
    </row>
    <row r="199" spans="1:30" s="7" customFormat="1" ht="19.5" customHeight="1" x14ac:dyDescent="0.35">
      <c r="A199" s="132"/>
      <c r="B199" s="144"/>
      <c r="C199" s="1582"/>
      <c r="D199" s="1582"/>
      <c r="E199" s="1582"/>
      <c r="F199" s="1582"/>
      <c r="G199" s="1582"/>
      <c r="H199" s="1582"/>
      <c r="I199" s="1582"/>
      <c r="J199" s="1582"/>
      <c r="K199" s="1582"/>
      <c r="L199" s="1582"/>
      <c r="M199" s="1582"/>
      <c r="N199" s="1582"/>
      <c r="O199" s="1582"/>
      <c r="P199" s="1582"/>
      <c r="Q199" s="1582"/>
      <c r="R199" s="1583"/>
      <c r="S199" s="1583"/>
      <c r="T199" s="1583"/>
      <c r="U199" s="1583"/>
      <c r="V199" s="1583"/>
      <c r="W199" s="1583"/>
      <c r="X199" s="1583"/>
      <c r="Y199" s="1583"/>
      <c r="Z199" s="132"/>
      <c r="AA199" s="60"/>
      <c r="AB199" s="60"/>
      <c r="AC199" s="60"/>
      <c r="AD199" s="60"/>
    </row>
    <row r="200" spans="1:30" s="7" customFormat="1" ht="18.75" customHeight="1" x14ac:dyDescent="0.35">
      <c r="A200" s="132"/>
      <c r="B200" s="144"/>
      <c r="C200" s="1574"/>
      <c r="D200" s="1574"/>
      <c r="E200" s="1574"/>
      <c r="F200" s="1574"/>
      <c r="G200" s="1574"/>
      <c r="H200" s="1574"/>
      <c r="I200" s="1574"/>
      <c r="J200" s="1574"/>
      <c r="K200" s="1574"/>
      <c r="L200" s="1574"/>
      <c r="M200" s="1574"/>
      <c r="N200" s="1574"/>
      <c r="O200" s="1574"/>
      <c r="P200" s="1574"/>
      <c r="Q200" s="1574"/>
      <c r="R200" s="132"/>
      <c r="S200" s="132"/>
      <c r="T200" s="132"/>
      <c r="U200" s="132"/>
      <c r="V200" s="132"/>
      <c r="W200" s="132"/>
      <c r="X200" s="132"/>
      <c r="Y200" s="132"/>
      <c r="Z200" s="132"/>
      <c r="AA200" s="60"/>
      <c r="AB200" s="60"/>
      <c r="AC200" s="60"/>
      <c r="AD200" s="60"/>
    </row>
    <row r="201" spans="1:30" s="7" customFormat="1" ht="18.75" customHeight="1" x14ac:dyDescent="0.35">
      <c r="A201" s="132"/>
      <c r="B201" s="4463" t="s">
        <v>814</v>
      </c>
      <c r="C201" s="4464"/>
      <c r="D201" s="4464"/>
      <c r="E201" s="4464"/>
      <c r="F201" s="4464"/>
      <c r="G201" s="4464"/>
      <c r="H201" s="4464"/>
      <c r="I201" s="4464"/>
      <c r="J201" s="4464"/>
      <c r="K201" s="4464"/>
      <c r="L201" s="4464"/>
      <c r="M201" s="4464"/>
      <c r="N201" s="4464"/>
      <c r="O201" s="4464"/>
      <c r="P201" s="4464"/>
      <c r="Q201" s="4464"/>
      <c r="R201" s="4464"/>
      <c r="S201" s="4464"/>
      <c r="T201" s="4464"/>
      <c r="U201" s="4464"/>
      <c r="V201" s="4464"/>
      <c r="W201" s="4464"/>
      <c r="X201" s="4464"/>
      <c r="Y201" s="4465"/>
      <c r="Z201" s="138"/>
      <c r="AA201" s="66"/>
      <c r="AB201" s="66"/>
      <c r="AC201" s="60"/>
      <c r="AD201" s="60"/>
    </row>
    <row r="202" spans="1:30" s="7" customFormat="1" ht="15" x14ac:dyDescent="0.35">
      <c r="A202" s="132"/>
      <c r="B202" s="564"/>
      <c r="C202" s="601"/>
      <c r="D202" s="601"/>
      <c r="E202" s="601"/>
      <c r="F202" s="601"/>
      <c r="G202" s="601"/>
      <c r="H202" s="601"/>
      <c r="I202" s="601"/>
      <c r="J202" s="601"/>
      <c r="K202" s="601"/>
      <c r="L202" s="601"/>
      <c r="M202" s="601"/>
      <c r="N202" s="601"/>
      <c r="O202" s="601"/>
      <c r="P202" s="601"/>
      <c r="Q202" s="601"/>
      <c r="R202" s="601"/>
      <c r="S202" s="601"/>
      <c r="T202" s="601"/>
      <c r="U202" s="601"/>
      <c r="V202" s="601"/>
      <c r="W202" s="601"/>
      <c r="X202" s="601"/>
      <c r="Y202" s="2198"/>
      <c r="Z202" s="138"/>
      <c r="AA202" s="66"/>
      <c r="AB202" s="66"/>
      <c r="AC202" s="60"/>
      <c r="AD202" s="60"/>
    </row>
    <row r="203" spans="1:30" s="7" customFormat="1" ht="15" customHeight="1" x14ac:dyDescent="0.35">
      <c r="A203" s="132"/>
      <c r="B203" s="2438"/>
      <c r="C203" s="3431" t="s">
        <v>146</v>
      </c>
      <c r="D203" s="3431"/>
      <c r="E203" s="3431"/>
      <c r="F203" s="3431"/>
      <c r="G203" s="3431"/>
      <c r="H203" s="3431"/>
      <c r="I203" s="3431"/>
      <c r="J203" s="3431"/>
      <c r="K203" s="3431"/>
      <c r="L203" s="3431"/>
      <c r="M203" s="3431"/>
      <c r="N203" s="3431"/>
      <c r="O203" s="3431"/>
      <c r="P203" s="3431"/>
      <c r="Q203" s="3431"/>
      <c r="R203" s="4449"/>
      <c r="S203" s="4449"/>
      <c r="T203" s="4449"/>
      <c r="U203" s="4449"/>
      <c r="V203" s="4449"/>
      <c r="W203" s="4449"/>
      <c r="X203" s="4449"/>
      <c r="Y203" s="4450"/>
      <c r="Z203" s="138"/>
      <c r="AA203" s="66"/>
      <c r="AB203" s="66"/>
      <c r="AC203" s="60"/>
      <c r="AD203" s="60"/>
    </row>
    <row r="204" spans="1:30" s="7" customFormat="1" ht="15" x14ac:dyDescent="0.35">
      <c r="A204" s="132"/>
      <c r="B204" s="2438"/>
      <c r="C204" s="3431"/>
      <c r="D204" s="3431"/>
      <c r="E204" s="3431"/>
      <c r="F204" s="3431"/>
      <c r="G204" s="3431"/>
      <c r="H204" s="3431"/>
      <c r="I204" s="3431"/>
      <c r="J204" s="3431"/>
      <c r="K204" s="3431"/>
      <c r="L204" s="3431"/>
      <c r="M204" s="3431"/>
      <c r="N204" s="3431"/>
      <c r="O204" s="3431"/>
      <c r="P204" s="3431"/>
      <c r="Q204" s="3431"/>
      <c r="R204" s="4449"/>
      <c r="S204" s="4449"/>
      <c r="T204" s="4449"/>
      <c r="U204" s="4449"/>
      <c r="V204" s="4449"/>
      <c r="W204" s="4449"/>
      <c r="X204" s="4449"/>
      <c r="Y204" s="4450"/>
      <c r="Z204" s="138"/>
      <c r="AA204" s="66"/>
      <c r="AB204" s="66"/>
      <c r="AC204" s="60"/>
      <c r="AD204" s="60"/>
    </row>
    <row r="205" spans="1:30" s="7" customFormat="1" ht="15" x14ac:dyDescent="0.35">
      <c r="A205" s="132"/>
      <c r="B205" s="2438"/>
      <c r="C205" s="3431"/>
      <c r="D205" s="3431"/>
      <c r="E205" s="3431"/>
      <c r="F205" s="3431"/>
      <c r="G205" s="3431"/>
      <c r="H205" s="3431"/>
      <c r="I205" s="3431"/>
      <c r="J205" s="3431"/>
      <c r="K205" s="3431"/>
      <c r="L205" s="3431"/>
      <c r="M205" s="3431"/>
      <c r="N205" s="3431"/>
      <c r="O205" s="3431"/>
      <c r="P205" s="3431"/>
      <c r="Q205" s="3431"/>
      <c r="R205" s="4449"/>
      <c r="S205" s="4449"/>
      <c r="T205" s="4449"/>
      <c r="U205" s="4449"/>
      <c r="V205" s="4449"/>
      <c r="W205" s="4449"/>
      <c r="X205" s="4449"/>
      <c r="Y205" s="4450"/>
      <c r="Z205" s="138"/>
      <c r="AA205" s="66"/>
      <c r="AB205" s="66"/>
      <c r="AC205" s="60"/>
      <c r="AD205" s="60"/>
    </row>
    <row r="206" spans="1:30" s="7" customFormat="1" ht="15" x14ac:dyDescent="0.35">
      <c r="A206" s="132"/>
      <c r="B206" s="564"/>
      <c r="C206" s="601"/>
      <c r="D206" s="601"/>
      <c r="E206" s="601"/>
      <c r="F206" s="601"/>
      <c r="G206" s="601"/>
      <c r="H206" s="601"/>
      <c r="I206" s="601"/>
      <c r="J206" s="601"/>
      <c r="K206" s="601"/>
      <c r="L206" s="601"/>
      <c r="M206" s="601"/>
      <c r="N206" s="601"/>
      <c r="O206" s="601"/>
      <c r="P206" s="601"/>
      <c r="Q206" s="601"/>
      <c r="R206" s="601"/>
      <c r="S206" s="601"/>
      <c r="T206" s="601"/>
      <c r="U206" s="601"/>
      <c r="V206" s="601"/>
      <c r="W206" s="601"/>
      <c r="X206" s="601"/>
      <c r="Y206" s="2198"/>
      <c r="Z206" s="138"/>
      <c r="AA206" s="66"/>
      <c r="AB206" s="66"/>
      <c r="AC206" s="60"/>
      <c r="AD206" s="60"/>
    </row>
    <row r="207" spans="1:30" s="7" customFormat="1" ht="16.5" customHeight="1" x14ac:dyDescent="0.35">
      <c r="A207" s="132"/>
      <c r="B207" s="2366"/>
      <c r="C207" s="2439" t="s">
        <v>22</v>
      </c>
      <c r="D207" s="3739" t="s">
        <v>65</v>
      </c>
      <c r="E207" s="3739"/>
      <c r="F207" s="3739"/>
      <c r="G207" s="3739"/>
      <c r="H207" s="3739"/>
      <c r="I207" s="3739"/>
      <c r="J207" s="3739"/>
      <c r="K207" s="3739"/>
      <c r="L207" s="601"/>
      <c r="M207" s="601"/>
      <c r="N207" s="601" t="s">
        <v>64</v>
      </c>
      <c r="O207" s="4455">
        <f>'FAK(PAP-02)'!D182</f>
        <v>11555677009.711472</v>
      </c>
      <c r="P207" s="4455"/>
      <c r="Q207" s="4455"/>
      <c r="R207" s="4455"/>
      <c r="S207" s="4455"/>
      <c r="T207" s="4455"/>
      <c r="U207" s="4455"/>
      <c r="V207" s="4455"/>
      <c r="W207" s="601"/>
      <c r="X207" s="601"/>
      <c r="Y207" s="2198"/>
      <c r="Z207" s="138"/>
      <c r="AA207" s="66"/>
      <c r="AB207" s="66"/>
      <c r="AC207" s="60"/>
      <c r="AD207" s="60"/>
    </row>
    <row r="208" spans="1:30" s="7" customFormat="1" ht="15" x14ac:dyDescent="0.35">
      <c r="A208" s="132"/>
      <c r="B208" s="2366"/>
      <c r="C208" s="2440"/>
      <c r="D208" s="4451"/>
      <c r="E208" s="4451"/>
      <c r="F208" s="4451"/>
      <c r="G208" s="4451"/>
      <c r="H208" s="4451"/>
      <c r="I208" s="4451"/>
      <c r="J208" s="4451"/>
      <c r="K208" s="4451"/>
      <c r="L208" s="2441"/>
      <c r="M208" s="2441"/>
      <c r="N208" s="2441"/>
      <c r="O208" s="2442"/>
      <c r="P208" s="2443"/>
      <c r="Q208" s="2443"/>
      <c r="R208" s="2443"/>
      <c r="S208" s="4452"/>
      <c r="T208" s="4453"/>
      <c r="U208" s="4453"/>
      <c r="V208" s="4453"/>
      <c r="W208" s="601"/>
      <c r="X208" s="601"/>
      <c r="Y208" s="2198"/>
      <c r="Z208" s="138"/>
      <c r="AA208" s="66"/>
      <c r="AB208" s="66"/>
      <c r="AC208" s="60"/>
      <c r="AD208" s="60"/>
    </row>
    <row r="209" spans="1:30" s="7" customFormat="1" ht="15" x14ac:dyDescent="0.35">
      <c r="A209" s="132"/>
      <c r="B209" s="2366"/>
      <c r="C209" s="2441"/>
      <c r="D209" s="2441"/>
      <c r="E209" s="2441"/>
      <c r="F209" s="2441"/>
      <c r="G209" s="2441"/>
      <c r="H209" s="2441"/>
      <c r="I209" s="2441"/>
      <c r="J209" s="2441"/>
      <c r="K209" s="2441"/>
      <c r="L209" s="2441"/>
      <c r="M209" s="2441"/>
      <c r="N209" s="2441"/>
      <c r="O209" s="2441"/>
      <c r="P209" s="2441"/>
      <c r="Q209" s="2441"/>
      <c r="R209" s="2441"/>
      <c r="S209" s="2444"/>
      <c r="T209" s="2444"/>
      <c r="U209" s="2444"/>
      <c r="V209" s="2444"/>
      <c r="W209" s="601"/>
      <c r="X209" s="601"/>
      <c r="Y209" s="2198"/>
      <c r="Z209" s="138"/>
      <c r="AA209" s="66"/>
      <c r="AB209" s="66"/>
      <c r="AC209" s="60"/>
      <c r="AD209" s="60"/>
    </row>
    <row r="210" spans="1:30" s="7" customFormat="1" ht="15" x14ac:dyDescent="0.35">
      <c r="A210" s="132"/>
      <c r="B210" s="2366"/>
      <c r="C210" s="2440"/>
      <c r="D210" s="4451"/>
      <c r="E210" s="4451"/>
      <c r="F210" s="4451"/>
      <c r="G210" s="4451"/>
      <c r="H210" s="4451"/>
      <c r="I210" s="4451"/>
      <c r="J210" s="4451"/>
      <c r="K210" s="4451"/>
      <c r="L210" s="2441"/>
      <c r="M210" s="2441"/>
      <c r="N210" s="2441"/>
      <c r="O210" s="2445"/>
      <c r="P210" s="2445"/>
      <c r="Q210" s="2445"/>
      <c r="R210" s="2445"/>
      <c r="S210" s="4454"/>
      <c r="T210" s="4454"/>
      <c r="U210" s="4454"/>
      <c r="V210" s="4454"/>
      <c r="W210" s="601"/>
      <c r="X210" s="601"/>
      <c r="Y210" s="2198"/>
      <c r="Z210" s="138"/>
      <c r="AA210" s="66"/>
      <c r="AB210" s="2446"/>
      <c r="AC210" s="60"/>
      <c r="AD210" s="60"/>
    </row>
    <row r="211" spans="1:30" s="7" customFormat="1" ht="15" x14ac:dyDescent="0.35">
      <c r="A211" s="132"/>
      <c r="B211" s="2366"/>
      <c r="C211" s="2439"/>
      <c r="D211" s="4439"/>
      <c r="E211" s="4439"/>
      <c r="F211" s="4439"/>
      <c r="G211" s="4439"/>
      <c r="H211" s="4439"/>
      <c r="I211" s="4439"/>
      <c r="J211" s="4439"/>
      <c r="K211" s="4439"/>
      <c r="L211" s="601"/>
      <c r="M211" s="601"/>
      <c r="N211" s="601"/>
      <c r="O211" s="2447"/>
      <c r="P211" s="2448"/>
      <c r="Q211" s="2448"/>
      <c r="R211" s="2448"/>
      <c r="S211" s="4440"/>
      <c r="T211" s="4441"/>
      <c r="U211" s="4441"/>
      <c r="V211" s="4441"/>
      <c r="W211" s="601"/>
      <c r="X211" s="601"/>
      <c r="Y211" s="2198"/>
      <c r="Z211" s="138"/>
      <c r="AA211" s="66"/>
      <c r="AB211" s="66"/>
      <c r="AC211" s="60"/>
      <c r="AD211" s="60"/>
    </row>
    <row r="212" spans="1:30" s="7" customFormat="1" ht="15" x14ac:dyDescent="0.35">
      <c r="A212" s="132"/>
      <c r="B212" s="2366"/>
      <c r="C212" s="601"/>
      <c r="D212" s="601"/>
      <c r="E212" s="601"/>
      <c r="F212" s="601"/>
      <c r="G212" s="601"/>
      <c r="H212" s="601"/>
      <c r="I212" s="601"/>
      <c r="J212" s="601"/>
      <c r="K212" s="601"/>
      <c r="L212" s="601"/>
      <c r="M212" s="601"/>
      <c r="N212" s="601"/>
      <c r="O212" s="601"/>
      <c r="P212" s="601"/>
      <c r="Q212" s="601"/>
      <c r="R212" s="601"/>
      <c r="S212" s="601"/>
      <c r="T212" s="601"/>
      <c r="U212" s="601"/>
      <c r="V212" s="601"/>
      <c r="W212" s="601"/>
      <c r="X212" s="601"/>
      <c r="Y212" s="2198"/>
      <c r="Z212" s="138"/>
      <c r="AA212" s="66"/>
      <c r="AB212" s="66"/>
      <c r="AC212" s="60"/>
      <c r="AD212" s="60"/>
    </row>
    <row r="213" spans="1:30" s="7" customFormat="1" ht="15" x14ac:dyDescent="0.35">
      <c r="A213" s="132"/>
      <c r="B213" s="2449"/>
      <c r="C213" s="2219"/>
      <c r="D213" s="2219"/>
      <c r="E213" s="2219"/>
      <c r="F213" s="2219"/>
      <c r="G213" s="2219"/>
      <c r="H213" s="2219"/>
      <c r="I213" s="2219"/>
      <c r="J213" s="2219"/>
      <c r="K213" s="2219"/>
      <c r="L213" s="2219"/>
      <c r="M213" s="2219"/>
      <c r="N213" s="2219"/>
      <c r="O213" s="2219"/>
      <c r="P213" s="2219"/>
      <c r="Q213" s="2219"/>
      <c r="R213" s="2219"/>
      <c r="S213" s="2219"/>
      <c r="T213" s="2219"/>
      <c r="U213" s="2219"/>
      <c r="V213" s="2219"/>
      <c r="W213" s="2219"/>
      <c r="X213" s="2219"/>
      <c r="Y213" s="2450"/>
      <c r="Z213" s="138"/>
      <c r="AA213" s="66"/>
      <c r="AB213" s="66"/>
      <c r="AC213" s="60"/>
      <c r="AD213" s="60"/>
    </row>
    <row r="214" spans="1:30" s="7" customFormat="1" ht="15" x14ac:dyDescent="0.35">
      <c r="A214" s="132"/>
      <c r="B214" s="600"/>
      <c r="C214" s="2451"/>
      <c r="D214" s="2451"/>
      <c r="E214" s="2451"/>
      <c r="F214" s="2451"/>
      <c r="G214" s="2451"/>
      <c r="H214" s="2451"/>
      <c r="I214" s="2451"/>
      <c r="J214" s="2451"/>
      <c r="K214" s="2451"/>
      <c r="L214" s="2451"/>
      <c r="M214" s="2451"/>
      <c r="N214" s="2451"/>
      <c r="O214" s="2451"/>
      <c r="P214" s="2451"/>
      <c r="Q214" s="2451"/>
      <c r="R214" s="2451"/>
      <c r="S214" s="2451"/>
      <c r="T214" s="2451"/>
      <c r="U214" s="2451"/>
      <c r="V214" s="2451"/>
      <c r="W214" s="2451"/>
      <c r="X214" s="2451"/>
      <c r="Y214" s="2451"/>
      <c r="Z214" s="138"/>
      <c r="AA214" s="66"/>
      <c r="AB214" s="66"/>
      <c r="AC214" s="60"/>
      <c r="AD214" s="60"/>
    </row>
    <row r="215" spans="1:30" s="7" customFormat="1" ht="15" x14ac:dyDescent="0.35">
      <c r="A215" s="132"/>
      <c r="B215" s="600"/>
      <c r="C215" s="2451"/>
      <c r="D215" s="2451"/>
      <c r="E215" s="2451"/>
      <c r="F215" s="2451"/>
      <c r="G215" s="2451"/>
      <c r="H215" s="2451"/>
      <c r="I215" s="2451"/>
      <c r="J215" s="2451"/>
      <c r="K215" s="2451"/>
      <c r="L215" s="2451"/>
      <c r="M215" s="2451"/>
      <c r="N215" s="2451"/>
      <c r="O215" s="2451"/>
      <c r="P215" s="2451"/>
      <c r="Q215" s="2451"/>
      <c r="R215" s="2451"/>
      <c r="S215" s="2451"/>
      <c r="T215" s="2451"/>
      <c r="U215" s="2451"/>
      <c r="V215" s="2451"/>
      <c r="W215" s="2451"/>
      <c r="X215" s="2451"/>
      <c r="Y215" s="2451"/>
      <c r="Z215" s="138"/>
      <c r="AA215" s="66"/>
      <c r="AB215" s="66"/>
      <c r="AC215" s="60"/>
      <c r="AD215" s="60"/>
    </row>
    <row r="216" spans="1:30" s="7" customFormat="1" ht="15" x14ac:dyDescent="0.35">
      <c r="A216" s="132"/>
      <c r="B216" s="4442" t="s">
        <v>190</v>
      </c>
      <c r="C216" s="4442"/>
      <c r="D216" s="4442"/>
      <c r="E216" s="4442"/>
      <c r="F216" s="4442"/>
      <c r="G216" s="4442"/>
      <c r="H216" s="4442"/>
      <c r="I216" s="4442"/>
      <c r="J216" s="4442"/>
      <c r="K216" s="4442"/>
      <c r="L216" s="4442"/>
      <c r="M216" s="4442"/>
      <c r="N216" s="4442"/>
      <c r="O216" s="4442"/>
      <c r="P216" s="4442"/>
      <c r="Q216" s="4442"/>
      <c r="R216" s="4443"/>
      <c r="S216" s="4443"/>
      <c r="T216" s="4443"/>
      <c r="U216" s="4443"/>
      <c r="V216" s="4443"/>
      <c r="W216" s="4443"/>
      <c r="X216" s="4443"/>
      <c r="Y216" s="4443"/>
      <c r="Z216" s="138"/>
      <c r="AA216" s="66"/>
      <c r="AB216" s="66"/>
      <c r="AC216" s="60"/>
      <c r="AD216" s="60"/>
    </row>
    <row r="217" spans="1:30" s="7" customFormat="1" ht="15.75" thickBot="1" x14ac:dyDescent="0.4">
      <c r="A217" s="132"/>
      <c r="B217" s="600"/>
      <c r="C217" s="601"/>
      <c r="D217" s="601"/>
      <c r="E217" s="601"/>
      <c r="F217" s="601"/>
      <c r="G217" s="601"/>
      <c r="H217" s="601"/>
      <c r="I217" s="601"/>
      <c r="J217" s="601"/>
      <c r="K217" s="601"/>
      <c r="L217" s="601"/>
      <c r="M217" s="601"/>
      <c r="N217" s="601"/>
      <c r="O217" s="601"/>
      <c r="P217" s="601"/>
      <c r="Q217" s="601"/>
      <c r="R217" s="138"/>
      <c r="S217" s="138"/>
      <c r="T217" s="138"/>
      <c r="U217" s="138"/>
      <c r="V217" s="138"/>
      <c r="W217" s="138"/>
      <c r="X217" s="138"/>
      <c r="Y217" s="138"/>
      <c r="Z217" s="138"/>
      <c r="AA217" s="66"/>
      <c r="AB217" s="66"/>
      <c r="AC217" s="60"/>
      <c r="AD217" s="60"/>
    </row>
    <row r="218" spans="1:30" s="7" customFormat="1" ht="21" customHeight="1" thickBot="1" x14ac:dyDescent="0.4">
      <c r="A218" s="132"/>
      <c r="B218" s="2469" t="s">
        <v>339</v>
      </c>
      <c r="C218" s="4444" t="s">
        <v>170</v>
      </c>
      <c r="D218" s="4445"/>
      <c r="E218" s="4445"/>
      <c r="F218" s="4445"/>
      <c r="G218" s="4445"/>
      <c r="H218" s="4445"/>
      <c r="I218" s="4445"/>
      <c r="J218" s="4445"/>
      <c r="K218" s="4445"/>
      <c r="L218" s="4445"/>
      <c r="M218" s="4445"/>
      <c r="N218" s="4445"/>
      <c r="O218" s="4445"/>
      <c r="P218" s="4445"/>
      <c r="Q218" s="4445"/>
      <c r="R218" s="4445"/>
      <c r="S218" s="4445"/>
      <c r="T218" s="4445"/>
      <c r="U218" s="4445"/>
      <c r="V218" s="4445"/>
      <c r="W218" s="4445"/>
      <c r="X218" s="4446"/>
      <c r="Y218" s="4447" t="s">
        <v>345</v>
      </c>
      <c r="Z218" s="4448"/>
      <c r="AA218" s="4422" t="s">
        <v>236</v>
      </c>
      <c r="AB218" s="4423"/>
      <c r="AC218" s="60"/>
      <c r="AD218" s="60"/>
    </row>
    <row r="219" spans="1:30" s="7" customFormat="1" ht="12.75" customHeight="1" x14ac:dyDescent="0.35">
      <c r="A219" s="132"/>
      <c r="B219" s="4428">
        <v>1</v>
      </c>
      <c r="C219" s="4430" t="str">
        <f>'FIP(PAP-01)'!C29</f>
        <v>Aspek legalitas usaha memiliki skor rata-rata sebesar 4.10 dan masuk kategori penilaian 'Memenuhi Syarat'</v>
      </c>
      <c r="D219" s="4431"/>
      <c r="E219" s="4431"/>
      <c r="F219" s="4431"/>
      <c r="G219" s="4431"/>
      <c r="H219" s="4431"/>
      <c r="I219" s="4431"/>
      <c r="J219" s="4431"/>
      <c r="K219" s="4431"/>
      <c r="L219" s="4431"/>
      <c r="M219" s="4431"/>
      <c r="N219" s="4431"/>
      <c r="O219" s="4431"/>
      <c r="P219" s="4431"/>
      <c r="Q219" s="4431"/>
      <c r="R219" s="4431"/>
      <c r="S219" s="4431"/>
      <c r="T219" s="4431"/>
      <c r="U219" s="4431"/>
      <c r="V219" s="4431"/>
      <c r="W219" s="4431"/>
      <c r="X219" s="4432"/>
      <c r="Y219" s="4433">
        <f>'FIP(PAP-01)'!T31</f>
        <v>4.0999999999999996</v>
      </c>
      <c r="Z219" s="4434"/>
      <c r="AA219" s="4370">
        <f>(SUM(Y219:Z234)/AD234)</f>
        <v>3.8119047619047621</v>
      </c>
      <c r="AB219" s="4371"/>
      <c r="AC219" s="60"/>
      <c r="AD219" s="60"/>
    </row>
    <row r="220" spans="1:30" s="7" customFormat="1" ht="21" customHeight="1" thickBot="1" x14ac:dyDescent="0.3">
      <c r="A220" s="580"/>
      <c r="B220" s="4429"/>
      <c r="C220" s="4411"/>
      <c r="D220" s="4365"/>
      <c r="E220" s="4365"/>
      <c r="F220" s="4365"/>
      <c r="G220" s="4365"/>
      <c r="H220" s="4365"/>
      <c r="I220" s="4365"/>
      <c r="J220" s="4365"/>
      <c r="K220" s="4365"/>
      <c r="L220" s="4365"/>
      <c r="M220" s="4365"/>
      <c r="N220" s="4365"/>
      <c r="O220" s="4365"/>
      <c r="P220" s="4365"/>
      <c r="Q220" s="4365"/>
      <c r="R220" s="4365"/>
      <c r="S220" s="4365"/>
      <c r="T220" s="4365"/>
      <c r="U220" s="4365"/>
      <c r="V220" s="4365"/>
      <c r="W220" s="4365"/>
      <c r="X220" s="4366"/>
      <c r="Y220" s="4435"/>
      <c r="Z220" s="4436"/>
      <c r="AA220" s="4437"/>
      <c r="AB220" s="4438"/>
      <c r="AC220" s="60"/>
      <c r="AD220" s="60"/>
    </row>
    <row r="221" spans="1:30" s="7" customFormat="1" ht="12.75" customHeight="1" x14ac:dyDescent="0.35">
      <c r="A221" s="132"/>
      <c r="B221" s="4428">
        <v>2</v>
      </c>
      <c r="C221" s="4430" t="str">
        <f>'FIP(PAP-01)'!D39</f>
        <v>Aspek Hubungan dengan Penjamin memiliki skor rata-rata sebesar 3,50 dan masuk kategori penilaian 'Baik'</v>
      </c>
      <c r="D221" s="4431"/>
      <c r="E221" s="4431"/>
      <c r="F221" s="4431"/>
      <c r="G221" s="4431"/>
      <c r="H221" s="4431"/>
      <c r="I221" s="4431"/>
      <c r="J221" s="4431"/>
      <c r="K221" s="4431"/>
      <c r="L221" s="4431"/>
      <c r="M221" s="4431"/>
      <c r="N221" s="4431"/>
      <c r="O221" s="4431"/>
      <c r="P221" s="4431"/>
      <c r="Q221" s="4431"/>
      <c r="R221" s="4431"/>
      <c r="S221" s="4431"/>
      <c r="T221" s="4431"/>
      <c r="U221" s="4431"/>
      <c r="V221" s="4431"/>
      <c r="W221" s="4431"/>
      <c r="X221" s="4432"/>
      <c r="Y221" s="4433">
        <f>'FIP(PAP-01)'!T41</f>
        <v>3.5</v>
      </c>
      <c r="Z221" s="4434"/>
      <c r="AA221" s="4437"/>
      <c r="AB221" s="4438"/>
      <c r="AC221" s="60"/>
      <c r="AD221" s="60"/>
    </row>
    <row r="222" spans="1:30" s="7" customFormat="1" ht="21" customHeight="1" thickBot="1" x14ac:dyDescent="0.3">
      <c r="A222" s="580"/>
      <c r="B222" s="4429"/>
      <c r="C222" s="4411"/>
      <c r="D222" s="4365"/>
      <c r="E222" s="4365"/>
      <c r="F222" s="4365"/>
      <c r="G222" s="4365"/>
      <c r="H222" s="4365"/>
      <c r="I222" s="4365"/>
      <c r="J222" s="4365"/>
      <c r="K222" s="4365"/>
      <c r="L222" s="4365"/>
      <c r="M222" s="4365"/>
      <c r="N222" s="4365"/>
      <c r="O222" s="4365"/>
      <c r="P222" s="4365"/>
      <c r="Q222" s="4365"/>
      <c r="R222" s="4365"/>
      <c r="S222" s="4365"/>
      <c r="T222" s="4365"/>
      <c r="U222" s="4365"/>
      <c r="V222" s="4365"/>
      <c r="W222" s="4365"/>
      <c r="X222" s="4366"/>
      <c r="Y222" s="4435"/>
      <c r="Z222" s="4436"/>
      <c r="AA222" s="4437"/>
      <c r="AB222" s="4438"/>
      <c r="AC222" s="60"/>
      <c r="AD222" s="60"/>
    </row>
    <row r="223" spans="1:30" s="7" customFormat="1" ht="12.75" customHeight="1" x14ac:dyDescent="0.35">
      <c r="A223" s="132"/>
      <c r="B223" s="4428">
        <v>3</v>
      </c>
      <c r="C223" s="4430" t="str">
        <f>'FIP(PAP-01)'!C50</f>
        <v>Aspek Hubungan Antar Pemegang Saham memiliki skor rata-rata sebesar 4.00 dan masuk kategori penilaian 'Baik'</v>
      </c>
      <c r="D223" s="4431"/>
      <c r="E223" s="4431"/>
      <c r="F223" s="4431"/>
      <c r="G223" s="4431"/>
      <c r="H223" s="4431"/>
      <c r="I223" s="4431"/>
      <c r="J223" s="4431"/>
      <c r="K223" s="4431"/>
      <c r="L223" s="4431"/>
      <c r="M223" s="4431"/>
      <c r="N223" s="4431"/>
      <c r="O223" s="4431"/>
      <c r="P223" s="4431"/>
      <c r="Q223" s="4431"/>
      <c r="R223" s="4431"/>
      <c r="S223" s="4431"/>
      <c r="T223" s="4431"/>
      <c r="U223" s="4431"/>
      <c r="V223" s="4431"/>
      <c r="W223" s="4431"/>
      <c r="X223" s="4432"/>
      <c r="Y223" s="4433">
        <f>'FIP(PAP-01)'!U52</f>
        <v>4</v>
      </c>
      <c r="Z223" s="4434"/>
      <c r="AA223" s="4437"/>
      <c r="AB223" s="4438"/>
      <c r="AC223" s="60"/>
      <c r="AD223" s="60"/>
    </row>
    <row r="224" spans="1:30" s="7" customFormat="1" ht="21" customHeight="1" thickBot="1" x14ac:dyDescent="0.3">
      <c r="A224" s="580"/>
      <c r="B224" s="4429"/>
      <c r="C224" s="4411"/>
      <c r="D224" s="4365"/>
      <c r="E224" s="4365"/>
      <c r="F224" s="4365"/>
      <c r="G224" s="4365"/>
      <c r="H224" s="4365"/>
      <c r="I224" s="4365"/>
      <c r="J224" s="4365"/>
      <c r="K224" s="4365"/>
      <c r="L224" s="4365"/>
      <c r="M224" s="4365"/>
      <c r="N224" s="4365"/>
      <c r="O224" s="4365"/>
      <c r="P224" s="4365"/>
      <c r="Q224" s="4365"/>
      <c r="R224" s="4365"/>
      <c r="S224" s="4365"/>
      <c r="T224" s="4365"/>
      <c r="U224" s="4365"/>
      <c r="V224" s="4365"/>
      <c r="W224" s="4365"/>
      <c r="X224" s="4366"/>
      <c r="Y224" s="4435"/>
      <c r="Z224" s="4436"/>
      <c r="AA224" s="4437"/>
      <c r="AB224" s="4438"/>
      <c r="AC224" s="60"/>
      <c r="AD224" s="60"/>
    </row>
    <row r="225" spans="1:30" s="7" customFormat="1" ht="12.75" customHeight="1" x14ac:dyDescent="0.35">
      <c r="A225" s="132"/>
      <c r="B225" s="4428">
        <v>4</v>
      </c>
      <c r="C225" s="4430" t="str">
        <f>'FIP(PAP-01)'!C61</f>
        <v>Saat belum memiliki grup Afiliasi</v>
      </c>
      <c r="D225" s="4431"/>
      <c r="E225" s="4431"/>
      <c r="F225" s="4431"/>
      <c r="G225" s="4431"/>
      <c r="H225" s="4431"/>
      <c r="I225" s="4431"/>
      <c r="J225" s="4431"/>
      <c r="K225" s="4431"/>
      <c r="L225" s="4431"/>
      <c r="M225" s="4431"/>
      <c r="N225" s="4431"/>
      <c r="O225" s="4431"/>
      <c r="P225" s="4431"/>
      <c r="Q225" s="4431"/>
      <c r="R225" s="4431"/>
      <c r="S225" s="4431"/>
      <c r="T225" s="4431"/>
      <c r="U225" s="4431"/>
      <c r="V225" s="4431"/>
      <c r="W225" s="4431"/>
      <c r="X225" s="4432"/>
      <c r="Y225" s="4433">
        <f>'FIP(PAP-01)'!U63</f>
        <v>0</v>
      </c>
      <c r="Z225" s="4434"/>
      <c r="AA225" s="4437"/>
      <c r="AB225" s="4438"/>
      <c r="AC225" s="60"/>
      <c r="AD225" s="60"/>
    </row>
    <row r="226" spans="1:30" s="7" customFormat="1" ht="21" customHeight="1" thickBot="1" x14ac:dyDescent="0.3">
      <c r="A226" s="580"/>
      <c r="B226" s="4429"/>
      <c r="C226" s="4411"/>
      <c r="D226" s="4365"/>
      <c r="E226" s="4365"/>
      <c r="F226" s="4365"/>
      <c r="G226" s="4365"/>
      <c r="H226" s="4365"/>
      <c r="I226" s="4365"/>
      <c r="J226" s="4365"/>
      <c r="K226" s="4365"/>
      <c r="L226" s="4365"/>
      <c r="M226" s="4365"/>
      <c r="N226" s="4365"/>
      <c r="O226" s="4365"/>
      <c r="P226" s="4365"/>
      <c r="Q226" s="4365"/>
      <c r="R226" s="4365"/>
      <c r="S226" s="4365"/>
      <c r="T226" s="4365"/>
      <c r="U226" s="4365"/>
      <c r="V226" s="4365"/>
      <c r="W226" s="4365"/>
      <c r="X226" s="4366"/>
      <c r="Y226" s="4435"/>
      <c r="Z226" s="4436"/>
      <c r="AA226" s="4437"/>
      <c r="AB226" s="4438"/>
      <c r="AC226" s="60"/>
      <c r="AD226" s="60"/>
    </row>
    <row r="227" spans="1:30" s="7" customFormat="1" ht="24" customHeight="1" x14ac:dyDescent="0.35">
      <c r="A227" s="132"/>
      <c r="B227" s="4409">
        <v>5</v>
      </c>
      <c r="C227" s="4411" t="str">
        <f>'FIP(PAP-01)'!C81</f>
        <v>Secara umum rating manajemen ditinjau dari aspek integritas karakter, pengalaman, luasnya pengetahuan dan keterampilan dan masuk dalam kategori penilaian Cukup Memenuhi Syarat, dengan skor rata-rata 3,33</v>
      </c>
      <c r="D227" s="4365"/>
      <c r="E227" s="4365"/>
      <c r="F227" s="4365"/>
      <c r="G227" s="4365"/>
      <c r="H227" s="4365"/>
      <c r="I227" s="4365"/>
      <c r="J227" s="4365"/>
      <c r="K227" s="4365"/>
      <c r="L227" s="4365"/>
      <c r="M227" s="4365"/>
      <c r="N227" s="4365"/>
      <c r="O227" s="4365"/>
      <c r="P227" s="4365"/>
      <c r="Q227" s="4365"/>
      <c r="R227" s="4365"/>
      <c r="S227" s="4365"/>
      <c r="T227" s="4365"/>
      <c r="U227" s="4365"/>
      <c r="V227" s="4365"/>
      <c r="W227" s="4365"/>
      <c r="X227" s="4366"/>
      <c r="Y227" s="4433">
        <f>'FIP(PAP-01)'!U83</f>
        <v>3.3333333333333335</v>
      </c>
      <c r="Z227" s="4434"/>
      <c r="AA227" s="4437"/>
      <c r="AB227" s="4438"/>
      <c r="AC227" s="60"/>
      <c r="AD227" s="60"/>
    </row>
    <row r="228" spans="1:30" s="7" customFormat="1" ht="24" customHeight="1" thickBot="1" x14ac:dyDescent="0.4">
      <c r="A228" s="132"/>
      <c r="B228" s="4429"/>
      <c r="C228" s="4411"/>
      <c r="D228" s="4365"/>
      <c r="E228" s="4365"/>
      <c r="F228" s="4365"/>
      <c r="G228" s="4365"/>
      <c r="H228" s="4365"/>
      <c r="I228" s="4365"/>
      <c r="J228" s="4365"/>
      <c r="K228" s="4365"/>
      <c r="L228" s="4365"/>
      <c r="M228" s="4365"/>
      <c r="N228" s="4365"/>
      <c r="O228" s="4365"/>
      <c r="P228" s="4365"/>
      <c r="Q228" s="4365"/>
      <c r="R228" s="4365"/>
      <c r="S228" s="4365"/>
      <c r="T228" s="4365"/>
      <c r="U228" s="4365"/>
      <c r="V228" s="4365"/>
      <c r="W228" s="4365"/>
      <c r="X228" s="4366"/>
      <c r="Y228" s="4435"/>
      <c r="Z228" s="4436"/>
      <c r="AA228" s="4437"/>
      <c r="AB228" s="4438"/>
      <c r="AC228" s="60"/>
      <c r="AD228" s="60"/>
    </row>
    <row r="229" spans="1:30" s="7" customFormat="1" ht="21.75" customHeight="1" x14ac:dyDescent="0.35">
      <c r="A229" s="132"/>
      <c r="B229" s="4409">
        <v>6</v>
      </c>
      <c r="C229" s="4411" t="str">
        <f>'FIP(PAP-01)'!B95</f>
        <v>Informasi yang kami peroleh, perusahaan calon mitra masuk dalam kategori penilaian sangat Memenuhi Syarat dengan skor rata-rata adalah 5</v>
      </c>
      <c r="D229" s="4365"/>
      <c r="E229" s="4365"/>
      <c r="F229" s="4365"/>
      <c r="G229" s="4365"/>
      <c r="H229" s="4365"/>
      <c r="I229" s="4365"/>
      <c r="J229" s="4365"/>
      <c r="K229" s="4365"/>
      <c r="L229" s="4365"/>
      <c r="M229" s="4365"/>
      <c r="N229" s="4365"/>
      <c r="O229" s="4365"/>
      <c r="P229" s="4365"/>
      <c r="Q229" s="4365"/>
      <c r="R229" s="4365"/>
      <c r="S229" s="4365"/>
      <c r="T229" s="4365"/>
      <c r="U229" s="4365"/>
      <c r="V229" s="4365"/>
      <c r="W229" s="4365"/>
      <c r="X229" s="4366"/>
      <c r="Y229" s="4433">
        <f>'FIP(PAP-01)'!U97</f>
        <v>5</v>
      </c>
      <c r="Z229" s="4434"/>
      <c r="AA229" s="4437"/>
      <c r="AB229" s="4438"/>
      <c r="AC229" s="60"/>
      <c r="AD229" s="60"/>
    </row>
    <row r="230" spans="1:30" s="7" customFormat="1" ht="24.75" customHeight="1" thickBot="1" x14ac:dyDescent="0.4">
      <c r="A230" s="132"/>
      <c r="B230" s="4429"/>
      <c r="C230" s="4411"/>
      <c r="D230" s="4365"/>
      <c r="E230" s="4365"/>
      <c r="F230" s="4365"/>
      <c r="G230" s="4365"/>
      <c r="H230" s="4365"/>
      <c r="I230" s="4365"/>
      <c r="J230" s="4365"/>
      <c r="K230" s="4365"/>
      <c r="L230" s="4365"/>
      <c r="M230" s="4365"/>
      <c r="N230" s="4365"/>
      <c r="O230" s="4365"/>
      <c r="P230" s="4365"/>
      <c r="Q230" s="4365"/>
      <c r="R230" s="4365"/>
      <c r="S230" s="4365"/>
      <c r="T230" s="4365"/>
      <c r="U230" s="4365"/>
      <c r="V230" s="4365"/>
      <c r="W230" s="4365"/>
      <c r="X230" s="4366"/>
      <c r="Y230" s="4435"/>
      <c r="Z230" s="4436"/>
      <c r="AA230" s="4437"/>
      <c r="AB230" s="4438"/>
      <c r="AC230" s="60"/>
      <c r="AD230" s="60"/>
    </row>
    <row r="231" spans="1:30" s="7" customFormat="1" ht="27" customHeight="1" x14ac:dyDescent="0.35">
      <c r="A231" s="132"/>
      <c r="B231" s="4409">
        <v>7</v>
      </c>
      <c r="C231" s="4411" t="str">
        <f>'FIP(PAP-01)'!C113</f>
        <v xml:space="preserve"> Berdasarkan hasil verifikasi diketahui besarnya kas rata-rata adalah 183.4% dari laba operational. Sementara rata-rata pertumbuhan piutang adalah 9.45% dari total penjualan bersih. Total pertumbuhan tabungan/simpanan 17.3% adalah  dan Pertumbuhan Modal mencapai 16.2%. Secara umum hal ini menunjukkan posisi keuangan perusahaan dalam kondisi memenuhi syarat.  </v>
      </c>
      <c r="D231" s="4365"/>
      <c r="E231" s="4365"/>
      <c r="F231" s="4365"/>
      <c r="G231" s="4365"/>
      <c r="H231" s="4365"/>
      <c r="I231" s="4365"/>
      <c r="J231" s="4365"/>
      <c r="K231" s="4365"/>
      <c r="L231" s="4365"/>
      <c r="M231" s="4365"/>
      <c r="N231" s="4365"/>
      <c r="O231" s="4365"/>
      <c r="P231" s="4365"/>
      <c r="Q231" s="4365"/>
      <c r="R231" s="4365"/>
      <c r="S231" s="4365"/>
      <c r="T231" s="4365"/>
      <c r="U231" s="4365"/>
      <c r="V231" s="4365"/>
      <c r="W231" s="4365"/>
      <c r="X231" s="4366"/>
      <c r="Y231" s="4415">
        <f>'FIP(PAP-01)'!U115</f>
        <v>3.75</v>
      </c>
      <c r="Z231" s="4416"/>
      <c r="AA231" s="4437"/>
      <c r="AB231" s="4438"/>
      <c r="AC231" s="60"/>
      <c r="AD231" s="60"/>
    </row>
    <row r="232" spans="1:30" s="7" customFormat="1" ht="54" customHeight="1" thickBot="1" x14ac:dyDescent="0.4">
      <c r="A232" s="132"/>
      <c r="B232" s="4429"/>
      <c r="C232" s="4411"/>
      <c r="D232" s="4365"/>
      <c r="E232" s="4365"/>
      <c r="F232" s="4365"/>
      <c r="G232" s="4365"/>
      <c r="H232" s="4365"/>
      <c r="I232" s="4365"/>
      <c r="J232" s="4365"/>
      <c r="K232" s="4365"/>
      <c r="L232" s="4365"/>
      <c r="M232" s="4365"/>
      <c r="N232" s="4365"/>
      <c r="O232" s="4365"/>
      <c r="P232" s="4365"/>
      <c r="Q232" s="4365"/>
      <c r="R232" s="4365"/>
      <c r="S232" s="4365"/>
      <c r="T232" s="4365"/>
      <c r="U232" s="4365"/>
      <c r="V232" s="4365"/>
      <c r="W232" s="4365"/>
      <c r="X232" s="4366"/>
      <c r="Y232" s="4417"/>
      <c r="Z232" s="4418"/>
      <c r="AA232" s="4437"/>
      <c r="AB232" s="4438"/>
      <c r="AC232" s="60"/>
      <c r="AD232" s="60"/>
    </row>
    <row r="233" spans="1:30" s="7" customFormat="1" ht="24.75" customHeight="1" x14ac:dyDescent="0.35">
      <c r="A233" s="132"/>
      <c r="B233" s="4409">
        <v>8</v>
      </c>
      <c r="C233" s="4411" t="str">
        <f>'FIP(PAP-01)'!C128</f>
        <v>Agunan yang digunakan menggunakan piutang lancar, dimana saat ini berdasarkan neraca pertanggal 30 juni 2018 sebesar Rp.49.332.554.985,71,</v>
      </c>
      <c r="D233" s="4365"/>
      <c r="E233" s="4365"/>
      <c r="F233" s="4365"/>
      <c r="G233" s="4365"/>
      <c r="H233" s="4365"/>
      <c r="I233" s="4365"/>
      <c r="J233" s="4365"/>
      <c r="K233" s="4365"/>
      <c r="L233" s="4365"/>
      <c r="M233" s="4365"/>
      <c r="N233" s="4365"/>
      <c r="O233" s="4365"/>
      <c r="P233" s="4365"/>
      <c r="Q233" s="4365"/>
      <c r="R233" s="4365"/>
      <c r="S233" s="4365"/>
      <c r="T233" s="4365"/>
      <c r="U233" s="4365"/>
      <c r="V233" s="4365"/>
      <c r="W233" s="4365"/>
      <c r="X233" s="4366"/>
      <c r="Y233" s="4415">
        <f>'FIP(PAP-01)'!U130</f>
        <v>3</v>
      </c>
      <c r="Z233" s="4416"/>
      <c r="AA233" s="4437"/>
      <c r="AB233" s="4438"/>
      <c r="AC233" s="60"/>
      <c r="AD233" s="60"/>
    </row>
    <row r="234" spans="1:30" s="7" customFormat="1" ht="24.75" customHeight="1" thickBot="1" x14ac:dyDescent="0.4">
      <c r="A234" s="132"/>
      <c r="B234" s="4410"/>
      <c r="C234" s="4412"/>
      <c r="D234" s="4413"/>
      <c r="E234" s="4413"/>
      <c r="F234" s="4413"/>
      <c r="G234" s="4413"/>
      <c r="H234" s="4413"/>
      <c r="I234" s="4413"/>
      <c r="J234" s="4413"/>
      <c r="K234" s="4413"/>
      <c r="L234" s="4413"/>
      <c r="M234" s="4413"/>
      <c r="N234" s="4413"/>
      <c r="O234" s="4413"/>
      <c r="P234" s="4413"/>
      <c r="Q234" s="4413"/>
      <c r="R234" s="4413"/>
      <c r="S234" s="4413"/>
      <c r="T234" s="4413"/>
      <c r="U234" s="4413"/>
      <c r="V234" s="4413"/>
      <c r="W234" s="4413"/>
      <c r="X234" s="4414"/>
      <c r="Y234" s="4417"/>
      <c r="Z234" s="4418"/>
      <c r="AA234" s="4372"/>
      <c r="AB234" s="4373"/>
      <c r="AC234" s="60"/>
      <c r="AD234" s="2324">
        <f>COUNTIF(Y219:Z234,"&gt;0")</f>
        <v>7</v>
      </c>
    </row>
    <row r="235" spans="1:30" s="7" customFormat="1" ht="24" customHeight="1" thickBot="1" x14ac:dyDescent="0.4">
      <c r="A235" s="132"/>
      <c r="B235" s="602"/>
      <c r="C235" s="603"/>
      <c r="D235" s="603"/>
      <c r="E235" s="603"/>
      <c r="F235" s="603"/>
      <c r="G235" s="603"/>
      <c r="H235" s="603"/>
      <c r="I235" s="603"/>
      <c r="J235" s="603"/>
      <c r="K235" s="604"/>
      <c r="L235" s="604"/>
      <c r="M235" s="560"/>
      <c r="N235" s="560"/>
      <c r="O235" s="560"/>
      <c r="P235" s="560"/>
      <c r="Q235" s="560"/>
      <c r="R235" s="560"/>
      <c r="S235" s="560"/>
      <c r="T235" s="560"/>
      <c r="U235" s="560"/>
      <c r="V235" s="560"/>
      <c r="W235" s="560"/>
      <c r="X235" s="560"/>
      <c r="Y235" s="560"/>
      <c r="Z235" s="560"/>
      <c r="AA235" s="66"/>
      <c r="AB235" s="66"/>
      <c r="AC235" s="60"/>
      <c r="AD235" s="60"/>
    </row>
    <row r="236" spans="1:30" s="7" customFormat="1" ht="24" customHeight="1" thickBot="1" x14ac:dyDescent="0.4">
      <c r="A236" s="581"/>
      <c r="B236" s="2470" t="s">
        <v>339</v>
      </c>
      <c r="C236" s="4419" t="s">
        <v>171</v>
      </c>
      <c r="D236" s="4420"/>
      <c r="E236" s="4420"/>
      <c r="F236" s="4420"/>
      <c r="G236" s="4420"/>
      <c r="H236" s="4420"/>
      <c r="I236" s="4420"/>
      <c r="J236" s="4420"/>
      <c r="K236" s="4420"/>
      <c r="L236" s="4420"/>
      <c r="M236" s="4420"/>
      <c r="N236" s="4420"/>
      <c r="O236" s="4420"/>
      <c r="P236" s="4420"/>
      <c r="Q236" s="4420"/>
      <c r="R236" s="4420"/>
      <c r="S236" s="4420"/>
      <c r="T236" s="4420"/>
      <c r="U236" s="4420"/>
      <c r="V236" s="4420"/>
      <c r="W236" s="4420"/>
      <c r="X236" s="4420"/>
      <c r="Y236" s="4420"/>
      <c r="Z236" s="4421"/>
      <c r="AA236" s="4422" t="s">
        <v>236</v>
      </c>
      <c r="AB236" s="4423"/>
      <c r="AC236" s="60"/>
      <c r="AD236" s="60"/>
    </row>
    <row r="237" spans="1:30" s="7" customFormat="1" ht="35.25" customHeight="1" x14ac:dyDescent="0.35">
      <c r="A237" s="582"/>
      <c r="B237" s="4424">
        <v>1</v>
      </c>
      <c r="C237" s="4426" t="str">
        <f>'FAK(PAP-02)'!A21</f>
        <v>Secara umum kondisi keuangan perusahaan masuk dalam kategori cukup baik, dengan nilai rata-rata sebesar 4,00. Ditinjau dari analisa pernyataan rugi laba diketahui bahwa perusahaan memilki profitabilitas yang baik. Sementara dari sisi neraca keuangan diketahui bahwa beberapa rasio utama seperti DER, ROE, ROA   dalam kondisi baik, hanya rasio CR saja yang perlu perhatian.</v>
      </c>
      <c r="D237" s="4426"/>
      <c r="E237" s="4426"/>
      <c r="F237" s="4426"/>
      <c r="G237" s="4426"/>
      <c r="H237" s="4426"/>
      <c r="I237" s="4426"/>
      <c r="J237" s="4426"/>
      <c r="K237" s="4426"/>
      <c r="L237" s="4426"/>
      <c r="M237" s="4426"/>
      <c r="N237" s="4426"/>
      <c r="O237" s="4426"/>
      <c r="P237" s="4426"/>
      <c r="Q237" s="4426"/>
      <c r="R237" s="4426"/>
      <c r="S237" s="4426"/>
      <c r="T237" s="4426"/>
      <c r="U237" s="4426"/>
      <c r="V237" s="4426"/>
      <c r="W237" s="4426"/>
      <c r="X237" s="4426"/>
      <c r="Y237" s="4426"/>
      <c r="Z237" s="4426"/>
      <c r="AA237" s="4370">
        <f>'FAK(PAP-02)'!H23</f>
        <v>4</v>
      </c>
      <c r="AB237" s="4371"/>
      <c r="AC237" s="60"/>
      <c r="AD237" s="60"/>
    </row>
    <row r="238" spans="1:30" s="7" customFormat="1" ht="35.25" customHeight="1" thickBot="1" x14ac:dyDescent="0.4">
      <c r="A238" s="583"/>
      <c r="B238" s="4425"/>
      <c r="C238" s="4427"/>
      <c r="D238" s="4427"/>
      <c r="E238" s="4427"/>
      <c r="F238" s="4427"/>
      <c r="G238" s="4427"/>
      <c r="H238" s="4427"/>
      <c r="I238" s="4427"/>
      <c r="J238" s="4427"/>
      <c r="K238" s="4427"/>
      <c r="L238" s="4427"/>
      <c r="M238" s="4427"/>
      <c r="N238" s="4427"/>
      <c r="O238" s="4427"/>
      <c r="P238" s="4427"/>
      <c r="Q238" s="4427"/>
      <c r="R238" s="4427"/>
      <c r="S238" s="4427"/>
      <c r="T238" s="4427"/>
      <c r="U238" s="4427"/>
      <c r="V238" s="4427"/>
      <c r="W238" s="4427"/>
      <c r="X238" s="4427"/>
      <c r="Y238" s="4427"/>
      <c r="Z238" s="4427"/>
      <c r="AA238" s="4372"/>
      <c r="AB238" s="4373"/>
      <c r="AC238" s="60"/>
      <c r="AD238" s="60"/>
    </row>
    <row r="239" spans="1:30" s="7" customFormat="1" ht="24" customHeight="1" thickBot="1" x14ac:dyDescent="0.4">
      <c r="A239" s="132"/>
      <c r="B239" s="602"/>
      <c r="C239" s="603"/>
      <c r="D239" s="603"/>
      <c r="E239" s="603"/>
      <c r="F239" s="603"/>
      <c r="G239" s="603"/>
      <c r="H239" s="603"/>
      <c r="I239" s="603"/>
      <c r="J239" s="603"/>
      <c r="K239" s="2458"/>
      <c r="L239" s="2458"/>
      <c r="M239" s="2456"/>
      <c r="N239" s="2456"/>
      <c r="O239" s="2456"/>
      <c r="P239" s="2456"/>
      <c r="Q239" s="2456"/>
      <c r="R239" s="2456"/>
      <c r="S239" s="2456"/>
      <c r="T239" s="2456"/>
      <c r="U239" s="2456"/>
      <c r="V239" s="2456"/>
      <c r="W239" s="2456"/>
      <c r="X239" s="2456"/>
      <c r="Y239" s="2456"/>
      <c r="Z239" s="2456"/>
      <c r="AA239" s="66"/>
      <c r="AB239" s="66"/>
      <c r="AC239" s="60"/>
      <c r="AD239" s="60"/>
    </row>
    <row r="240" spans="1:30" s="7" customFormat="1" ht="21.75" customHeight="1" thickBot="1" x14ac:dyDescent="0.4">
      <c r="A240" s="132"/>
      <c r="B240" s="2470" t="s">
        <v>339</v>
      </c>
      <c r="C240" s="4396" t="s">
        <v>172</v>
      </c>
      <c r="D240" s="4397"/>
      <c r="E240" s="4397"/>
      <c r="F240" s="4397"/>
      <c r="G240" s="4397"/>
      <c r="H240" s="4397"/>
      <c r="I240" s="4397"/>
      <c r="J240" s="4397"/>
      <c r="K240" s="4397"/>
      <c r="L240" s="4397"/>
      <c r="M240" s="4397"/>
      <c r="N240" s="4397"/>
      <c r="O240" s="4397"/>
      <c r="P240" s="4397"/>
      <c r="Q240" s="4397"/>
      <c r="R240" s="4397"/>
      <c r="S240" s="4397"/>
      <c r="T240" s="4397"/>
      <c r="U240" s="4397"/>
      <c r="V240" s="4397"/>
      <c r="W240" s="4397"/>
      <c r="X240" s="4397"/>
      <c r="Y240" s="4397"/>
      <c r="Z240" s="4398"/>
      <c r="AA240" s="4399" t="s">
        <v>345</v>
      </c>
      <c r="AB240" s="4400"/>
      <c r="AC240" s="60"/>
      <c r="AD240" s="60"/>
    </row>
    <row r="241" spans="1:30" s="26" customFormat="1" ht="51" customHeight="1" x14ac:dyDescent="0.25">
      <c r="A241" s="1554"/>
      <c r="B241" s="4401">
        <v>1</v>
      </c>
      <c r="C241" s="4402" t="str">
        <f>'FKS(PAP-03)'!D282</f>
        <v>Perusahaan memiliki potensi daya serap, tingkat konsumsi dan daya beli yang cukup tinggi. Dimana target pasar baru mencakup area sekitar lokasi uasaha dengan kondisi permintaan yang cukup stabil. Dengan kondisi ini, permintaan diprediksi akan tumbuh sebesar 5%-10%. LKB ini  diperkirakan masuk dalam daftar 10 besar pemain utama dalam industri sejenis di Kabupaten Dompu. Namun, dengan realisasi penjualan yang berada pada kisaran 80%-90% dari target yang ditetapkan perusahaan. Skor rata-rata untuk tingkat permintaan mencapai 3,57 dan masuk katagori memenuhi syarat</v>
      </c>
      <c r="D241" s="4403"/>
      <c r="E241" s="4403"/>
      <c r="F241" s="4403"/>
      <c r="G241" s="4403"/>
      <c r="H241" s="4403"/>
      <c r="I241" s="4403"/>
      <c r="J241" s="4403"/>
      <c r="K241" s="4403"/>
      <c r="L241" s="4403"/>
      <c r="M241" s="4403"/>
      <c r="N241" s="4403"/>
      <c r="O241" s="4403"/>
      <c r="P241" s="4403"/>
      <c r="Q241" s="4403"/>
      <c r="R241" s="4403"/>
      <c r="S241" s="4403"/>
      <c r="T241" s="4403"/>
      <c r="U241" s="4403"/>
      <c r="V241" s="4403"/>
      <c r="W241" s="4403"/>
      <c r="X241" s="4403"/>
      <c r="Y241" s="4403"/>
      <c r="Z241" s="4404"/>
      <c r="AA241" s="4405">
        <f>'FKS(PAP-03)'!T284</f>
        <v>3.5714285714285716</v>
      </c>
      <c r="AB241" s="4406"/>
      <c r="AC241" s="2431"/>
      <c r="AD241" s="2431"/>
    </row>
    <row r="242" spans="1:30" s="26" customFormat="1" ht="51" customHeight="1" thickBot="1" x14ac:dyDescent="0.3">
      <c r="A242" s="1554"/>
      <c r="B242" s="4389"/>
      <c r="C242" s="4364"/>
      <c r="D242" s="4365"/>
      <c r="E242" s="4365"/>
      <c r="F242" s="4365"/>
      <c r="G242" s="4365"/>
      <c r="H242" s="4365"/>
      <c r="I242" s="4365"/>
      <c r="J242" s="4365"/>
      <c r="K242" s="4365"/>
      <c r="L242" s="4365"/>
      <c r="M242" s="4365"/>
      <c r="N242" s="4365"/>
      <c r="O242" s="4365"/>
      <c r="P242" s="4365"/>
      <c r="Q242" s="4365"/>
      <c r="R242" s="4365"/>
      <c r="S242" s="4365"/>
      <c r="T242" s="4365"/>
      <c r="U242" s="4365"/>
      <c r="V242" s="4365"/>
      <c r="W242" s="4365"/>
      <c r="X242" s="4365"/>
      <c r="Y242" s="4365"/>
      <c r="Z242" s="4366"/>
      <c r="AA242" s="4407"/>
      <c r="AB242" s="4408"/>
      <c r="AC242" s="2431"/>
      <c r="AD242" s="2431"/>
    </row>
    <row r="243" spans="1:30" s="7" customFormat="1" ht="45.75" customHeight="1" x14ac:dyDescent="0.35">
      <c r="A243" s="132"/>
      <c r="B243" s="4362">
        <v>2</v>
      </c>
      <c r="C243" s="4364" t="str">
        <f>'FKS(PAP-03)'!D316</f>
        <v>Kualitas produk yang ditawarkan terbilang sudah baik, ditambah lagi dengan harga yang telah sesuai dengan rata-rata harga pasar. Dengan varian produk di bawah 10 jenis produk dan jaringan distribusi mencapai 4 cabang/outlet, hal ini turut membentuk brand image perusahaan menjadi cukup kuat. Dari sisi penjualan, syarat yang dibebankan kepada konsumen juga cukup mudah, melayani pembayaran cash maupun kredit tanpa uang muka maupun jaminan. Jumlah skor rata-rata kualitas produk atau jasa adalah 3,00</v>
      </c>
      <c r="D243" s="4365"/>
      <c r="E243" s="4365"/>
      <c r="F243" s="4365"/>
      <c r="G243" s="4365"/>
      <c r="H243" s="4365"/>
      <c r="I243" s="4365"/>
      <c r="J243" s="4365"/>
      <c r="K243" s="4365"/>
      <c r="L243" s="4365"/>
      <c r="M243" s="4365"/>
      <c r="N243" s="4365"/>
      <c r="O243" s="4365"/>
      <c r="P243" s="4365"/>
      <c r="Q243" s="4365"/>
      <c r="R243" s="4365"/>
      <c r="S243" s="4365"/>
      <c r="T243" s="4365"/>
      <c r="U243" s="4365"/>
      <c r="V243" s="4365"/>
      <c r="W243" s="4365"/>
      <c r="X243" s="4365"/>
      <c r="Y243" s="4365"/>
      <c r="Z243" s="4366"/>
      <c r="AA243" s="4370">
        <f>'FKS(PAP-03)'!T318</f>
        <v>3</v>
      </c>
      <c r="AB243" s="4371"/>
      <c r="AC243" s="60"/>
      <c r="AD243" s="60"/>
    </row>
    <row r="244" spans="1:30" s="7" customFormat="1" ht="45.75" customHeight="1" thickBot="1" x14ac:dyDescent="0.4">
      <c r="A244" s="132"/>
      <c r="B244" s="4384"/>
      <c r="C244" s="4364"/>
      <c r="D244" s="4365"/>
      <c r="E244" s="4365"/>
      <c r="F244" s="4365"/>
      <c r="G244" s="4365"/>
      <c r="H244" s="4365"/>
      <c r="I244" s="4365"/>
      <c r="J244" s="4365"/>
      <c r="K244" s="4365"/>
      <c r="L244" s="4365"/>
      <c r="M244" s="4365"/>
      <c r="N244" s="4365"/>
      <c r="O244" s="4365"/>
      <c r="P244" s="4365"/>
      <c r="Q244" s="4365"/>
      <c r="R244" s="4365"/>
      <c r="S244" s="4365"/>
      <c r="T244" s="4365"/>
      <c r="U244" s="4365"/>
      <c r="V244" s="4365"/>
      <c r="W244" s="4365"/>
      <c r="X244" s="4365"/>
      <c r="Y244" s="4365"/>
      <c r="Z244" s="4366"/>
      <c r="AA244" s="4372"/>
      <c r="AB244" s="4373"/>
      <c r="AC244" s="60"/>
      <c r="AD244" s="60"/>
    </row>
    <row r="245" spans="1:30" s="7" customFormat="1" ht="45.75" customHeight="1" x14ac:dyDescent="0.35">
      <c r="A245" s="132"/>
      <c r="B245" s="4362">
        <v>3</v>
      </c>
      <c r="C245" s="4364" t="str">
        <f>'FKS(PAP-03)'!D334</f>
        <v>Berdasarkan verifikasi di lapangan, terdapat kurang lebih  60% Nasabah taat membayar Tabungan wajib penjualan dan Kualitas Hubungan dengan Penyimpan/Deposan Terbesar cukup baik, sehingga deposan terus menambah saldo tabungannya, sehingga diperoleh skor 3.50</v>
      </c>
      <c r="D245" s="4365"/>
      <c r="E245" s="4365"/>
      <c r="F245" s="4365"/>
      <c r="G245" s="4365"/>
      <c r="H245" s="4365"/>
      <c r="I245" s="4365"/>
      <c r="J245" s="4365"/>
      <c r="K245" s="4365"/>
      <c r="L245" s="4365"/>
      <c r="M245" s="4365"/>
      <c r="N245" s="4365"/>
      <c r="O245" s="4365"/>
      <c r="P245" s="4365"/>
      <c r="Q245" s="4365"/>
      <c r="R245" s="4365"/>
      <c r="S245" s="4365"/>
      <c r="T245" s="4365"/>
      <c r="U245" s="4365"/>
      <c r="V245" s="4365"/>
      <c r="W245" s="4365"/>
      <c r="X245" s="4365"/>
      <c r="Y245" s="4365"/>
      <c r="Z245" s="4366"/>
      <c r="AA245" s="4370">
        <f>'FKS(PAP-03)'!T336</f>
        <v>3.5</v>
      </c>
      <c r="AB245" s="4371"/>
      <c r="AC245" s="60"/>
      <c r="AD245" s="60"/>
    </row>
    <row r="246" spans="1:30" s="7" customFormat="1" ht="45.75" customHeight="1" thickBot="1" x14ac:dyDescent="0.4">
      <c r="A246" s="132"/>
      <c r="B246" s="4384"/>
      <c r="C246" s="4364"/>
      <c r="D246" s="4365"/>
      <c r="E246" s="4365"/>
      <c r="F246" s="4365"/>
      <c r="G246" s="4365"/>
      <c r="H246" s="4365"/>
      <c r="I246" s="4365"/>
      <c r="J246" s="4365"/>
      <c r="K246" s="4365"/>
      <c r="L246" s="4365"/>
      <c r="M246" s="4365"/>
      <c r="N246" s="4365"/>
      <c r="O246" s="4365"/>
      <c r="P246" s="4365"/>
      <c r="Q246" s="4365"/>
      <c r="R246" s="4365"/>
      <c r="S246" s="4365"/>
      <c r="T246" s="4365"/>
      <c r="U246" s="4365"/>
      <c r="V246" s="4365"/>
      <c r="W246" s="4365"/>
      <c r="X246" s="4365"/>
      <c r="Y246" s="4365"/>
      <c r="Z246" s="4366"/>
      <c r="AA246" s="4372"/>
      <c r="AB246" s="4373"/>
      <c r="AC246" s="60"/>
      <c r="AD246" s="60"/>
    </row>
    <row r="247" spans="1:30" s="7" customFormat="1" ht="69.75" customHeight="1" x14ac:dyDescent="0.35">
      <c r="A247" s="132"/>
      <c r="B247" s="4362">
        <v>4</v>
      </c>
      <c r="C247" s="4364" t="str">
        <f>'FKS(PAP-03)'!D364</f>
        <v>Terkait dengan tingkat persaingan, dalam industri sejenis diketahui beberapa pemain besar menguasai sekitar 15-20% pasar. Namun perusahaan terlihat mampu bersaing karena biaya yang ditawarkan cukup kompetitif, ditambah dengan kualitas produk yang terbilang baik. Perusahaan juga terlihat mampu bersaing mengingat rendahnya faktor penghalang untuk keluar/masuknya produk ke dalam pasar. Strategi untuk menghadapi persaingan sudah begitu jelas dan rasional sesuai dengan kondisi internal. Perusahaan juga memiliki 2 (dua) aktivitas usaha lain yang saling terkait, 'Persaingan Produk Tabungan dan Pinjaman dengan lembaga keuangan sejenis cukup mampu bersaing</v>
      </c>
      <c r="D247" s="4365"/>
      <c r="E247" s="4365"/>
      <c r="F247" s="4365"/>
      <c r="G247" s="4365"/>
      <c r="H247" s="4365"/>
      <c r="I247" s="4365"/>
      <c r="J247" s="4365"/>
      <c r="K247" s="4365"/>
      <c r="L247" s="4365"/>
      <c r="M247" s="4365"/>
      <c r="N247" s="4365"/>
      <c r="O247" s="4365"/>
      <c r="P247" s="4365"/>
      <c r="Q247" s="4365"/>
      <c r="R247" s="4365"/>
      <c r="S247" s="4365"/>
      <c r="T247" s="4365"/>
      <c r="U247" s="4365"/>
      <c r="V247" s="4365"/>
      <c r="W247" s="4365"/>
      <c r="X247" s="4365"/>
      <c r="Y247" s="4365"/>
      <c r="Z247" s="4366"/>
      <c r="AA247" s="4370">
        <f>'FKS(PAP-03)'!T366</f>
        <v>3.5</v>
      </c>
      <c r="AB247" s="4371"/>
      <c r="AC247" s="60"/>
      <c r="AD247" s="60"/>
    </row>
    <row r="248" spans="1:30" s="7" customFormat="1" ht="69.75" customHeight="1" thickBot="1" x14ac:dyDescent="0.4">
      <c r="A248" s="132"/>
      <c r="B248" s="4384"/>
      <c r="C248" s="4364"/>
      <c r="D248" s="4365"/>
      <c r="E248" s="4365"/>
      <c r="F248" s="4365"/>
      <c r="G248" s="4365"/>
      <c r="H248" s="4365"/>
      <c r="I248" s="4365"/>
      <c r="J248" s="4365"/>
      <c r="K248" s="4365"/>
      <c r="L248" s="4365"/>
      <c r="M248" s="4365"/>
      <c r="N248" s="4365"/>
      <c r="O248" s="4365"/>
      <c r="P248" s="4365"/>
      <c r="Q248" s="4365"/>
      <c r="R248" s="4365"/>
      <c r="S248" s="4365"/>
      <c r="T248" s="4365"/>
      <c r="U248" s="4365"/>
      <c r="V248" s="4365"/>
      <c r="W248" s="4365"/>
      <c r="X248" s="4365"/>
      <c r="Y248" s="4365"/>
      <c r="Z248" s="4366"/>
      <c r="AA248" s="4372"/>
      <c r="AB248" s="4373"/>
      <c r="AC248" s="60"/>
      <c r="AD248" s="60"/>
    </row>
    <row r="249" spans="1:30" s="7" customFormat="1" ht="51" customHeight="1" x14ac:dyDescent="0.35">
      <c r="A249" s="132"/>
      <c r="B249" s="4362">
        <v>5</v>
      </c>
      <c r="C249" s="4364" t="str">
        <f>'FKS(PAP-03)'!D380</f>
        <v>Berdasarkan hasil veriikasi diketahui bahwa lokasi usaha bertetap di area kawasan industri, tepatnya di  Jl. Rungkut Kidul Industri Surabaya, dimana disekelilingnya terdapat beberapa usaha sejenis (leasing &amp; BPR). Kondisi tempat usaha dapat dikatakan sangat layak, dengan kondisi terawat, Perijinan lokasi perusahaan telah memenuhi syarat sebagai mana diatur dalam ketentuan pemerintah. Mengenai status kepemilikan lokasi usaha,telah menjadi milik perusahaan. Kondisi lokasi usaha dengan skor rata-rata 4.25</v>
      </c>
      <c r="D249" s="4365"/>
      <c r="E249" s="4365"/>
      <c r="F249" s="4365"/>
      <c r="G249" s="4365"/>
      <c r="H249" s="4365"/>
      <c r="I249" s="4365"/>
      <c r="J249" s="4365"/>
      <c r="K249" s="4365"/>
      <c r="L249" s="4365"/>
      <c r="M249" s="4365"/>
      <c r="N249" s="4365"/>
      <c r="O249" s="4365"/>
      <c r="P249" s="4365"/>
      <c r="Q249" s="4365"/>
      <c r="R249" s="4365"/>
      <c r="S249" s="4365"/>
      <c r="T249" s="4365"/>
      <c r="U249" s="4365"/>
      <c r="V249" s="4365"/>
      <c r="W249" s="4365"/>
      <c r="X249" s="4365"/>
      <c r="Y249" s="4365"/>
      <c r="Z249" s="4366"/>
      <c r="AA249" s="4370">
        <f>'FKS(PAP-03)'!T382</f>
        <v>4.25</v>
      </c>
      <c r="AB249" s="4385"/>
      <c r="AC249" s="60"/>
      <c r="AD249" s="60"/>
    </row>
    <row r="250" spans="1:30" s="7" customFormat="1" ht="51" customHeight="1" thickBot="1" x14ac:dyDescent="0.4">
      <c r="A250" s="132"/>
      <c r="B250" s="4384"/>
      <c r="C250" s="4364"/>
      <c r="D250" s="4365"/>
      <c r="E250" s="4365"/>
      <c r="F250" s="4365"/>
      <c r="G250" s="4365"/>
      <c r="H250" s="4365"/>
      <c r="I250" s="4365"/>
      <c r="J250" s="4365"/>
      <c r="K250" s="4365"/>
      <c r="L250" s="4365"/>
      <c r="M250" s="4365"/>
      <c r="N250" s="4365"/>
      <c r="O250" s="4365"/>
      <c r="P250" s="4365"/>
      <c r="Q250" s="4365"/>
      <c r="R250" s="4365"/>
      <c r="S250" s="4365"/>
      <c r="T250" s="4365"/>
      <c r="U250" s="4365"/>
      <c r="V250" s="4365"/>
      <c r="W250" s="4365"/>
      <c r="X250" s="4365"/>
      <c r="Y250" s="4365"/>
      <c r="Z250" s="4366"/>
      <c r="AA250" s="4386"/>
      <c r="AB250" s="4387"/>
      <c r="AC250" s="60"/>
      <c r="AD250" s="60"/>
    </row>
    <row r="251" spans="1:30" s="7" customFormat="1" ht="51.75" customHeight="1" x14ac:dyDescent="0.35">
      <c r="A251" s="132"/>
      <c r="B251" s="4388">
        <v>6</v>
      </c>
      <c r="C251" s="4390" t="str">
        <f>'FKS(PAP-03)'!D428</f>
        <v>Terkait dengan kondisi sarana/peralatan diketahui bahwa dibandingkan dengan perusahaan sejenis jumlahnya telah diatas rata-rata, dengan kapasitas pemakaian mencapai 80%.  Sarana yang digunakan juga terbilang modern. 'Semua pegawai menggunakan PC sebagai penunjang pekerjaan di perusahaan.'Kondisi Brankas dalam keadaan baik dan sudah memenuhi stadar serta memiliki tingkat keamaan yang sangat baik, 'salah satu keunggulan yang dimiliki oleh perusaahaan adalah Layanan jemput bola ke nasabah/debitur/Nasabah, sehingga membuat nasabah merasa sangat di bantu dan mudah dalam proses transaksi keuangannya. Skor rata-rata kondisi peralatan adalah 3,83</v>
      </c>
      <c r="D251" s="4391"/>
      <c r="E251" s="4391"/>
      <c r="F251" s="4391"/>
      <c r="G251" s="4391"/>
      <c r="H251" s="4391"/>
      <c r="I251" s="4391"/>
      <c r="J251" s="4391"/>
      <c r="K251" s="4391"/>
      <c r="L251" s="4391"/>
      <c r="M251" s="4391"/>
      <c r="N251" s="4391"/>
      <c r="O251" s="4391"/>
      <c r="P251" s="4391"/>
      <c r="Q251" s="4391"/>
      <c r="R251" s="4391"/>
      <c r="S251" s="4391"/>
      <c r="T251" s="4391"/>
      <c r="U251" s="4391"/>
      <c r="V251" s="4391"/>
      <c r="W251" s="4391"/>
      <c r="X251" s="4391"/>
      <c r="Y251" s="4391"/>
      <c r="Z251" s="4392"/>
      <c r="AA251" s="4370">
        <f>'FKS(PAP-03)'!T430</f>
        <v>3.8333333333333335</v>
      </c>
      <c r="AB251" s="4371"/>
      <c r="AC251" s="60"/>
      <c r="AD251" s="60"/>
    </row>
    <row r="252" spans="1:30" s="7" customFormat="1" ht="66.75" customHeight="1" thickBot="1" x14ac:dyDescent="0.4">
      <c r="A252" s="132"/>
      <c r="B252" s="4389"/>
      <c r="C252" s="4393"/>
      <c r="D252" s="4394"/>
      <c r="E252" s="4394"/>
      <c r="F252" s="4394"/>
      <c r="G252" s="4394"/>
      <c r="H252" s="4394"/>
      <c r="I252" s="4394"/>
      <c r="J252" s="4394"/>
      <c r="K252" s="4394"/>
      <c r="L252" s="4394"/>
      <c r="M252" s="4394"/>
      <c r="N252" s="4394"/>
      <c r="O252" s="4394"/>
      <c r="P252" s="4394"/>
      <c r="Q252" s="4394"/>
      <c r="R252" s="4394"/>
      <c r="S252" s="4394"/>
      <c r="T252" s="4394"/>
      <c r="U252" s="4394"/>
      <c r="V252" s="4394"/>
      <c r="W252" s="4394"/>
      <c r="X252" s="4394"/>
      <c r="Y252" s="4394"/>
      <c r="Z252" s="4395"/>
      <c r="AA252" s="4372"/>
      <c r="AB252" s="4373"/>
      <c r="AC252" s="60"/>
      <c r="AD252" s="60"/>
    </row>
    <row r="253" spans="1:30" s="7" customFormat="1" ht="41.25" customHeight="1" x14ac:dyDescent="0.35">
      <c r="A253" s="132"/>
      <c r="B253" s="4362">
        <v>8</v>
      </c>
      <c r="C253" s="4364" t="str">
        <f>'FKS(PAP-03)'!D454</f>
        <v>Perusahaan sudah berjalan lebih dari 8 tahun. Kompetensi perusahaan sudah berpengalaman untuk menciptakan keunggulan kompetitif terhadap persaingan industri. Perencanaan Usaha dan Pengendalian Keuangan sudah baik, manajemen dalam mengambil keputusan terbilang cukup baik dengan pengelolaan risiko yang mampu mendapatkan solusi untuk mengurangi risiko yang timbul dengan skor rata-rata pengalaman adalah 3.80</v>
      </c>
      <c r="D253" s="4365"/>
      <c r="E253" s="4365"/>
      <c r="F253" s="4365"/>
      <c r="G253" s="4365"/>
      <c r="H253" s="4365"/>
      <c r="I253" s="4365"/>
      <c r="J253" s="4365"/>
      <c r="K253" s="4365"/>
      <c r="L253" s="4365"/>
      <c r="M253" s="4365"/>
      <c r="N253" s="4365"/>
      <c r="O253" s="4365"/>
      <c r="P253" s="4365"/>
      <c r="Q253" s="4365"/>
      <c r="R253" s="4365"/>
      <c r="S253" s="4365"/>
      <c r="T253" s="4365"/>
      <c r="U253" s="4365"/>
      <c r="V253" s="4365"/>
      <c r="W253" s="4365"/>
      <c r="X253" s="4365"/>
      <c r="Y253" s="4365"/>
      <c r="Z253" s="4366"/>
      <c r="AA253" s="4370">
        <f>'FKS(PAP-03)'!T456</f>
        <v>3.8</v>
      </c>
      <c r="AB253" s="4371"/>
      <c r="AC253" s="60"/>
      <c r="AD253" s="60"/>
    </row>
    <row r="254" spans="1:30" s="7" customFormat="1" ht="41.25" customHeight="1" thickBot="1" x14ac:dyDescent="0.4">
      <c r="A254" s="132"/>
      <c r="B254" s="4384"/>
      <c r="C254" s="4364"/>
      <c r="D254" s="4365"/>
      <c r="E254" s="4365"/>
      <c r="F254" s="4365"/>
      <c r="G254" s="4365"/>
      <c r="H254" s="4365"/>
      <c r="I254" s="4365"/>
      <c r="J254" s="4365"/>
      <c r="K254" s="4365"/>
      <c r="L254" s="4365"/>
      <c r="M254" s="4365"/>
      <c r="N254" s="4365"/>
      <c r="O254" s="4365"/>
      <c r="P254" s="4365"/>
      <c r="Q254" s="4365"/>
      <c r="R254" s="4365"/>
      <c r="S254" s="4365"/>
      <c r="T254" s="4365"/>
      <c r="U254" s="4365"/>
      <c r="V254" s="4365"/>
      <c r="W254" s="4365"/>
      <c r="X254" s="4365"/>
      <c r="Y254" s="4365"/>
      <c r="Z254" s="4366"/>
      <c r="AA254" s="4372"/>
      <c r="AB254" s="4373"/>
      <c r="AC254" s="60"/>
      <c r="AD254" s="60"/>
    </row>
    <row r="255" spans="1:30" s="7" customFormat="1" ht="42.75" customHeight="1" x14ac:dyDescent="0.35">
      <c r="A255" s="132"/>
      <c r="B255" s="4362">
        <v>9</v>
      </c>
      <c r="C255" s="4364" t="str">
        <f>'FKS(PAP-03)'!D479</f>
        <v>Key Person yang memegang peranan vital dalam perusahaan memiliki latar belakang pendidkan yang memadai, ''dimana rata2 Tenaga kerja  pada umumnya merupakan Sarjana dan D3</v>
      </c>
      <c r="D255" s="4365"/>
      <c r="E255" s="4365"/>
      <c r="F255" s="4365"/>
      <c r="G255" s="4365"/>
      <c r="H255" s="4365"/>
      <c r="I255" s="4365"/>
      <c r="J255" s="4365"/>
      <c r="K255" s="4365"/>
      <c r="L255" s="4365"/>
      <c r="M255" s="4365"/>
      <c r="N255" s="4365"/>
      <c r="O255" s="4365"/>
      <c r="P255" s="4365"/>
      <c r="Q255" s="4365"/>
      <c r="R255" s="4365"/>
      <c r="S255" s="4365"/>
      <c r="T255" s="4365"/>
      <c r="U255" s="4365"/>
      <c r="V255" s="4365"/>
      <c r="W255" s="4365"/>
      <c r="X255" s="4365"/>
      <c r="Y255" s="4365"/>
      <c r="Z255" s="4366"/>
      <c r="AA255" s="4370">
        <f>'FKS(PAP-03)'!T481</f>
        <v>4</v>
      </c>
      <c r="AB255" s="4371"/>
      <c r="AC255" s="60"/>
      <c r="AD255" s="60"/>
    </row>
    <row r="256" spans="1:30" s="7" customFormat="1" ht="42.75" customHeight="1" thickBot="1" x14ac:dyDescent="0.4">
      <c r="A256" s="132"/>
      <c r="B256" s="4384"/>
      <c r="C256" s="4364"/>
      <c r="D256" s="4365"/>
      <c r="E256" s="4365"/>
      <c r="F256" s="4365"/>
      <c r="G256" s="4365"/>
      <c r="H256" s="4365"/>
      <c r="I256" s="4365"/>
      <c r="J256" s="4365"/>
      <c r="K256" s="4365"/>
      <c r="L256" s="4365"/>
      <c r="M256" s="4365"/>
      <c r="N256" s="4365"/>
      <c r="O256" s="4365"/>
      <c r="P256" s="4365"/>
      <c r="Q256" s="4365"/>
      <c r="R256" s="4365"/>
      <c r="S256" s="4365"/>
      <c r="T256" s="4365"/>
      <c r="U256" s="4365"/>
      <c r="V256" s="4365"/>
      <c r="W256" s="4365"/>
      <c r="X256" s="4365"/>
      <c r="Y256" s="4365"/>
      <c r="Z256" s="4366"/>
      <c r="AA256" s="4372"/>
      <c r="AB256" s="4373"/>
      <c r="AC256" s="60"/>
      <c r="AD256" s="60"/>
    </row>
    <row r="257" spans="1:30" s="7" customFormat="1" ht="24" customHeight="1" x14ac:dyDescent="0.35">
      <c r="A257" s="132"/>
      <c r="B257" s="4362">
        <v>10</v>
      </c>
      <c r="C257" s="4364" t="str">
        <f>'FKS(PAP-03)'!D488</f>
        <v>Key Person diketahui memiliki track record yang sangat baik dalam mejalankan usaha dengan skor rata-rata 4</v>
      </c>
      <c r="D257" s="4365"/>
      <c r="E257" s="4365"/>
      <c r="F257" s="4365"/>
      <c r="G257" s="4365"/>
      <c r="H257" s="4365"/>
      <c r="I257" s="4365"/>
      <c r="J257" s="4365"/>
      <c r="K257" s="4365"/>
      <c r="L257" s="4365"/>
      <c r="M257" s="4365"/>
      <c r="N257" s="4365"/>
      <c r="O257" s="4365"/>
      <c r="P257" s="4365"/>
      <c r="Q257" s="4365"/>
      <c r="R257" s="4365"/>
      <c r="S257" s="4365"/>
      <c r="T257" s="4365"/>
      <c r="U257" s="4365"/>
      <c r="V257" s="4365"/>
      <c r="W257" s="4365"/>
      <c r="X257" s="4365"/>
      <c r="Y257" s="4365"/>
      <c r="Z257" s="4366"/>
      <c r="AA257" s="4370">
        <f>'FKS(PAP-03)'!T490</f>
        <v>4</v>
      </c>
      <c r="AB257" s="4371"/>
      <c r="AC257" s="60"/>
      <c r="AD257" s="60"/>
    </row>
    <row r="258" spans="1:30" s="7" customFormat="1" ht="27.75" customHeight="1" thickBot="1" x14ac:dyDescent="0.4">
      <c r="A258" s="132"/>
      <c r="B258" s="4384"/>
      <c r="C258" s="4364"/>
      <c r="D258" s="4365"/>
      <c r="E258" s="4365"/>
      <c r="F258" s="4365"/>
      <c r="G258" s="4365"/>
      <c r="H258" s="4365"/>
      <c r="I258" s="4365"/>
      <c r="J258" s="4365"/>
      <c r="K258" s="4365"/>
      <c r="L258" s="4365"/>
      <c r="M258" s="4365"/>
      <c r="N258" s="4365"/>
      <c r="O258" s="4365"/>
      <c r="P258" s="4365"/>
      <c r="Q258" s="4365"/>
      <c r="R258" s="4365"/>
      <c r="S258" s="4365"/>
      <c r="T258" s="4365"/>
      <c r="U258" s="4365"/>
      <c r="V258" s="4365"/>
      <c r="W258" s="4365"/>
      <c r="X258" s="4365"/>
      <c r="Y258" s="4365"/>
      <c r="Z258" s="4366"/>
      <c r="AA258" s="4372"/>
      <c r="AB258" s="4373"/>
      <c r="AC258" s="60"/>
      <c r="AD258" s="60"/>
    </row>
    <row r="259" spans="1:30" s="7" customFormat="1" ht="24" customHeight="1" x14ac:dyDescent="0.35">
      <c r="A259" s="132"/>
      <c r="B259" s="4362">
        <v>11</v>
      </c>
      <c r="C259" s="4364" t="str">
        <f>'FKS(PAP-03)'!D496</f>
        <v>Struktur organisasi dalam perusahaan telah memiliki jenjang yang sesuai dengan kondisi internal. Seluruh aktifitas pekerjaan berjalan sesuai dengan sistem dan kewenangan yang disusun dengan sangat jelas skor rata-rata 5</v>
      </c>
      <c r="D259" s="4365"/>
      <c r="E259" s="4365"/>
      <c r="F259" s="4365"/>
      <c r="G259" s="4365"/>
      <c r="H259" s="4365"/>
      <c r="I259" s="4365"/>
      <c r="J259" s="4365"/>
      <c r="K259" s="4365"/>
      <c r="L259" s="4365"/>
      <c r="M259" s="4365"/>
      <c r="N259" s="4365"/>
      <c r="O259" s="4365"/>
      <c r="P259" s="4365"/>
      <c r="Q259" s="4365"/>
      <c r="R259" s="4365"/>
      <c r="S259" s="4365"/>
      <c r="T259" s="4365"/>
      <c r="U259" s="4365"/>
      <c r="V259" s="4365"/>
      <c r="W259" s="4365"/>
      <c r="X259" s="4365"/>
      <c r="Y259" s="4365"/>
      <c r="Z259" s="4366"/>
      <c r="AA259" s="4370">
        <f>'FKS(PAP-03)'!T498</f>
        <v>5</v>
      </c>
      <c r="AB259" s="4371"/>
      <c r="AC259" s="60"/>
      <c r="AD259" s="60"/>
    </row>
    <row r="260" spans="1:30" s="7" customFormat="1" ht="24" customHeight="1" thickBot="1" x14ac:dyDescent="0.4">
      <c r="A260" s="132"/>
      <c r="B260" s="4384"/>
      <c r="C260" s="4364"/>
      <c r="D260" s="4365"/>
      <c r="E260" s="4365"/>
      <c r="F260" s="4365"/>
      <c r="G260" s="4365"/>
      <c r="H260" s="4365"/>
      <c r="I260" s="4365"/>
      <c r="J260" s="4365"/>
      <c r="K260" s="4365"/>
      <c r="L260" s="4365"/>
      <c r="M260" s="4365"/>
      <c r="N260" s="4365"/>
      <c r="O260" s="4365"/>
      <c r="P260" s="4365"/>
      <c r="Q260" s="4365"/>
      <c r="R260" s="4365"/>
      <c r="S260" s="4365"/>
      <c r="T260" s="4365"/>
      <c r="U260" s="4365"/>
      <c r="V260" s="4365"/>
      <c r="W260" s="4365"/>
      <c r="X260" s="4365"/>
      <c r="Y260" s="4365"/>
      <c r="Z260" s="4366"/>
      <c r="AA260" s="4372"/>
      <c r="AB260" s="4373"/>
      <c r="AC260" s="60"/>
      <c r="AD260" s="60"/>
    </row>
    <row r="261" spans="1:30" s="7" customFormat="1" ht="24" customHeight="1" x14ac:dyDescent="0.35">
      <c r="A261" s="132"/>
      <c r="B261" s="4362">
        <v>12</v>
      </c>
      <c r="C261" s="4364" t="str">
        <f>'FKS(PAP-03)'!D504</f>
        <v>Kaderisasi dalam perusahaan telah direncanakan dengan baik, terlihat dari kesiapan kader kader dalam menghadapi pasar dengan skor rata-rata 4</v>
      </c>
      <c r="D261" s="4365"/>
      <c r="E261" s="4365"/>
      <c r="F261" s="4365"/>
      <c r="G261" s="4365"/>
      <c r="H261" s="4365"/>
      <c r="I261" s="4365"/>
      <c r="J261" s="4365"/>
      <c r="K261" s="4365"/>
      <c r="L261" s="4365"/>
      <c r="M261" s="4365"/>
      <c r="N261" s="4365"/>
      <c r="O261" s="4365"/>
      <c r="P261" s="4365"/>
      <c r="Q261" s="4365"/>
      <c r="R261" s="4365"/>
      <c r="S261" s="4365"/>
      <c r="T261" s="4365"/>
      <c r="U261" s="4365"/>
      <c r="V261" s="4365"/>
      <c r="W261" s="4365"/>
      <c r="X261" s="4365"/>
      <c r="Y261" s="4365"/>
      <c r="Z261" s="4366"/>
      <c r="AA261" s="4370">
        <f>'FKS(PAP-03)'!T506</f>
        <v>4</v>
      </c>
      <c r="AB261" s="4371"/>
      <c r="AC261" s="60"/>
      <c r="AD261" s="60"/>
    </row>
    <row r="262" spans="1:30" s="7" customFormat="1" ht="27.75" customHeight="1" thickBot="1" x14ac:dyDescent="0.4">
      <c r="A262" s="132"/>
      <c r="B262" s="4384"/>
      <c r="C262" s="4364"/>
      <c r="D262" s="4365"/>
      <c r="E262" s="4365"/>
      <c r="F262" s="4365"/>
      <c r="G262" s="4365"/>
      <c r="H262" s="4365"/>
      <c r="I262" s="4365"/>
      <c r="J262" s="4365"/>
      <c r="K262" s="4365"/>
      <c r="L262" s="4365"/>
      <c r="M262" s="4365"/>
      <c r="N262" s="4365"/>
      <c r="O262" s="4365"/>
      <c r="P262" s="4365"/>
      <c r="Q262" s="4365"/>
      <c r="R262" s="4365"/>
      <c r="S262" s="4365"/>
      <c r="T262" s="4365"/>
      <c r="U262" s="4365"/>
      <c r="V262" s="4365"/>
      <c r="W262" s="4365"/>
      <c r="X262" s="4365"/>
      <c r="Y262" s="4365"/>
      <c r="Z262" s="4366"/>
      <c r="AA262" s="4372"/>
      <c r="AB262" s="4373"/>
      <c r="AC262" s="60"/>
      <c r="AD262" s="60"/>
    </row>
    <row r="263" spans="1:30" s="7" customFormat="1" ht="45.75" customHeight="1" x14ac:dyDescent="0.35">
      <c r="A263" s="132"/>
      <c r="B263" s="4362">
        <v>13</v>
      </c>
      <c r="C263" s="4364" t="str">
        <f>'FKS(PAP-03)'!D529</f>
        <v>Dalam hal kepatuhan terkait dengan pelaporan keuangan, Perusahaan yang bersangkutan mampu menyerahkan  Tepat Waktu sesuai dengan Periode Pelaporan. dengan kualitas informasi yang disampaikan, laporan keuangan perusahaan dinyatakan wajar, tanpa syarat. Hal ini ditunjang dengan penggunaan teknologi yang sudah sangat modern dalam hal penyusunan laporan keuangan yang valid dan akurat dengan jumlah skor rata-rata 4,67</v>
      </c>
      <c r="D263" s="4365"/>
      <c r="E263" s="4365"/>
      <c r="F263" s="4365"/>
      <c r="G263" s="4365"/>
      <c r="H263" s="4365"/>
      <c r="I263" s="4365"/>
      <c r="J263" s="4365"/>
      <c r="K263" s="4365"/>
      <c r="L263" s="4365"/>
      <c r="M263" s="4365"/>
      <c r="N263" s="4365"/>
      <c r="O263" s="4365"/>
      <c r="P263" s="4365"/>
      <c r="Q263" s="4365"/>
      <c r="R263" s="4365"/>
      <c r="S263" s="4365"/>
      <c r="T263" s="4365"/>
      <c r="U263" s="4365"/>
      <c r="V263" s="4365"/>
      <c r="W263" s="4365"/>
      <c r="X263" s="4365"/>
      <c r="Y263" s="4365"/>
      <c r="Z263" s="4366"/>
      <c r="AA263" s="4370">
        <f>'FKS(PAP-03)'!T531</f>
        <v>4.666666666666667</v>
      </c>
      <c r="AB263" s="4371"/>
      <c r="AC263" s="60"/>
      <c r="AD263" s="60"/>
    </row>
    <row r="264" spans="1:30" s="7" customFormat="1" ht="45.75" customHeight="1" thickBot="1" x14ac:dyDescent="0.4">
      <c r="A264" s="132"/>
      <c r="B264" s="4384"/>
      <c r="C264" s="4364"/>
      <c r="D264" s="4365"/>
      <c r="E264" s="4365"/>
      <c r="F264" s="4365"/>
      <c r="G264" s="4365"/>
      <c r="H264" s="4365"/>
      <c r="I264" s="4365"/>
      <c r="J264" s="4365"/>
      <c r="K264" s="4365"/>
      <c r="L264" s="4365"/>
      <c r="M264" s="4365"/>
      <c r="N264" s="4365"/>
      <c r="O264" s="4365"/>
      <c r="P264" s="4365"/>
      <c r="Q264" s="4365"/>
      <c r="R264" s="4365"/>
      <c r="S264" s="4365"/>
      <c r="T264" s="4365"/>
      <c r="U264" s="4365"/>
      <c r="V264" s="4365"/>
      <c r="W264" s="4365"/>
      <c r="X264" s="4365"/>
      <c r="Y264" s="4365"/>
      <c r="Z264" s="4366"/>
      <c r="AA264" s="4372"/>
      <c r="AB264" s="4373"/>
      <c r="AC264" s="60"/>
      <c r="AD264" s="60"/>
    </row>
    <row r="265" spans="1:30" s="7" customFormat="1" ht="66.75" customHeight="1" x14ac:dyDescent="0.35">
      <c r="A265" s="132"/>
      <c r="B265" s="4362">
        <v>14</v>
      </c>
      <c r="C265" s="4364" t="str">
        <f>'FKS(PAP-03)'!D571</f>
        <v>Perusahaan diketahui telah menjadi nasabah JAMKRIDA selama 4 tahun dengan memanfaatkan penjaminan sekurang-kurangnya 1 Jenis produk. Selama menjalin kerjasama dengan JAMKRIDA, perusahaan milik terjamin menunjukan sikap yang kooperatif dalam memenuhi kewajiban pembayaran walauppun kendala-kendala muncul dilapangan. Selama dalam masa penjaminan, terjamin selalu tepat waktu dalam melakukan pembayaran kewajiban. Sementara itu diketahui terjamin juga memanfaatkan fasilitas dari perusahaan pembiayaan lain, namun kualitasnya juga sangat baik.Terkait dengan penggunaan fasilitas Pembiayaan/Penjaminan, Terjamin terbukti tidak melakukan side streaming, artinya fasilitas yang diterima benar-benar dialokasikan untuk kebutuhan sebagaimana diusulkan dalam pengajuan. Begitupun dengan jumlah skor rata-rata adalah 3,33</v>
      </c>
      <c r="D265" s="4365"/>
      <c r="E265" s="4365"/>
      <c r="F265" s="4365"/>
      <c r="G265" s="4365"/>
      <c r="H265" s="4365"/>
      <c r="I265" s="4365"/>
      <c r="J265" s="4365"/>
      <c r="K265" s="4365"/>
      <c r="L265" s="4365"/>
      <c r="M265" s="4365"/>
      <c r="N265" s="4365"/>
      <c r="O265" s="4365"/>
      <c r="P265" s="4365"/>
      <c r="Q265" s="4365"/>
      <c r="R265" s="4365"/>
      <c r="S265" s="4365"/>
      <c r="T265" s="4365"/>
      <c r="U265" s="4365"/>
      <c r="V265" s="4365"/>
      <c r="W265" s="4365"/>
      <c r="X265" s="4365"/>
      <c r="Y265" s="4365"/>
      <c r="Z265" s="4366"/>
      <c r="AA265" s="4370">
        <f>'FKS(PAP-03)'!T573</f>
        <v>3.3333333333333335</v>
      </c>
      <c r="AB265" s="4371"/>
      <c r="AC265" s="60"/>
      <c r="AD265" s="60"/>
    </row>
    <row r="266" spans="1:30" s="7" customFormat="1" ht="79.5" customHeight="1" thickBot="1" x14ac:dyDescent="0.4">
      <c r="A266" s="132"/>
      <c r="B266" s="4363"/>
      <c r="C266" s="4367"/>
      <c r="D266" s="4368"/>
      <c r="E266" s="4368"/>
      <c r="F266" s="4368"/>
      <c r="G266" s="4368"/>
      <c r="H266" s="4368"/>
      <c r="I266" s="4368"/>
      <c r="J266" s="4368"/>
      <c r="K266" s="4368"/>
      <c r="L266" s="4368"/>
      <c r="M266" s="4368"/>
      <c r="N266" s="4368"/>
      <c r="O266" s="4368"/>
      <c r="P266" s="4368"/>
      <c r="Q266" s="4368"/>
      <c r="R266" s="4368"/>
      <c r="S266" s="4368"/>
      <c r="T266" s="4368"/>
      <c r="U266" s="4368"/>
      <c r="V266" s="4368"/>
      <c r="W266" s="4368"/>
      <c r="X266" s="4368"/>
      <c r="Y266" s="4368"/>
      <c r="Z266" s="4369"/>
      <c r="AA266" s="4372"/>
      <c r="AB266" s="4373"/>
      <c r="AC266" s="60"/>
      <c r="AD266" s="60"/>
    </row>
    <row r="267" spans="1:30" s="7" customFormat="1" ht="24" customHeight="1" x14ac:dyDescent="0.35">
      <c r="A267" s="132"/>
      <c r="B267" s="4374" t="s">
        <v>236</v>
      </c>
      <c r="C267" s="4375"/>
      <c r="D267" s="4375"/>
      <c r="E267" s="4375"/>
      <c r="F267" s="4375"/>
      <c r="G267" s="4375"/>
      <c r="H267" s="4375"/>
      <c r="I267" s="4375"/>
      <c r="J267" s="4375"/>
      <c r="K267" s="4375"/>
      <c r="L267" s="4375"/>
      <c r="M267" s="4375"/>
      <c r="N267" s="4375"/>
      <c r="O267" s="4375"/>
      <c r="P267" s="4375"/>
      <c r="Q267" s="4375"/>
      <c r="R267" s="4375"/>
      <c r="S267" s="4375"/>
      <c r="T267" s="4375"/>
      <c r="U267" s="4375"/>
      <c r="V267" s="4375"/>
      <c r="W267" s="4375"/>
      <c r="X267" s="4375"/>
      <c r="Y267" s="4375"/>
      <c r="Z267" s="4376"/>
      <c r="AA267" s="4380">
        <f>(SUM(Z241:AB266)/AD267)</f>
        <v>3.8811355311355311</v>
      </c>
      <c r="AB267" s="4381"/>
      <c r="AC267" s="60"/>
      <c r="AD267" s="3673">
        <f>COUNTIF(Z241:AB266,"&gt;0")</f>
        <v>13</v>
      </c>
    </row>
    <row r="268" spans="1:30" s="7" customFormat="1" ht="27.75" customHeight="1" thickBot="1" x14ac:dyDescent="0.4">
      <c r="A268" s="132"/>
      <c r="B268" s="4377"/>
      <c r="C268" s="4378"/>
      <c r="D268" s="4378"/>
      <c r="E268" s="4378"/>
      <c r="F268" s="4378"/>
      <c r="G268" s="4378"/>
      <c r="H268" s="4378"/>
      <c r="I268" s="4378"/>
      <c r="J268" s="4378"/>
      <c r="K268" s="4378"/>
      <c r="L268" s="4378"/>
      <c r="M268" s="4378"/>
      <c r="N268" s="4378"/>
      <c r="O268" s="4378"/>
      <c r="P268" s="4378"/>
      <c r="Q268" s="4378"/>
      <c r="R268" s="4378"/>
      <c r="S268" s="4378"/>
      <c r="T268" s="4378"/>
      <c r="U268" s="4378"/>
      <c r="V268" s="4378"/>
      <c r="W268" s="4378"/>
      <c r="X268" s="4378"/>
      <c r="Y268" s="4378"/>
      <c r="Z268" s="4379"/>
      <c r="AA268" s="4382"/>
      <c r="AB268" s="4383"/>
      <c r="AC268" s="60"/>
      <c r="AD268" s="3673"/>
    </row>
    <row r="269" spans="1:30" s="7" customFormat="1" ht="15.75" thickBot="1" x14ac:dyDescent="0.4">
      <c r="A269" s="132"/>
      <c r="B269" s="601"/>
      <c r="C269" s="601"/>
      <c r="D269" s="601"/>
      <c r="E269" s="601"/>
      <c r="F269" s="601"/>
      <c r="G269" s="601"/>
      <c r="H269" s="601"/>
      <c r="I269" s="601"/>
      <c r="J269" s="601"/>
      <c r="K269" s="601"/>
      <c r="L269" s="601"/>
      <c r="M269" s="601"/>
      <c r="N269" s="601"/>
      <c r="O269" s="601"/>
      <c r="P269" s="601"/>
      <c r="Q269" s="601"/>
      <c r="R269" s="138"/>
      <c r="S269" s="138"/>
      <c r="T269" s="138"/>
      <c r="U269" s="138"/>
      <c r="V269" s="138"/>
      <c r="W269" s="138"/>
      <c r="X269" s="138"/>
      <c r="Y269" s="138"/>
      <c r="Z269" s="138"/>
      <c r="AA269" s="66"/>
      <c r="AB269" s="66"/>
      <c r="AC269" s="60"/>
      <c r="AD269" s="60"/>
    </row>
    <row r="270" spans="1:30" s="7" customFormat="1" ht="15.75" customHeight="1" x14ac:dyDescent="0.35">
      <c r="A270" s="132"/>
      <c r="B270" s="4341" t="s">
        <v>989</v>
      </c>
      <c r="C270" s="4342"/>
      <c r="D270" s="4342"/>
      <c r="E270" s="4342"/>
      <c r="F270" s="4342"/>
      <c r="G270" s="4342"/>
      <c r="H270" s="4342"/>
      <c r="I270" s="4342"/>
      <c r="J270" s="4342"/>
      <c r="K270" s="4342"/>
      <c r="L270" s="4342"/>
      <c r="M270" s="4342"/>
      <c r="N270" s="4342"/>
      <c r="O270" s="4342"/>
      <c r="P270" s="4342"/>
      <c r="Q270" s="4342"/>
      <c r="R270" s="4342"/>
      <c r="S270" s="4342"/>
      <c r="T270" s="4342"/>
      <c r="U270" s="4342"/>
      <c r="V270" s="4342"/>
      <c r="W270" s="4342"/>
      <c r="X270" s="4343"/>
      <c r="Y270" s="4350">
        <f>(SUM(AA219,AA237,AA267)/AD272)</f>
        <v>3.8976800976800976</v>
      </c>
      <c r="Z270" s="4351"/>
      <c r="AA270" s="4356" t="str">
        <f>IF(ROUND(Y270,0)=1,"SANGAT TIDAK LAYAK",IF(ROUND(Y270,0)=2,"KURANG LAYAK ",IF(ROUND(Y270,0)=3,"CUKUP LAYAK",IF(ROUND(Y270,0)=4,"LAYAK",IF(ROUND(Y270,0)=5,"SANGAT LAYAK")))))</f>
        <v>LAYAK</v>
      </c>
      <c r="AB270" s="4357"/>
      <c r="AC270" s="60"/>
      <c r="AD270" s="2324">
        <f>COUNTIF((((AA219):AA237):AA267),"&gt;0")</f>
        <v>16</v>
      </c>
    </row>
    <row r="271" spans="1:30" s="7" customFormat="1" ht="15" customHeight="1" x14ac:dyDescent="0.35">
      <c r="A271" s="132"/>
      <c r="B271" s="4344"/>
      <c r="C271" s="4345"/>
      <c r="D271" s="4345"/>
      <c r="E271" s="4345"/>
      <c r="F271" s="4345"/>
      <c r="G271" s="4345"/>
      <c r="H271" s="4345"/>
      <c r="I271" s="4345"/>
      <c r="J271" s="4345"/>
      <c r="K271" s="4345"/>
      <c r="L271" s="4345"/>
      <c r="M271" s="4345"/>
      <c r="N271" s="4345"/>
      <c r="O271" s="4345"/>
      <c r="P271" s="4345"/>
      <c r="Q271" s="4345"/>
      <c r="R271" s="4345"/>
      <c r="S271" s="4345"/>
      <c r="T271" s="4345"/>
      <c r="U271" s="4345"/>
      <c r="V271" s="4345"/>
      <c r="W271" s="4345"/>
      <c r="X271" s="4346"/>
      <c r="Y271" s="4352"/>
      <c r="Z271" s="4353"/>
      <c r="AA271" s="4358"/>
      <c r="AB271" s="4359"/>
      <c r="AC271" s="60"/>
      <c r="AD271" s="60"/>
    </row>
    <row r="272" spans="1:30" s="7" customFormat="1" ht="15.75" customHeight="1" thickBot="1" x14ac:dyDescent="0.4">
      <c r="A272" s="132"/>
      <c r="B272" s="4347"/>
      <c r="C272" s="4348"/>
      <c r="D272" s="4348"/>
      <c r="E272" s="4348"/>
      <c r="F272" s="4348"/>
      <c r="G272" s="4348"/>
      <c r="H272" s="4348"/>
      <c r="I272" s="4348"/>
      <c r="J272" s="4348"/>
      <c r="K272" s="4348"/>
      <c r="L272" s="4348"/>
      <c r="M272" s="4348"/>
      <c r="N272" s="4348"/>
      <c r="O272" s="4348"/>
      <c r="P272" s="4348"/>
      <c r="Q272" s="4348"/>
      <c r="R272" s="4348"/>
      <c r="S272" s="4348"/>
      <c r="T272" s="4348"/>
      <c r="U272" s="4348"/>
      <c r="V272" s="4348"/>
      <c r="W272" s="4348"/>
      <c r="X272" s="4349"/>
      <c r="Y272" s="4354"/>
      <c r="Z272" s="4355"/>
      <c r="AA272" s="4360"/>
      <c r="AB272" s="4361"/>
      <c r="AC272" s="60"/>
      <c r="AD272" s="2324">
        <v>3</v>
      </c>
    </row>
    <row r="273" spans="1:31" s="7" customFormat="1" thickBot="1" x14ac:dyDescent="0.4">
      <c r="A273" s="132"/>
      <c r="B273" s="601"/>
      <c r="C273" s="601"/>
      <c r="D273" s="601"/>
      <c r="E273" s="601"/>
      <c r="F273" s="601"/>
      <c r="G273" s="601"/>
      <c r="H273" s="601"/>
      <c r="I273" s="601"/>
      <c r="J273" s="601"/>
      <c r="K273" s="601"/>
      <c r="L273" s="601"/>
      <c r="M273" s="601"/>
      <c r="N273" s="601"/>
      <c r="O273" s="601"/>
      <c r="P273" s="601"/>
      <c r="Q273" s="601"/>
      <c r="R273" s="138"/>
      <c r="S273" s="138"/>
      <c r="T273" s="138"/>
      <c r="U273" s="138"/>
      <c r="V273" s="138"/>
      <c r="W273" s="138"/>
      <c r="X273" s="138"/>
      <c r="Y273" s="605"/>
      <c r="Z273" s="605"/>
      <c r="AA273" s="606"/>
      <c r="AB273" s="606"/>
      <c r="AC273" s="60"/>
      <c r="AD273" s="2324"/>
    </row>
    <row r="274" spans="1:31" s="7" customFormat="1" ht="15.75" customHeight="1" x14ac:dyDescent="0.35">
      <c r="A274" s="132"/>
      <c r="B274" s="4341" t="s">
        <v>990</v>
      </c>
      <c r="C274" s="4342"/>
      <c r="D274" s="4342"/>
      <c r="E274" s="4342"/>
      <c r="F274" s="4342"/>
      <c r="G274" s="4342"/>
      <c r="H274" s="4342"/>
      <c r="I274" s="4342"/>
      <c r="J274" s="4342"/>
      <c r="K274" s="4342"/>
      <c r="L274" s="4342"/>
      <c r="M274" s="4342"/>
      <c r="N274" s="4342"/>
      <c r="O274" s="4342"/>
      <c r="P274" s="4342"/>
      <c r="Q274" s="4342"/>
      <c r="R274" s="4342"/>
      <c r="S274" s="4342"/>
      <c r="T274" s="4342"/>
      <c r="U274" s="4342"/>
      <c r="V274" s="4342"/>
      <c r="W274" s="4342"/>
      <c r="X274" s="4343"/>
      <c r="Y274" s="4350">
        <f>U72</f>
        <v>3.5</v>
      </c>
      <c r="Z274" s="4351"/>
      <c r="AA274" s="4356" t="str">
        <f>IF(ROUND(Y274,0)=1,"SANGAT TIDAK LAYAK",IF(ROUND(Y274,0)=2,"KURANG LAYAK ",IF(ROUND(Y274,0)=3,"CUKUP LAYAK",IF(ROUND(Y274,0)=4,"LAYAK",IF(ROUND(Y274,0)=5,"SANGAT LAYAK")))))</f>
        <v>LAYAK</v>
      </c>
      <c r="AB274" s="4357"/>
      <c r="AC274" s="60"/>
      <c r="AD274" s="2324"/>
    </row>
    <row r="275" spans="1:31" s="7" customFormat="1" ht="15" customHeight="1" x14ac:dyDescent="0.35">
      <c r="A275" s="132"/>
      <c r="B275" s="4344"/>
      <c r="C275" s="4345"/>
      <c r="D275" s="4345"/>
      <c r="E275" s="4345"/>
      <c r="F275" s="4345"/>
      <c r="G275" s="4345"/>
      <c r="H275" s="4345"/>
      <c r="I275" s="4345"/>
      <c r="J275" s="4345"/>
      <c r="K275" s="4345"/>
      <c r="L275" s="4345"/>
      <c r="M275" s="4345"/>
      <c r="N275" s="4345"/>
      <c r="O275" s="4345"/>
      <c r="P275" s="4345"/>
      <c r="Q275" s="4345"/>
      <c r="R275" s="4345"/>
      <c r="S275" s="4345"/>
      <c r="T275" s="4345"/>
      <c r="U275" s="4345"/>
      <c r="V275" s="4345"/>
      <c r="W275" s="4345"/>
      <c r="X275" s="4346"/>
      <c r="Y275" s="4352"/>
      <c r="Z275" s="4353"/>
      <c r="AA275" s="4358"/>
      <c r="AB275" s="4359"/>
      <c r="AC275" s="60"/>
      <c r="AD275" s="2324"/>
    </row>
    <row r="276" spans="1:31" s="7" customFormat="1" ht="15.75" customHeight="1" thickBot="1" x14ac:dyDescent="0.4">
      <c r="A276" s="132"/>
      <c r="B276" s="4347"/>
      <c r="C276" s="4348"/>
      <c r="D276" s="4348"/>
      <c r="E276" s="4348"/>
      <c r="F276" s="4348"/>
      <c r="G276" s="4348"/>
      <c r="H276" s="4348"/>
      <c r="I276" s="4348"/>
      <c r="J276" s="4348"/>
      <c r="K276" s="4348"/>
      <c r="L276" s="4348"/>
      <c r="M276" s="4348"/>
      <c r="N276" s="4348"/>
      <c r="O276" s="4348"/>
      <c r="P276" s="4348"/>
      <c r="Q276" s="4348"/>
      <c r="R276" s="4348"/>
      <c r="S276" s="4348"/>
      <c r="T276" s="4348"/>
      <c r="U276" s="4348"/>
      <c r="V276" s="4348"/>
      <c r="W276" s="4348"/>
      <c r="X276" s="4349"/>
      <c r="Y276" s="4354"/>
      <c r="Z276" s="4355"/>
      <c r="AA276" s="4360"/>
      <c r="AB276" s="4361"/>
      <c r="AC276" s="60"/>
      <c r="AD276" s="2324"/>
    </row>
    <row r="277" spans="1:31" s="7" customFormat="1" ht="15.75" customHeight="1" thickBot="1" x14ac:dyDescent="0.4">
      <c r="A277" s="144"/>
      <c r="B277" s="607"/>
      <c r="C277" s="607"/>
      <c r="D277" s="607"/>
      <c r="E277" s="607"/>
      <c r="F277" s="607"/>
      <c r="G277" s="607"/>
      <c r="H277" s="607"/>
      <c r="I277" s="607"/>
      <c r="J277" s="607"/>
      <c r="K277" s="607"/>
      <c r="L277" s="607"/>
      <c r="M277" s="607"/>
      <c r="N277" s="607"/>
      <c r="O277" s="607"/>
      <c r="P277" s="607"/>
      <c r="Q277" s="607"/>
      <c r="R277" s="607"/>
      <c r="S277" s="607"/>
      <c r="T277" s="607"/>
      <c r="U277" s="607"/>
      <c r="V277" s="607"/>
      <c r="W277" s="607"/>
      <c r="X277" s="607"/>
      <c r="Y277" s="608"/>
      <c r="Z277" s="608"/>
      <c r="AA277" s="609"/>
      <c r="AB277" s="610"/>
      <c r="AC277" s="60"/>
      <c r="AD277" s="2324"/>
    </row>
    <row r="278" spans="1:31" s="7" customFormat="1" ht="13.5" customHeight="1" x14ac:dyDescent="0.35">
      <c r="A278" s="132"/>
      <c r="B278" s="4299" t="s">
        <v>363</v>
      </c>
      <c r="C278" s="4300"/>
      <c r="D278" s="4300"/>
      <c r="E278" s="4300"/>
      <c r="F278" s="4300"/>
      <c r="G278" s="4300"/>
      <c r="H278" s="4300"/>
      <c r="I278" s="4300"/>
      <c r="J278" s="4300"/>
      <c r="K278" s="4300"/>
      <c r="L278" s="4300"/>
      <c r="M278" s="4300"/>
      <c r="N278" s="4300"/>
      <c r="O278" s="4300"/>
      <c r="P278" s="4300"/>
      <c r="Q278" s="4300"/>
      <c r="R278" s="4300"/>
      <c r="S278" s="4300"/>
      <c r="T278" s="4300"/>
      <c r="U278" s="4300"/>
      <c r="V278" s="4300"/>
      <c r="W278" s="4300"/>
      <c r="X278" s="4301"/>
      <c r="Y278" s="4308">
        <f>(SUM(Y270,Y274)/AD280)</f>
        <v>3.698840048840049</v>
      </c>
      <c r="Z278" s="4309"/>
      <c r="AA278" s="4314" t="str">
        <f>IF(ROUND(Y278,0)=1,"SANGAT TIDAK LAYAK",IF(ROUND(Y278,0)=2,"KURANG LAYAK ",IF(ROUND(Y278,0)=3,"CUKUP LAYAK",IF(ROUND(Y278,0)=4,"LAYAK",IF(ROUND(Y278,0)=5,"SANGAT LAYAK")))))</f>
        <v>LAYAK</v>
      </c>
      <c r="AB278" s="4315"/>
      <c r="AC278" s="2432"/>
      <c r="AD278" s="2433"/>
      <c r="AE278" s="27"/>
    </row>
    <row r="279" spans="1:31" s="7" customFormat="1" ht="15" customHeight="1" x14ac:dyDescent="0.35">
      <c r="A279" s="132"/>
      <c r="B279" s="4302"/>
      <c r="C279" s="4303"/>
      <c r="D279" s="4303"/>
      <c r="E279" s="4303"/>
      <c r="F279" s="4303"/>
      <c r="G279" s="4303"/>
      <c r="H279" s="4303"/>
      <c r="I279" s="4303"/>
      <c r="J279" s="4303"/>
      <c r="K279" s="4303"/>
      <c r="L279" s="4303"/>
      <c r="M279" s="4303"/>
      <c r="N279" s="4303"/>
      <c r="O279" s="4303"/>
      <c r="P279" s="4303"/>
      <c r="Q279" s="4303"/>
      <c r="R279" s="4303"/>
      <c r="S279" s="4303"/>
      <c r="T279" s="4303"/>
      <c r="U279" s="4303"/>
      <c r="V279" s="4303"/>
      <c r="W279" s="4303"/>
      <c r="X279" s="4304"/>
      <c r="Y279" s="4310"/>
      <c r="Z279" s="4311"/>
      <c r="AA279" s="4316"/>
      <c r="AB279" s="4317"/>
      <c r="AC279" s="2432"/>
      <c r="AD279" s="2324"/>
    </row>
    <row r="280" spans="1:31" s="7" customFormat="1" ht="15.75" customHeight="1" thickBot="1" x14ac:dyDescent="0.4">
      <c r="A280" s="132"/>
      <c r="B280" s="4305"/>
      <c r="C280" s="4306"/>
      <c r="D280" s="4306"/>
      <c r="E280" s="4306"/>
      <c r="F280" s="4306"/>
      <c r="G280" s="4306"/>
      <c r="H280" s="4306"/>
      <c r="I280" s="4306"/>
      <c r="J280" s="4306"/>
      <c r="K280" s="4306"/>
      <c r="L280" s="4306"/>
      <c r="M280" s="4306"/>
      <c r="N280" s="4306"/>
      <c r="O280" s="4306"/>
      <c r="P280" s="4306"/>
      <c r="Q280" s="4306"/>
      <c r="R280" s="4306"/>
      <c r="S280" s="4306"/>
      <c r="T280" s="4306"/>
      <c r="U280" s="4306"/>
      <c r="V280" s="4306"/>
      <c r="W280" s="4306"/>
      <c r="X280" s="4307"/>
      <c r="Y280" s="4312"/>
      <c r="Z280" s="4313"/>
      <c r="AA280" s="4318"/>
      <c r="AB280" s="4319"/>
      <c r="AC280" s="2432"/>
      <c r="AD280" s="2324">
        <f>COUNTIF(Y270:Z276,"&gt;0")</f>
        <v>2</v>
      </c>
    </row>
    <row r="281" spans="1:31" s="37" customFormat="1" ht="15.75" customHeight="1" thickBot="1" x14ac:dyDescent="0.4">
      <c r="A281" s="431"/>
      <c r="B281" s="607"/>
      <c r="C281" s="607"/>
      <c r="D281" s="607"/>
      <c r="E281" s="607"/>
      <c r="F281" s="607"/>
      <c r="G281" s="607"/>
      <c r="H281" s="607"/>
      <c r="I281" s="607"/>
      <c r="J281" s="607"/>
      <c r="K281" s="607"/>
      <c r="L281" s="607"/>
      <c r="M281" s="607"/>
      <c r="N281" s="607"/>
      <c r="O281" s="607"/>
      <c r="P281" s="607"/>
      <c r="Q281" s="607"/>
      <c r="R281" s="607"/>
      <c r="S281" s="607"/>
      <c r="T281" s="607"/>
      <c r="U281" s="607"/>
      <c r="V281" s="607"/>
      <c r="W281" s="607"/>
      <c r="X281" s="607"/>
      <c r="Y281" s="611"/>
      <c r="Z281" s="611"/>
      <c r="AA281" s="612"/>
      <c r="AB281" s="612"/>
      <c r="AC281" s="2432"/>
      <c r="AD281" s="2429"/>
    </row>
    <row r="282" spans="1:31" s="37" customFormat="1" ht="15.75" customHeight="1" x14ac:dyDescent="0.35">
      <c r="A282" s="431"/>
      <c r="B282" s="4320" t="s">
        <v>855</v>
      </c>
      <c r="C282" s="4321"/>
      <c r="D282" s="4321"/>
      <c r="E282" s="4321"/>
      <c r="F282" s="4321"/>
      <c r="G282" s="4321"/>
      <c r="H282" s="4321"/>
      <c r="I282" s="4321"/>
      <c r="J282" s="4321"/>
      <c r="K282" s="4321"/>
      <c r="L282" s="4321"/>
      <c r="M282" s="4321"/>
      <c r="N282" s="4321"/>
      <c r="O282" s="4321"/>
      <c r="P282" s="4321"/>
      <c r="Q282" s="4321"/>
      <c r="R282" s="4321"/>
      <c r="S282" s="4321"/>
      <c r="T282" s="4321"/>
      <c r="U282" s="4321"/>
      <c r="V282" s="4321"/>
      <c r="W282" s="4321"/>
      <c r="X282" s="4322"/>
      <c r="Y282" s="4329">
        <f>IFERROR((FRT!O164),"0")</f>
        <v>2.4645833333333331</v>
      </c>
      <c r="Z282" s="4330"/>
      <c r="AA282" s="4335" t="str">
        <f>IF(ROUND(Y282,0)&lt;=1,"MINIMUM RISK",IF(ROUND(Y282,0)=2,"ACCEPTABLE RISK ",IF(ROUND(Y282,0)=3,"AVERAGE RISK",IF(ROUND(Y282,0)=4,"ALLOWABLE RIKS",IF(ROUND(Y282,0)=5,"MARGINAL RISK")))))</f>
        <v xml:space="preserve">ACCEPTABLE RISK </v>
      </c>
      <c r="AB282" s="4336"/>
      <c r="AC282" s="2432"/>
      <c r="AD282" s="2429"/>
    </row>
    <row r="283" spans="1:31" s="37" customFormat="1" ht="15.75" customHeight="1" x14ac:dyDescent="0.35">
      <c r="A283" s="431"/>
      <c r="B283" s="4323"/>
      <c r="C283" s="4324"/>
      <c r="D283" s="4324"/>
      <c r="E283" s="4324"/>
      <c r="F283" s="4324"/>
      <c r="G283" s="4324"/>
      <c r="H283" s="4324"/>
      <c r="I283" s="4324"/>
      <c r="J283" s="4324"/>
      <c r="K283" s="4324"/>
      <c r="L283" s="4324"/>
      <c r="M283" s="4324"/>
      <c r="N283" s="4324"/>
      <c r="O283" s="4324"/>
      <c r="P283" s="4324"/>
      <c r="Q283" s="4324"/>
      <c r="R283" s="4324"/>
      <c r="S283" s="4324"/>
      <c r="T283" s="4324"/>
      <c r="U283" s="4324"/>
      <c r="V283" s="4324"/>
      <c r="W283" s="4324"/>
      <c r="X283" s="4325"/>
      <c r="Y283" s="4331"/>
      <c r="Z283" s="4332"/>
      <c r="AA283" s="4337"/>
      <c r="AB283" s="4338"/>
      <c r="AC283" s="2432"/>
      <c r="AD283" s="2429"/>
    </row>
    <row r="284" spans="1:31" s="37" customFormat="1" ht="15.75" customHeight="1" thickBot="1" x14ac:dyDescent="0.4">
      <c r="A284" s="431"/>
      <c r="B284" s="4326"/>
      <c r="C284" s="4327"/>
      <c r="D284" s="4327"/>
      <c r="E284" s="4327"/>
      <c r="F284" s="4327"/>
      <c r="G284" s="4327"/>
      <c r="H284" s="4327"/>
      <c r="I284" s="4327"/>
      <c r="J284" s="4327"/>
      <c r="K284" s="4327"/>
      <c r="L284" s="4327"/>
      <c r="M284" s="4327"/>
      <c r="N284" s="4327"/>
      <c r="O284" s="4327"/>
      <c r="P284" s="4327"/>
      <c r="Q284" s="4327"/>
      <c r="R284" s="4327"/>
      <c r="S284" s="4327"/>
      <c r="T284" s="4327"/>
      <c r="U284" s="4327"/>
      <c r="V284" s="4327"/>
      <c r="W284" s="4327"/>
      <c r="X284" s="4328"/>
      <c r="Y284" s="4333"/>
      <c r="Z284" s="4334"/>
      <c r="AA284" s="4339"/>
      <c r="AB284" s="4340"/>
      <c r="AC284" s="2432"/>
      <c r="AD284" s="2429"/>
    </row>
    <row r="285" spans="1:31" s="37" customFormat="1" ht="15.75" customHeight="1" x14ac:dyDescent="0.35">
      <c r="A285" s="431"/>
      <c r="B285" s="584"/>
      <c r="C285" s="584"/>
      <c r="D285" s="584"/>
      <c r="E285" s="584"/>
      <c r="F285" s="584"/>
      <c r="G285" s="584"/>
      <c r="H285" s="584"/>
      <c r="I285" s="584"/>
      <c r="J285" s="584"/>
      <c r="K285" s="584"/>
      <c r="L285" s="584"/>
      <c r="M285" s="584"/>
      <c r="N285" s="584"/>
      <c r="O285" s="584"/>
      <c r="P285" s="584"/>
      <c r="Q285" s="584"/>
      <c r="R285" s="584"/>
      <c r="S285" s="584"/>
      <c r="T285" s="584"/>
      <c r="U285" s="584"/>
      <c r="V285" s="584"/>
      <c r="W285" s="584"/>
      <c r="X285" s="584"/>
      <c r="Y285" s="585"/>
      <c r="Z285" s="585"/>
      <c r="AA285" s="2434"/>
      <c r="AB285" s="2434"/>
      <c r="AC285" s="2432"/>
      <c r="AD285" s="2429"/>
    </row>
    <row r="286" spans="1:31" s="37" customFormat="1" ht="15.75" customHeight="1" x14ac:dyDescent="0.35">
      <c r="A286" s="431"/>
      <c r="B286" s="584"/>
      <c r="C286" s="584"/>
      <c r="D286" s="584"/>
      <c r="E286" s="584"/>
      <c r="F286" s="584"/>
      <c r="G286" s="584"/>
      <c r="H286" s="584"/>
      <c r="I286" s="584"/>
      <c r="J286" s="584"/>
      <c r="K286" s="584"/>
      <c r="L286" s="584"/>
      <c r="M286" s="584"/>
      <c r="N286" s="584"/>
      <c r="O286" s="584"/>
      <c r="P286" s="584"/>
      <c r="Q286" s="584"/>
      <c r="R286" s="584"/>
      <c r="S286" s="584"/>
      <c r="T286" s="584"/>
      <c r="U286" s="584"/>
      <c r="V286" s="584"/>
      <c r="W286" s="584"/>
      <c r="X286" s="584"/>
      <c r="Y286" s="585"/>
      <c r="Z286" s="585"/>
      <c r="AA286" s="2434"/>
      <c r="AB286" s="2434"/>
      <c r="AC286" s="2432"/>
      <c r="AD286" s="2429"/>
    </row>
    <row r="287" spans="1:31" s="7" customFormat="1" ht="15" x14ac:dyDescent="0.35">
      <c r="A287" s="132"/>
      <c r="B287" s="144"/>
      <c r="C287" s="144"/>
      <c r="D287" s="144"/>
      <c r="E287" s="144"/>
      <c r="F287" s="144"/>
      <c r="G287" s="144"/>
      <c r="H287" s="144"/>
      <c r="I287" s="144"/>
      <c r="J287" s="144"/>
      <c r="K287" s="144"/>
      <c r="L287" s="144"/>
      <c r="M287" s="144"/>
      <c r="N287" s="144"/>
      <c r="O287" s="144"/>
      <c r="P287" s="144"/>
      <c r="Q287" s="144"/>
      <c r="R287" s="132"/>
      <c r="S287" s="132"/>
      <c r="T287" s="132"/>
      <c r="U287" s="132"/>
      <c r="V287" s="132"/>
      <c r="W287" s="132"/>
      <c r="X287" s="132"/>
      <c r="Y287" s="132"/>
      <c r="Z287" s="132"/>
      <c r="AA287" s="60"/>
      <c r="AB287" s="60"/>
      <c r="AC287" s="60"/>
      <c r="AD287" s="60"/>
    </row>
    <row r="288" spans="1:31" s="7" customFormat="1" ht="19.5" customHeight="1" x14ac:dyDescent="0.35">
      <c r="A288" s="586"/>
      <c r="B288" s="4298" t="s">
        <v>837</v>
      </c>
      <c r="C288" s="4298"/>
      <c r="D288" s="4298"/>
      <c r="E288" s="4298"/>
      <c r="F288" s="4298"/>
      <c r="G288" s="4298"/>
      <c r="H288" s="4298"/>
      <c r="I288" s="4298"/>
      <c r="J288" s="4298"/>
      <c r="K288" s="4298"/>
      <c r="L288" s="4298"/>
      <c r="M288" s="4298"/>
      <c r="N288" s="4298"/>
      <c r="O288" s="4298"/>
      <c r="P288" s="4298"/>
      <c r="Q288" s="4298"/>
      <c r="R288" s="4298"/>
      <c r="S288" s="4298"/>
      <c r="T288" s="4298"/>
      <c r="U288" s="4298"/>
      <c r="V288" s="4298"/>
      <c r="W288" s="4298"/>
      <c r="X288" s="4298"/>
      <c r="Y288" s="4298"/>
      <c r="Z288" s="132"/>
      <c r="AA288" s="61"/>
      <c r="AB288" s="60"/>
      <c r="AC288" s="60"/>
      <c r="AD288" s="60"/>
    </row>
    <row r="289" spans="1:30" s="7" customFormat="1" ht="19.5" customHeight="1" x14ac:dyDescent="0.35">
      <c r="A289" s="586"/>
      <c r="B289" s="601"/>
      <c r="C289" s="601"/>
      <c r="D289" s="601"/>
      <c r="E289" s="601"/>
      <c r="F289" s="601"/>
      <c r="G289" s="601"/>
      <c r="H289" s="601"/>
      <c r="I289" s="601"/>
      <c r="J289" s="601"/>
      <c r="K289" s="601"/>
      <c r="L289" s="601"/>
      <c r="M289" s="601"/>
      <c r="N289" s="601"/>
      <c r="O289" s="601"/>
      <c r="P289" s="601"/>
      <c r="Q289" s="601"/>
      <c r="R289" s="138"/>
      <c r="S289" s="138"/>
      <c r="T289" s="138"/>
      <c r="U289" s="138"/>
      <c r="V289" s="138"/>
      <c r="W289" s="138"/>
      <c r="X289" s="138"/>
      <c r="Y289" s="138"/>
      <c r="Z289" s="132"/>
      <c r="AA289" s="61"/>
      <c r="AB289" s="60"/>
      <c r="AC289" s="60"/>
      <c r="AD289" s="60"/>
    </row>
    <row r="290" spans="1:30" s="7" customFormat="1" ht="34.5" customHeight="1" x14ac:dyDescent="0.35">
      <c r="A290" s="586"/>
      <c r="B290" s="4288" t="s">
        <v>173</v>
      </c>
      <c r="C290" s="4288"/>
      <c r="D290" s="4288"/>
      <c r="E290" s="4288"/>
      <c r="F290" s="4288"/>
      <c r="G290" s="2452" t="s">
        <v>0</v>
      </c>
      <c r="H290" s="2452"/>
      <c r="I290" s="4293" t="str">
        <f>B26</f>
        <v>DANA BERGULIR LPDB</v>
      </c>
      <c r="J290" s="4293"/>
      <c r="K290" s="4293"/>
      <c r="L290" s="4293"/>
      <c r="M290" s="4293"/>
      <c r="N290" s="4293"/>
      <c r="O290" s="4293"/>
      <c r="P290" s="4293"/>
      <c r="Q290" s="4293"/>
      <c r="R290" s="4293"/>
      <c r="S290" s="4293"/>
      <c r="T290" s="4293"/>
      <c r="U290" s="4293"/>
      <c r="V290" s="4293"/>
      <c r="W290" s="4293"/>
      <c r="X290" s="4293"/>
      <c r="Y290" s="4293"/>
      <c r="Z290" s="132"/>
      <c r="AA290" s="61"/>
      <c r="AB290" s="60"/>
      <c r="AC290" s="60"/>
      <c r="AD290" s="60"/>
    </row>
    <row r="291" spans="1:30" s="7" customFormat="1" ht="34.5" customHeight="1" x14ac:dyDescent="0.35">
      <c r="A291" s="586"/>
      <c r="B291" s="4288" t="s">
        <v>816</v>
      </c>
      <c r="C291" s="4288"/>
      <c r="D291" s="4288"/>
      <c r="E291" s="4288"/>
      <c r="F291" s="4288"/>
      <c r="G291" s="2452" t="s">
        <v>0</v>
      </c>
      <c r="H291" s="2452"/>
      <c r="I291" s="4709">
        <v>7000000000</v>
      </c>
      <c r="J291" s="4709"/>
      <c r="K291" s="4709"/>
      <c r="L291" s="2529"/>
      <c r="M291" s="2529"/>
      <c r="N291" s="2453"/>
      <c r="O291" s="2453"/>
      <c r="P291" s="2453"/>
      <c r="Q291" s="2453"/>
      <c r="R291" s="2453"/>
      <c r="S291" s="2453"/>
      <c r="T291" s="2453"/>
      <c r="U291" s="2453"/>
      <c r="V291" s="2453"/>
      <c r="W291" s="2453"/>
      <c r="X291" s="2453"/>
      <c r="Y291" s="2453"/>
      <c r="Z291" s="132"/>
      <c r="AA291" s="61"/>
      <c r="AB291" s="60"/>
      <c r="AC291" s="60"/>
      <c r="AD291" s="60"/>
    </row>
    <row r="292" spans="1:30" s="7" customFormat="1" ht="34.5" customHeight="1" x14ac:dyDescent="0.35">
      <c r="A292" s="586"/>
      <c r="B292" s="4288" t="s">
        <v>174</v>
      </c>
      <c r="C292" s="4288"/>
      <c r="D292" s="4288"/>
      <c r="E292" s="4288"/>
      <c r="F292" s="4288"/>
      <c r="G292" s="2452" t="s">
        <v>0</v>
      </c>
      <c r="H292" s="2452"/>
      <c r="I292" s="4293" t="str">
        <f>H20</f>
        <v>Penambahan Modal Usaha</v>
      </c>
      <c r="J292" s="4293"/>
      <c r="K292" s="4293"/>
      <c r="L292" s="4293"/>
      <c r="M292" s="4293"/>
      <c r="N292" s="4293"/>
      <c r="O292" s="4293" t="str">
        <f>H20</f>
        <v>Penambahan Modal Usaha</v>
      </c>
      <c r="P292" s="4293"/>
      <c r="Q292" s="4293"/>
      <c r="R292" s="4293"/>
      <c r="S292" s="4293"/>
      <c r="T292" s="4293"/>
      <c r="U292" s="4293"/>
      <c r="V292" s="4293"/>
      <c r="W292" s="4293"/>
      <c r="X292" s="4293"/>
      <c r="Y292" s="4293"/>
      <c r="Z292" s="132"/>
      <c r="AA292" s="61"/>
      <c r="AB292" s="60"/>
      <c r="AC292" s="60"/>
      <c r="AD292" s="60"/>
    </row>
    <row r="293" spans="1:30" s="7" customFormat="1" ht="34.5" customHeight="1" x14ac:dyDescent="0.35">
      <c r="A293" s="586"/>
      <c r="B293" s="4291" t="s">
        <v>176</v>
      </c>
      <c r="C293" s="4291"/>
      <c r="D293" s="4291"/>
      <c r="E293" s="4291"/>
      <c r="F293" s="4291"/>
      <c r="G293" s="144" t="s">
        <v>0</v>
      </c>
      <c r="H293" s="1574"/>
      <c r="I293" s="4295"/>
      <c r="J293" s="4295"/>
      <c r="K293" s="4295"/>
      <c r="L293" s="4295"/>
      <c r="M293" s="4295"/>
      <c r="N293" s="4295"/>
      <c r="O293" s="4295"/>
      <c r="P293" s="4295"/>
      <c r="Q293" s="4295"/>
      <c r="R293" s="4295"/>
      <c r="S293" s="4295"/>
      <c r="T293" s="4295"/>
      <c r="U293" s="4295"/>
      <c r="V293" s="4295"/>
      <c r="W293" s="4295"/>
      <c r="X293" s="4295"/>
      <c r="Y293" s="4295"/>
      <c r="Z293" s="132"/>
      <c r="AA293" s="61"/>
      <c r="AB293" s="60"/>
      <c r="AC293" s="60"/>
      <c r="AD293" s="60"/>
    </row>
    <row r="294" spans="1:30" s="7" customFormat="1" ht="34.5" customHeight="1" x14ac:dyDescent="0.35">
      <c r="A294" s="586"/>
      <c r="B294" s="4291" t="s">
        <v>177</v>
      </c>
      <c r="C294" s="4291"/>
      <c r="D294" s="4291"/>
      <c r="E294" s="4291"/>
      <c r="F294" s="4291"/>
      <c r="G294" s="144" t="s">
        <v>0</v>
      </c>
      <c r="H294" s="587"/>
      <c r="I294" s="4296">
        <v>60</v>
      </c>
      <c r="J294" s="4296"/>
      <c r="K294" s="4296" t="s">
        <v>838</v>
      </c>
      <c r="L294" s="4296"/>
      <c r="M294" s="4296"/>
      <c r="N294" s="4296"/>
      <c r="O294" s="588"/>
      <c r="P294" s="588"/>
      <c r="Q294" s="588"/>
      <c r="R294" s="588"/>
      <c r="S294" s="588"/>
      <c r="T294" s="588"/>
      <c r="U294" s="588"/>
      <c r="V294" s="588"/>
      <c r="W294" s="588"/>
      <c r="X294" s="588"/>
      <c r="Y294" s="588"/>
      <c r="Z294" s="132"/>
      <c r="AA294" s="61"/>
      <c r="AB294" s="60"/>
      <c r="AC294" s="60"/>
      <c r="AD294" s="60"/>
    </row>
    <row r="295" spans="1:30" s="7" customFormat="1" ht="34.5" customHeight="1" x14ac:dyDescent="0.35">
      <c r="A295" s="586"/>
      <c r="B295" s="4291" t="s">
        <v>178</v>
      </c>
      <c r="C295" s="4291"/>
      <c r="D295" s="4291"/>
      <c r="E295" s="4291"/>
      <c r="F295" s="4291"/>
      <c r="G295" s="144" t="s">
        <v>0</v>
      </c>
      <c r="H295" s="506"/>
      <c r="I295" s="4297" t="s">
        <v>1836</v>
      </c>
      <c r="J295" s="4297"/>
      <c r="K295" s="4297"/>
      <c r="L295" s="4297"/>
      <c r="M295" s="4297"/>
      <c r="N295" s="4297"/>
      <c r="O295" s="4297"/>
      <c r="P295" s="4297"/>
      <c r="Q295" s="4297"/>
      <c r="R295" s="4297"/>
      <c r="S295" s="4297"/>
      <c r="T295" s="4297"/>
      <c r="U295" s="4297"/>
      <c r="V295" s="4297"/>
      <c r="W295" s="4297"/>
      <c r="X295" s="4297"/>
      <c r="Y295" s="4297"/>
      <c r="Z295" s="132"/>
      <c r="AA295" s="61"/>
      <c r="AB295" s="60"/>
      <c r="AC295" s="60"/>
      <c r="AD295" s="60"/>
    </row>
    <row r="296" spans="1:30" s="7" customFormat="1" ht="34.5" customHeight="1" x14ac:dyDescent="0.35">
      <c r="A296" s="586"/>
      <c r="B296" s="4291" t="s">
        <v>179</v>
      </c>
      <c r="C296" s="4291"/>
      <c r="D296" s="4291"/>
      <c r="E296" s="4291"/>
      <c r="F296" s="4291"/>
      <c r="G296" s="144" t="s">
        <v>0</v>
      </c>
      <c r="H296" s="1574"/>
      <c r="I296" s="4295"/>
      <c r="J296" s="4295"/>
      <c r="K296" s="4295"/>
      <c r="L296" s="4295"/>
      <c r="M296" s="4295"/>
      <c r="N296" s="4295"/>
      <c r="O296" s="4295"/>
      <c r="P296" s="4295"/>
      <c r="Q296" s="4295"/>
      <c r="R296" s="4295"/>
      <c r="S296" s="4295"/>
      <c r="T296" s="4295"/>
      <c r="U296" s="4295"/>
      <c r="V296" s="4295"/>
      <c r="W296" s="4295"/>
      <c r="X296" s="4295"/>
      <c r="Y296" s="4295"/>
      <c r="Z296" s="132"/>
      <c r="AA296" s="61"/>
      <c r="AB296" s="60"/>
      <c r="AC296" s="60"/>
      <c r="AD296" s="60"/>
    </row>
    <row r="297" spans="1:30" s="7" customFormat="1" ht="34.5" customHeight="1" x14ac:dyDescent="0.35">
      <c r="A297" s="586"/>
      <c r="B297" s="4291" t="s">
        <v>180</v>
      </c>
      <c r="C297" s="4291"/>
      <c r="D297" s="4291"/>
      <c r="E297" s="4291"/>
      <c r="F297" s="4291"/>
      <c r="G297" s="144" t="s">
        <v>0</v>
      </c>
      <c r="H297" s="1574"/>
      <c r="I297" s="4295"/>
      <c r="J297" s="4295"/>
      <c r="K297" s="4295"/>
      <c r="L297" s="4295"/>
      <c r="M297" s="4295"/>
      <c r="N297" s="4295"/>
      <c r="O297" s="4295"/>
      <c r="P297" s="4295"/>
      <c r="Q297" s="4295"/>
      <c r="R297" s="4295"/>
      <c r="S297" s="4295"/>
      <c r="T297" s="4295"/>
      <c r="U297" s="4295"/>
      <c r="V297" s="4295"/>
      <c r="W297" s="4295"/>
      <c r="X297" s="4295"/>
      <c r="Y297" s="4295"/>
      <c r="Z297" s="132"/>
      <c r="AA297" s="61"/>
      <c r="AB297" s="60"/>
      <c r="AC297" s="60"/>
      <c r="AD297" s="60"/>
    </row>
    <row r="298" spans="1:30" s="7" customFormat="1" ht="34.5" customHeight="1" x14ac:dyDescent="0.35">
      <c r="A298" s="586"/>
      <c r="B298" s="4288" t="s">
        <v>839</v>
      </c>
      <c r="C298" s="4288"/>
      <c r="D298" s="4288"/>
      <c r="E298" s="4288"/>
      <c r="F298" s="4288"/>
      <c r="G298" s="601" t="s">
        <v>0</v>
      </c>
      <c r="H298" s="560">
        <v>1</v>
      </c>
      <c r="I298" s="4289">
        <f>BATA!F21</f>
        <v>0</v>
      </c>
      <c r="J298" s="4289"/>
      <c r="K298" s="4289"/>
      <c r="L298" s="4289"/>
      <c r="M298" s="4289"/>
      <c r="N298" s="4289"/>
      <c r="O298" s="4289"/>
      <c r="P298" s="4289"/>
      <c r="Q298" s="4289"/>
      <c r="R298" s="4289"/>
      <c r="S298" s="4289"/>
      <c r="T298" s="4289"/>
      <c r="U298" s="4292"/>
      <c r="V298" s="4292"/>
      <c r="W298" s="4292"/>
      <c r="X298" s="4292"/>
      <c r="Y298" s="4292"/>
      <c r="Z298" s="132"/>
      <c r="AA298" s="61"/>
      <c r="AB298" s="60"/>
      <c r="AC298" s="60"/>
      <c r="AD298" s="60"/>
    </row>
    <row r="299" spans="1:30" s="7" customFormat="1" ht="34.5" customHeight="1" x14ac:dyDescent="0.35">
      <c r="A299" s="586"/>
      <c r="B299" s="2454"/>
      <c r="C299" s="2454"/>
      <c r="D299" s="2454"/>
      <c r="E299" s="2454"/>
      <c r="F299" s="2454"/>
      <c r="G299" s="601"/>
      <c r="H299" s="560">
        <v>2</v>
      </c>
      <c r="I299" s="4289">
        <f>BATA!F27</f>
        <v>0</v>
      </c>
      <c r="J299" s="4289"/>
      <c r="K299" s="4289"/>
      <c r="L299" s="4289"/>
      <c r="M299" s="4289"/>
      <c r="N299" s="4289"/>
      <c r="O299" s="4289"/>
      <c r="P299" s="4289"/>
      <c r="Q299" s="4289"/>
      <c r="R299" s="4289"/>
      <c r="S299" s="4289"/>
      <c r="T299" s="4289"/>
      <c r="U299" s="4292"/>
      <c r="V299" s="4292"/>
      <c r="W299" s="4292"/>
      <c r="X299" s="4292"/>
      <c r="Y299" s="4292"/>
      <c r="Z299" s="132"/>
      <c r="AA299" s="61"/>
      <c r="AB299" s="60"/>
      <c r="AC299" s="60"/>
      <c r="AD299" s="60"/>
    </row>
    <row r="300" spans="1:30" s="7" customFormat="1" ht="34.5" customHeight="1" x14ac:dyDescent="0.35">
      <c r="A300" s="586"/>
      <c r="B300" s="2454"/>
      <c r="C300" s="2454"/>
      <c r="D300" s="2454"/>
      <c r="E300" s="2454"/>
      <c r="F300" s="2454"/>
      <c r="G300" s="601"/>
      <c r="H300" s="560">
        <v>3</v>
      </c>
      <c r="I300" s="4289">
        <f>BATA!F33</f>
        <v>0</v>
      </c>
      <c r="J300" s="4289"/>
      <c r="K300" s="4289"/>
      <c r="L300" s="4289"/>
      <c r="M300" s="4289"/>
      <c r="N300" s="4289"/>
      <c r="O300" s="4289"/>
      <c r="P300" s="4289"/>
      <c r="Q300" s="4289"/>
      <c r="R300" s="4289"/>
      <c r="S300" s="4289"/>
      <c r="T300" s="4289"/>
      <c r="U300" s="4292"/>
      <c r="V300" s="4292"/>
      <c r="W300" s="4292"/>
      <c r="X300" s="4292"/>
      <c r="Y300" s="4292"/>
      <c r="Z300" s="132"/>
      <c r="AA300" s="61"/>
      <c r="AB300" s="60"/>
      <c r="AC300" s="60"/>
      <c r="AD300" s="60"/>
    </row>
    <row r="301" spans="1:30" s="7" customFormat="1" ht="34.5" customHeight="1" x14ac:dyDescent="0.35">
      <c r="A301" s="586"/>
      <c r="B301" s="2454"/>
      <c r="C301" s="2454"/>
      <c r="D301" s="2454"/>
      <c r="E301" s="2454"/>
      <c r="F301" s="2454"/>
      <c r="G301" s="601"/>
      <c r="H301" s="560">
        <v>4</v>
      </c>
      <c r="I301" s="4289">
        <f>BATA!F39</f>
        <v>0</v>
      </c>
      <c r="J301" s="4289"/>
      <c r="K301" s="4289"/>
      <c r="L301" s="4289"/>
      <c r="M301" s="4289"/>
      <c r="N301" s="4289"/>
      <c r="O301" s="4289"/>
      <c r="P301" s="4289"/>
      <c r="Q301" s="4289"/>
      <c r="R301" s="4289"/>
      <c r="S301" s="4289"/>
      <c r="T301" s="4289"/>
      <c r="U301" s="4292"/>
      <c r="V301" s="4292"/>
      <c r="W301" s="4292"/>
      <c r="X301" s="4292"/>
      <c r="Y301" s="4292"/>
      <c r="Z301" s="132"/>
      <c r="AA301" s="61"/>
      <c r="AB301" s="60"/>
      <c r="AC301" s="60"/>
      <c r="AD301" s="60"/>
    </row>
    <row r="302" spans="1:30" s="7" customFormat="1" ht="34.5" customHeight="1" x14ac:dyDescent="0.35">
      <c r="A302" s="586"/>
      <c r="B302" s="2454"/>
      <c r="C302" s="2454"/>
      <c r="D302" s="2454"/>
      <c r="E302" s="2454"/>
      <c r="F302" s="2454"/>
      <c r="G302" s="601"/>
      <c r="H302" s="560">
        <v>5</v>
      </c>
      <c r="I302" s="4289">
        <f>BATA!F46</f>
        <v>0</v>
      </c>
      <c r="J302" s="4289"/>
      <c r="K302" s="4289"/>
      <c r="L302" s="4289"/>
      <c r="M302" s="4289"/>
      <c r="N302" s="4289"/>
      <c r="O302" s="4289"/>
      <c r="P302" s="4289"/>
      <c r="Q302" s="4289"/>
      <c r="R302" s="4289"/>
      <c r="S302" s="4289"/>
      <c r="T302" s="4289"/>
      <c r="U302" s="4292"/>
      <c r="V302" s="4292"/>
      <c r="W302" s="4292"/>
      <c r="X302" s="4292"/>
      <c r="Y302" s="4292"/>
      <c r="Z302" s="132"/>
      <c r="AA302" s="61"/>
      <c r="AB302" s="60"/>
      <c r="AC302" s="60"/>
      <c r="AD302" s="60"/>
    </row>
    <row r="303" spans="1:30" s="7" customFormat="1" ht="34.5" customHeight="1" x14ac:dyDescent="0.35">
      <c r="A303" s="586"/>
      <c r="B303" s="2454"/>
      <c r="C303" s="2454"/>
      <c r="D303" s="2454"/>
      <c r="E303" s="2454"/>
      <c r="F303" s="2454"/>
      <c r="G303" s="601"/>
      <c r="H303" s="560">
        <v>6</v>
      </c>
      <c r="I303" s="4289">
        <f>BATA!F52</f>
        <v>0</v>
      </c>
      <c r="J303" s="4289"/>
      <c r="K303" s="4289"/>
      <c r="L303" s="4289"/>
      <c r="M303" s="4289"/>
      <c r="N303" s="4289"/>
      <c r="O303" s="4289"/>
      <c r="P303" s="4289"/>
      <c r="Q303" s="4289"/>
      <c r="R303" s="4289"/>
      <c r="S303" s="4289"/>
      <c r="T303" s="4289"/>
      <c r="U303" s="4292"/>
      <c r="V303" s="4292"/>
      <c r="W303" s="4292"/>
      <c r="X303" s="4292"/>
      <c r="Y303" s="4292"/>
      <c r="Z303" s="132"/>
      <c r="AA303" s="61"/>
      <c r="AB303" s="60"/>
      <c r="AC303" s="60"/>
      <c r="AD303" s="60"/>
    </row>
    <row r="304" spans="1:30" s="7" customFormat="1" ht="34.5" customHeight="1" x14ac:dyDescent="0.35">
      <c r="A304" s="586"/>
      <c r="B304" s="2454"/>
      <c r="C304" s="2454"/>
      <c r="D304" s="2454"/>
      <c r="E304" s="2454"/>
      <c r="F304" s="2454"/>
      <c r="G304" s="601"/>
      <c r="H304" s="560">
        <v>7</v>
      </c>
      <c r="I304" s="4289">
        <f>BATA!F58</f>
        <v>0</v>
      </c>
      <c r="J304" s="4289"/>
      <c r="K304" s="4289"/>
      <c r="L304" s="4289"/>
      <c r="M304" s="4289"/>
      <c r="N304" s="4289"/>
      <c r="O304" s="4289"/>
      <c r="P304" s="4289"/>
      <c r="Q304" s="4289"/>
      <c r="R304" s="4289"/>
      <c r="S304" s="4289"/>
      <c r="T304" s="4289"/>
      <c r="U304" s="4292"/>
      <c r="V304" s="4292"/>
      <c r="W304" s="4292"/>
      <c r="X304" s="4292"/>
      <c r="Y304" s="4292"/>
      <c r="Z304" s="132"/>
      <c r="AA304" s="61"/>
      <c r="AB304" s="60"/>
      <c r="AC304" s="60"/>
      <c r="AD304" s="60"/>
    </row>
    <row r="305" spans="1:30" s="7" customFormat="1" ht="34.5" customHeight="1" x14ac:dyDescent="0.35">
      <c r="A305" s="586"/>
      <c r="B305" s="2454"/>
      <c r="C305" s="2454"/>
      <c r="D305" s="2454"/>
      <c r="E305" s="2454"/>
      <c r="F305" s="2454"/>
      <c r="G305" s="601"/>
      <c r="H305" s="560">
        <v>8</v>
      </c>
      <c r="I305" s="4289">
        <f>BATA!F64</f>
        <v>0</v>
      </c>
      <c r="J305" s="4289"/>
      <c r="K305" s="4289"/>
      <c r="L305" s="4289"/>
      <c r="M305" s="4289"/>
      <c r="N305" s="4289"/>
      <c r="O305" s="4289"/>
      <c r="P305" s="4289"/>
      <c r="Q305" s="4289"/>
      <c r="R305" s="4289"/>
      <c r="S305" s="4289"/>
      <c r="T305" s="4289"/>
      <c r="U305" s="4292"/>
      <c r="V305" s="4292"/>
      <c r="W305" s="4292"/>
      <c r="X305" s="4292"/>
      <c r="Y305" s="4292"/>
      <c r="Z305" s="132"/>
      <c r="AA305" s="61"/>
      <c r="AB305" s="60"/>
      <c r="AC305" s="60"/>
      <c r="AD305" s="60"/>
    </row>
    <row r="306" spans="1:30" s="7" customFormat="1" ht="34.5" customHeight="1" x14ac:dyDescent="0.35">
      <c r="A306" s="586"/>
      <c r="B306" s="4288" t="s">
        <v>840</v>
      </c>
      <c r="C306" s="4288"/>
      <c r="D306" s="4288"/>
      <c r="E306" s="4288"/>
      <c r="F306" s="4288"/>
      <c r="G306" s="1546" t="s">
        <v>0</v>
      </c>
      <c r="H306" s="1573">
        <v>1</v>
      </c>
      <c r="I306" s="4293">
        <f>BATA!F96</f>
        <v>0</v>
      </c>
      <c r="J306" s="4293"/>
      <c r="K306" s="4293"/>
      <c r="L306" s="4293"/>
      <c r="M306" s="4293"/>
      <c r="N306" s="4293"/>
      <c r="O306" s="4293"/>
      <c r="P306" s="4293"/>
      <c r="Q306" s="4293"/>
      <c r="R306" s="4293"/>
      <c r="S306" s="4293"/>
      <c r="T306" s="4293"/>
      <c r="U306" s="4294"/>
      <c r="V306" s="4294"/>
      <c r="W306" s="4294"/>
      <c r="X306" s="4294"/>
      <c r="Y306" s="4294"/>
      <c r="Z306" s="132"/>
      <c r="AA306" s="61"/>
      <c r="AB306" s="60"/>
      <c r="AC306" s="60"/>
      <c r="AD306" s="60"/>
    </row>
    <row r="307" spans="1:30" s="7" customFormat="1" ht="34.5" customHeight="1" x14ac:dyDescent="0.35">
      <c r="A307" s="586"/>
      <c r="B307" s="2454"/>
      <c r="C307" s="2454"/>
      <c r="D307" s="2454"/>
      <c r="E307" s="2454"/>
      <c r="F307" s="2454"/>
      <c r="G307" s="601"/>
      <c r="H307" s="560">
        <v>2</v>
      </c>
      <c r="I307" s="4289">
        <f>BATA!F102</f>
        <v>0</v>
      </c>
      <c r="J307" s="4289"/>
      <c r="K307" s="4289"/>
      <c r="L307" s="4289"/>
      <c r="M307" s="4289"/>
      <c r="N307" s="4289"/>
      <c r="O307" s="4289"/>
      <c r="P307" s="4289"/>
      <c r="Q307" s="4289"/>
      <c r="R307" s="4289"/>
      <c r="S307" s="4289"/>
      <c r="T307" s="4289"/>
      <c r="U307" s="4292"/>
      <c r="V307" s="4292"/>
      <c r="W307" s="4292"/>
      <c r="X307" s="4292"/>
      <c r="Y307" s="4292"/>
      <c r="Z307" s="132"/>
      <c r="AA307" s="61"/>
      <c r="AB307" s="60"/>
      <c r="AC307" s="60"/>
      <c r="AD307" s="60"/>
    </row>
    <row r="308" spans="1:30" s="7" customFormat="1" ht="34.5" customHeight="1" x14ac:dyDescent="0.35">
      <c r="A308" s="586"/>
      <c r="B308" s="1584"/>
      <c r="C308" s="1584"/>
      <c r="D308" s="1584"/>
      <c r="E308" s="1584"/>
      <c r="F308" s="1584"/>
      <c r="G308" s="144"/>
      <c r="H308" s="1574">
        <v>3</v>
      </c>
      <c r="I308" s="4286"/>
      <c r="J308" s="4286"/>
      <c r="K308" s="4286"/>
      <c r="L308" s="4286"/>
      <c r="M308" s="4286"/>
      <c r="N308" s="4286"/>
      <c r="O308" s="4286"/>
      <c r="P308" s="4286"/>
      <c r="Q308" s="4286"/>
      <c r="R308" s="4286"/>
      <c r="S308" s="4286"/>
      <c r="T308" s="4286"/>
      <c r="U308" s="4287"/>
      <c r="V308" s="4287"/>
      <c r="W308" s="4287"/>
      <c r="X308" s="4287"/>
      <c r="Y308" s="4287"/>
      <c r="Z308" s="132"/>
      <c r="AA308" s="61"/>
      <c r="AB308" s="60"/>
      <c r="AC308" s="60"/>
      <c r="AD308" s="60"/>
    </row>
    <row r="309" spans="1:30" s="7" customFormat="1" ht="34.5" customHeight="1" x14ac:dyDescent="0.35">
      <c r="A309" s="586"/>
      <c r="B309" s="4288" t="s">
        <v>841</v>
      </c>
      <c r="C309" s="4288"/>
      <c r="D309" s="4288"/>
      <c r="E309" s="4288"/>
      <c r="F309" s="4288"/>
      <c r="G309" s="601"/>
      <c r="H309" s="560">
        <v>1</v>
      </c>
      <c r="I309" s="4289" t="str">
        <f>BATA!F74</f>
        <v>Piutang sehat / Kolektibilitas A diikat Fidusia</v>
      </c>
      <c r="J309" s="4289"/>
      <c r="K309" s="4289"/>
      <c r="L309" s="4289"/>
      <c r="M309" s="4289"/>
      <c r="N309" s="4289"/>
      <c r="O309" s="4289"/>
      <c r="P309" s="4289"/>
      <c r="Q309" s="4289"/>
      <c r="R309" s="4289"/>
      <c r="S309" s="4289"/>
      <c r="T309" s="4289"/>
      <c r="U309" s="4290"/>
      <c r="V309" s="4290"/>
      <c r="W309" s="4290"/>
      <c r="X309" s="4290"/>
      <c r="Y309" s="4290"/>
      <c r="Z309" s="132"/>
      <c r="AA309" s="61"/>
      <c r="AB309" s="60"/>
      <c r="AC309" s="60"/>
      <c r="AD309" s="60"/>
    </row>
    <row r="310" spans="1:30" s="7" customFormat="1" ht="34.5" customHeight="1" x14ac:dyDescent="0.35">
      <c r="A310" s="586"/>
      <c r="B310" s="4291" t="s">
        <v>842</v>
      </c>
      <c r="C310" s="4291"/>
      <c r="D310" s="4291"/>
      <c r="E310" s="4291"/>
      <c r="F310" s="4291"/>
      <c r="G310" s="144" t="s">
        <v>0</v>
      </c>
      <c r="H310" s="1574"/>
      <c r="I310" s="613">
        <v>0.7</v>
      </c>
      <c r="J310" s="1585"/>
      <c r="K310" s="1585"/>
      <c r="L310" s="1585"/>
      <c r="M310" s="1585"/>
      <c r="N310" s="1585"/>
      <c r="O310" s="1585"/>
      <c r="P310" s="1585"/>
      <c r="Q310" s="1585"/>
      <c r="R310" s="1585"/>
      <c r="S310" s="1585"/>
      <c r="T310" s="1585"/>
      <c r="U310" s="1585"/>
      <c r="V310" s="1585"/>
      <c r="W310" s="1585"/>
      <c r="X310" s="1585"/>
      <c r="Y310" s="1585"/>
      <c r="Z310" s="132"/>
      <c r="AA310" s="61"/>
      <c r="AB310" s="60"/>
      <c r="AC310" s="60"/>
      <c r="AD310" s="60"/>
    </row>
    <row r="311" spans="1:30" s="7" customFormat="1" ht="19.5" customHeight="1" x14ac:dyDescent="0.35">
      <c r="A311" s="586"/>
      <c r="B311" s="586" t="s">
        <v>1837</v>
      </c>
      <c r="C311" s="586"/>
      <c r="D311" s="586"/>
      <c r="E311" s="586"/>
      <c r="F311" s="586"/>
      <c r="G311" s="586"/>
      <c r="H311" s="586"/>
      <c r="I311" s="2526">
        <v>5.5E-2</v>
      </c>
      <c r="J311" s="586" t="s">
        <v>194</v>
      </c>
      <c r="K311" s="4707">
        <f>I291</f>
        <v>7000000000</v>
      </c>
      <c r="L311" s="4707"/>
      <c r="M311" s="4707"/>
      <c r="N311" s="2527" t="s">
        <v>72</v>
      </c>
      <c r="O311" s="4708">
        <f>I311*K311</f>
        <v>385000000</v>
      </c>
      <c r="P311" s="4708"/>
      <c r="Q311" s="4708"/>
      <c r="R311" s="2528"/>
      <c r="S311" s="2528"/>
      <c r="T311" s="586"/>
      <c r="U311" s="586"/>
      <c r="V311" s="586"/>
      <c r="W311" s="586"/>
      <c r="X311" s="586"/>
      <c r="Y311" s="586"/>
      <c r="Z311" s="132"/>
      <c r="AA311" s="61"/>
      <c r="AB311" s="60"/>
      <c r="AC311" s="60"/>
      <c r="AD311" s="60"/>
    </row>
    <row r="312" spans="1:30" s="10" customFormat="1" ht="19.5" customHeight="1" x14ac:dyDescent="0.35">
      <c r="A312" s="586"/>
      <c r="B312" s="4273" t="s">
        <v>191</v>
      </c>
      <c r="C312" s="4274"/>
      <c r="D312" s="4274"/>
      <c r="E312" s="4274"/>
      <c r="F312" s="4274"/>
      <c r="G312" s="4274"/>
      <c r="H312" s="4274"/>
      <c r="I312" s="4274"/>
      <c r="J312" s="4274"/>
      <c r="K312" s="4274"/>
      <c r="L312" s="4274"/>
      <c r="M312" s="4274"/>
      <c r="N312" s="4274"/>
      <c r="O312" s="4274"/>
      <c r="P312" s="4274"/>
      <c r="Q312" s="4274"/>
      <c r="R312" s="4274"/>
      <c r="S312" s="4274"/>
      <c r="T312" s="4274"/>
      <c r="U312" s="4274"/>
      <c r="V312" s="4274"/>
      <c r="W312" s="4274"/>
      <c r="X312" s="4274"/>
      <c r="Y312" s="4275"/>
      <c r="Z312" s="1547"/>
      <c r="AA312" s="1289"/>
      <c r="AB312" s="1289"/>
      <c r="AC312" s="1289"/>
      <c r="AD312" s="1289"/>
    </row>
    <row r="313" spans="1:30" s="7" customFormat="1" ht="19.5" customHeight="1" x14ac:dyDescent="0.35">
      <c r="A313" s="586"/>
      <c r="B313" s="3770"/>
      <c r="C313" s="3771"/>
      <c r="D313" s="3771"/>
      <c r="E313" s="3771"/>
      <c r="F313" s="3771"/>
      <c r="G313" s="3771"/>
      <c r="H313" s="3771"/>
      <c r="I313" s="3771"/>
      <c r="J313" s="3771"/>
      <c r="K313" s="3771"/>
      <c r="L313" s="3771"/>
      <c r="M313" s="3771"/>
      <c r="N313" s="3771"/>
      <c r="O313" s="3771"/>
      <c r="P313" s="3771"/>
      <c r="Q313" s="3771"/>
      <c r="R313" s="3771"/>
      <c r="S313" s="3771"/>
      <c r="T313" s="3771"/>
      <c r="U313" s="3771"/>
      <c r="V313" s="3771"/>
      <c r="W313" s="3771"/>
      <c r="X313" s="3771"/>
      <c r="Y313" s="3772"/>
      <c r="Z313" s="132"/>
      <c r="AA313" s="61"/>
      <c r="AB313" s="60"/>
      <c r="AC313" s="60"/>
      <c r="AD313" s="60"/>
    </row>
    <row r="314" spans="1:30" s="7" customFormat="1" ht="19.5" customHeight="1" x14ac:dyDescent="0.35">
      <c r="A314" s="586"/>
      <c r="B314" s="3770"/>
      <c r="C314" s="3771"/>
      <c r="D314" s="3771"/>
      <c r="E314" s="3771"/>
      <c r="F314" s="3771"/>
      <c r="G314" s="3771"/>
      <c r="H314" s="3771"/>
      <c r="I314" s="3771"/>
      <c r="J314" s="3771"/>
      <c r="K314" s="3771"/>
      <c r="L314" s="3771"/>
      <c r="M314" s="3771"/>
      <c r="N314" s="3771"/>
      <c r="O314" s="3771"/>
      <c r="P314" s="3771"/>
      <c r="Q314" s="3771"/>
      <c r="R314" s="3771"/>
      <c r="S314" s="3771"/>
      <c r="T314" s="3771"/>
      <c r="U314" s="3771"/>
      <c r="V314" s="3771"/>
      <c r="W314" s="3771"/>
      <c r="X314" s="3771"/>
      <c r="Y314" s="3772"/>
      <c r="Z314" s="132"/>
      <c r="AA314" s="61"/>
      <c r="AB314" s="60"/>
      <c r="AC314" s="60"/>
      <c r="AD314" s="60"/>
    </row>
    <row r="315" spans="1:30" s="7" customFormat="1" ht="19.5" customHeight="1" x14ac:dyDescent="0.35">
      <c r="A315" s="586"/>
      <c r="B315" s="3770"/>
      <c r="C315" s="3771"/>
      <c r="D315" s="3771"/>
      <c r="E315" s="3771"/>
      <c r="F315" s="3771"/>
      <c r="G315" s="3771"/>
      <c r="H315" s="3771"/>
      <c r="I315" s="3771"/>
      <c r="J315" s="3771"/>
      <c r="K315" s="3771"/>
      <c r="L315" s="3771"/>
      <c r="M315" s="3771"/>
      <c r="N315" s="3771"/>
      <c r="O315" s="3771"/>
      <c r="P315" s="3771"/>
      <c r="Q315" s="3771"/>
      <c r="R315" s="3771"/>
      <c r="S315" s="3771"/>
      <c r="T315" s="3771"/>
      <c r="U315" s="3771"/>
      <c r="V315" s="3771"/>
      <c r="W315" s="3771"/>
      <c r="X315" s="3771"/>
      <c r="Y315" s="3772"/>
      <c r="Z315" s="132"/>
      <c r="AA315" s="61"/>
      <c r="AB315" s="60"/>
      <c r="AC315" s="60"/>
      <c r="AD315" s="60"/>
    </row>
    <row r="316" spans="1:30" s="7" customFormat="1" ht="19.5" customHeight="1" x14ac:dyDescent="0.35">
      <c r="A316" s="586"/>
      <c r="B316" s="3770"/>
      <c r="C316" s="3771"/>
      <c r="D316" s="3771"/>
      <c r="E316" s="3771"/>
      <c r="F316" s="3771"/>
      <c r="G316" s="3771"/>
      <c r="H316" s="3771"/>
      <c r="I316" s="3771"/>
      <c r="J316" s="3771"/>
      <c r="K316" s="3771"/>
      <c r="L316" s="3771"/>
      <c r="M316" s="3771"/>
      <c r="N316" s="3771"/>
      <c r="O316" s="3771"/>
      <c r="P316" s="3771"/>
      <c r="Q316" s="3771"/>
      <c r="R316" s="3771"/>
      <c r="S316" s="3771"/>
      <c r="T316" s="3771"/>
      <c r="U316" s="3771"/>
      <c r="V316" s="3771"/>
      <c r="W316" s="3771"/>
      <c r="X316" s="3771"/>
      <c r="Y316" s="3772"/>
      <c r="Z316" s="144"/>
      <c r="AA316" s="61"/>
      <c r="AB316" s="60"/>
      <c r="AC316" s="60"/>
      <c r="AD316" s="60"/>
    </row>
    <row r="317" spans="1:30" s="7" customFormat="1" ht="19.5" customHeight="1" x14ac:dyDescent="0.35">
      <c r="A317" s="586"/>
      <c r="B317" s="3770"/>
      <c r="C317" s="3771"/>
      <c r="D317" s="3771"/>
      <c r="E317" s="3771"/>
      <c r="F317" s="3771"/>
      <c r="G317" s="3771"/>
      <c r="H317" s="3771"/>
      <c r="I317" s="3771"/>
      <c r="J317" s="3771"/>
      <c r="K317" s="3771"/>
      <c r="L317" s="3771"/>
      <c r="M317" s="3771"/>
      <c r="N317" s="3771"/>
      <c r="O317" s="3771"/>
      <c r="P317" s="3771"/>
      <c r="Q317" s="3771"/>
      <c r="R317" s="3771"/>
      <c r="S317" s="3771"/>
      <c r="T317" s="3771"/>
      <c r="U317" s="3771"/>
      <c r="V317" s="3771"/>
      <c r="W317" s="3771"/>
      <c r="X317" s="3771"/>
      <c r="Y317" s="3772"/>
      <c r="Z317" s="189"/>
      <c r="AA317" s="61"/>
      <c r="AB317" s="60"/>
      <c r="AC317" s="60"/>
      <c r="AD317" s="60"/>
    </row>
    <row r="318" spans="1:30" s="7" customFormat="1" ht="19.5" customHeight="1" x14ac:dyDescent="0.35">
      <c r="A318" s="586"/>
      <c r="B318" s="3770"/>
      <c r="C318" s="3771"/>
      <c r="D318" s="3771"/>
      <c r="E318" s="3771"/>
      <c r="F318" s="3771"/>
      <c r="G318" s="3771"/>
      <c r="H318" s="3771"/>
      <c r="I318" s="3771"/>
      <c r="J318" s="3771"/>
      <c r="K318" s="3771"/>
      <c r="L318" s="3771"/>
      <c r="M318" s="3771"/>
      <c r="N318" s="3771"/>
      <c r="O318" s="3771"/>
      <c r="P318" s="3771"/>
      <c r="Q318" s="3771"/>
      <c r="R318" s="3771"/>
      <c r="S318" s="3771"/>
      <c r="T318" s="3771"/>
      <c r="U318" s="3771"/>
      <c r="V318" s="3771"/>
      <c r="W318" s="3771"/>
      <c r="X318" s="3771"/>
      <c r="Y318" s="3772"/>
      <c r="Z318" s="144"/>
      <c r="AA318" s="61"/>
      <c r="AB318" s="60"/>
      <c r="AC318" s="60"/>
      <c r="AD318" s="60"/>
    </row>
    <row r="319" spans="1:30" s="7" customFormat="1" ht="19.5" customHeight="1" x14ac:dyDescent="0.35">
      <c r="A319" s="586"/>
      <c r="B319" s="190"/>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2"/>
      <c r="Z319" s="144"/>
      <c r="AA319" s="61"/>
      <c r="AB319" s="60"/>
      <c r="AC319" s="60"/>
      <c r="AD319" s="60"/>
    </row>
    <row r="320" spans="1:30" s="7" customFormat="1" ht="19.5" customHeight="1" x14ac:dyDescent="0.35">
      <c r="A320" s="586"/>
      <c r="B320" s="144"/>
      <c r="C320" s="144"/>
      <c r="D320" s="144"/>
      <c r="E320" s="144"/>
      <c r="F320" s="144"/>
      <c r="G320" s="144"/>
      <c r="H320" s="144"/>
      <c r="I320" s="1582"/>
      <c r="J320" s="1582"/>
      <c r="K320" s="1582"/>
      <c r="L320" s="1582"/>
      <c r="M320" s="1582"/>
      <c r="N320" s="1582"/>
      <c r="O320" s="1582"/>
      <c r="P320" s="1582"/>
      <c r="Q320" s="1582"/>
      <c r="R320" s="1582"/>
      <c r="S320" s="1582"/>
      <c r="T320" s="1582"/>
      <c r="U320" s="1582"/>
      <c r="V320" s="1582"/>
      <c r="W320" s="1582"/>
      <c r="X320" s="1582"/>
      <c r="Y320" s="1582"/>
      <c r="Z320" s="144"/>
      <c r="AA320" s="61"/>
      <c r="AB320" s="60"/>
      <c r="AC320" s="60"/>
      <c r="AD320" s="60"/>
    </row>
    <row r="321" spans="1:30" s="7" customFormat="1" ht="19.5" customHeight="1" x14ac:dyDescent="0.35">
      <c r="A321" s="586"/>
      <c r="B321" s="193"/>
      <c r="C321" s="4283" t="s">
        <v>843</v>
      </c>
      <c r="D321" s="4283"/>
      <c r="E321" s="4283"/>
      <c r="F321" s="4283"/>
      <c r="G321" s="4283"/>
      <c r="H321" s="4283"/>
      <c r="I321" s="4283"/>
      <c r="J321" s="194"/>
      <c r="K321" s="195"/>
      <c r="L321" s="196"/>
      <c r="M321" s="4284" t="s">
        <v>948</v>
      </c>
      <c r="N321" s="4284"/>
      <c r="O321" s="4284"/>
      <c r="P321" s="4284"/>
      <c r="Q321" s="4284"/>
      <c r="R321" s="4284"/>
      <c r="S321" s="4284"/>
      <c r="T321" s="4284"/>
      <c r="U321" s="4284"/>
      <c r="V321" s="4284"/>
      <c r="W321" s="4284"/>
      <c r="X321" s="4284"/>
      <c r="Y321" s="4285"/>
      <c r="Z321" s="144"/>
      <c r="AA321" s="61"/>
      <c r="AB321" s="60"/>
      <c r="AC321" s="60"/>
      <c r="AD321" s="60"/>
    </row>
    <row r="322" spans="1:30" s="7" customFormat="1" ht="19.5" customHeight="1" x14ac:dyDescent="0.35">
      <c r="A322" s="586"/>
      <c r="B322" s="197"/>
      <c r="C322" s="198"/>
      <c r="D322" s="198"/>
      <c r="E322" s="198"/>
      <c r="F322" s="198"/>
      <c r="G322" s="198"/>
      <c r="H322" s="198"/>
      <c r="I322" s="1231"/>
      <c r="J322" s="1231"/>
      <c r="K322" s="199"/>
      <c r="L322" s="200"/>
      <c r="M322" s="1231"/>
      <c r="N322" s="1231"/>
      <c r="O322" s="1231"/>
      <c r="P322" s="1231"/>
      <c r="Q322" s="1231"/>
      <c r="R322" s="1231"/>
      <c r="S322" s="1231"/>
      <c r="T322" s="1231"/>
      <c r="U322" s="1231"/>
      <c r="V322" s="1231"/>
      <c r="W322" s="1231"/>
      <c r="X322" s="1231"/>
      <c r="Y322" s="199"/>
      <c r="Z322" s="144"/>
      <c r="AA322" s="61"/>
      <c r="AB322" s="60"/>
      <c r="AC322" s="60"/>
      <c r="AD322" s="60"/>
    </row>
    <row r="323" spans="1:30" s="7" customFormat="1" ht="19.5" customHeight="1" x14ac:dyDescent="0.35">
      <c r="A323" s="586"/>
      <c r="B323" s="197"/>
      <c r="C323" s="3375" t="str">
        <f>'CEKLIST 002 (BIO DATA)'!A6</f>
        <v>Supervisor Analis Penjaminan</v>
      </c>
      <c r="D323" s="3375"/>
      <c r="E323" s="3375"/>
      <c r="F323" s="3375"/>
      <c r="G323" s="3375"/>
      <c r="H323" s="3375"/>
      <c r="I323" s="3375"/>
      <c r="J323" s="2382"/>
      <c r="K323" s="2455"/>
      <c r="L323" s="4277" t="str">
        <f>'CEKLIST 002 (BIO DATA)'!A3</f>
        <v>AO Penjaminan I</v>
      </c>
      <c r="M323" s="4278"/>
      <c r="N323" s="4278"/>
      <c r="O323" s="4278"/>
      <c r="P323" s="4278"/>
      <c r="Q323" s="4278"/>
      <c r="R323" s="2382"/>
      <c r="S323" s="2382"/>
      <c r="T323" s="4278" t="str">
        <f>'CEKLIST 002 (BIO DATA)'!A4</f>
        <v>AO Penjaminan II</v>
      </c>
      <c r="U323" s="4278"/>
      <c r="V323" s="4278"/>
      <c r="W323" s="4278"/>
      <c r="X323" s="4278"/>
      <c r="Y323" s="4279"/>
      <c r="Z323" s="144"/>
      <c r="AA323" s="61"/>
      <c r="AB323" s="60"/>
      <c r="AC323" s="60"/>
      <c r="AD323" s="60"/>
    </row>
    <row r="324" spans="1:30" s="7" customFormat="1" ht="19.5" customHeight="1" x14ac:dyDescent="0.35">
      <c r="A324" s="586"/>
      <c r="B324" s="197"/>
      <c r="C324" s="198"/>
      <c r="D324" s="198"/>
      <c r="E324" s="198"/>
      <c r="F324" s="198"/>
      <c r="G324" s="198"/>
      <c r="H324" s="198"/>
      <c r="I324" s="1231"/>
      <c r="J324" s="1231"/>
      <c r="K324" s="199"/>
      <c r="L324" s="200"/>
      <c r="M324" s="1231"/>
      <c r="N324" s="1231"/>
      <c r="O324" s="1231"/>
      <c r="P324" s="1231"/>
      <c r="Q324" s="1231"/>
      <c r="R324" s="1231"/>
      <c r="S324" s="1231"/>
      <c r="T324" s="1231"/>
      <c r="U324" s="1231"/>
      <c r="V324" s="1231"/>
      <c r="W324" s="1231"/>
      <c r="X324" s="1231"/>
      <c r="Y324" s="199"/>
      <c r="Z324" s="144"/>
      <c r="AA324" s="61"/>
      <c r="AB324" s="60"/>
      <c r="AC324" s="60"/>
      <c r="AD324" s="60"/>
    </row>
    <row r="325" spans="1:30" s="7" customFormat="1" ht="19.5" customHeight="1" x14ac:dyDescent="0.35">
      <c r="A325" s="586"/>
      <c r="B325" s="197"/>
      <c r="C325" s="198"/>
      <c r="D325" s="198"/>
      <c r="E325" s="198"/>
      <c r="F325" s="198"/>
      <c r="G325" s="198"/>
      <c r="H325" s="198"/>
      <c r="I325" s="1231"/>
      <c r="J325" s="1231"/>
      <c r="K325" s="199"/>
      <c r="L325" s="200"/>
      <c r="M325" s="1231"/>
      <c r="N325" s="1231"/>
      <c r="O325" s="1231"/>
      <c r="P325" s="1231"/>
      <c r="Q325" s="1231"/>
      <c r="R325" s="1231"/>
      <c r="S325" s="1231"/>
      <c r="T325" s="1231"/>
      <c r="U325" s="1231"/>
      <c r="V325" s="1231"/>
      <c r="W325" s="1231"/>
      <c r="X325" s="1231"/>
      <c r="Y325" s="199"/>
      <c r="Z325" s="144"/>
      <c r="AA325" s="61"/>
      <c r="AB325" s="60"/>
      <c r="AC325" s="60"/>
      <c r="AD325" s="60"/>
    </row>
    <row r="326" spans="1:30" s="7" customFormat="1" ht="19.5" customHeight="1" x14ac:dyDescent="0.35">
      <c r="A326" s="586"/>
      <c r="B326" s="197"/>
      <c r="C326" s="198"/>
      <c r="D326" s="198"/>
      <c r="E326" s="198"/>
      <c r="F326" s="198"/>
      <c r="G326" s="198"/>
      <c r="H326" s="198"/>
      <c r="I326" s="1231"/>
      <c r="J326" s="1231"/>
      <c r="K326" s="199"/>
      <c r="L326" s="200"/>
      <c r="M326" s="1231"/>
      <c r="N326" s="1231"/>
      <c r="O326" s="1231"/>
      <c r="P326" s="1231"/>
      <c r="Q326" s="1231"/>
      <c r="R326" s="1231"/>
      <c r="S326" s="1231"/>
      <c r="T326" s="1231"/>
      <c r="U326" s="1231"/>
      <c r="V326" s="1231"/>
      <c r="W326" s="1231"/>
      <c r="X326" s="1231"/>
      <c r="Y326" s="199"/>
      <c r="Z326" s="144"/>
      <c r="AA326" s="61"/>
      <c r="AB326" s="60"/>
      <c r="AC326" s="60"/>
      <c r="AD326" s="60"/>
    </row>
    <row r="327" spans="1:30" s="7" customFormat="1" ht="19.5" customHeight="1" x14ac:dyDescent="0.35">
      <c r="A327" s="586"/>
      <c r="B327" s="197"/>
      <c r="C327" s="198"/>
      <c r="D327" s="198"/>
      <c r="E327" s="198"/>
      <c r="F327" s="198"/>
      <c r="G327" s="198"/>
      <c r="H327" s="198"/>
      <c r="I327" s="1231"/>
      <c r="J327" s="1231"/>
      <c r="K327" s="199"/>
      <c r="L327" s="200"/>
      <c r="M327" s="1231"/>
      <c r="N327" s="1231"/>
      <c r="O327" s="1231"/>
      <c r="P327" s="1231"/>
      <c r="Q327" s="1231"/>
      <c r="R327" s="1231"/>
      <c r="S327" s="1231"/>
      <c r="T327" s="1231"/>
      <c r="U327" s="1231"/>
      <c r="V327" s="1231"/>
      <c r="W327" s="1231"/>
      <c r="X327" s="1231"/>
      <c r="Y327" s="199"/>
      <c r="Z327" s="144"/>
      <c r="AA327" s="61"/>
      <c r="AB327" s="60"/>
      <c r="AC327" s="60"/>
      <c r="AD327" s="60"/>
    </row>
    <row r="328" spans="1:30" s="7" customFormat="1" ht="19.5" customHeight="1" x14ac:dyDescent="0.35">
      <c r="A328" s="586"/>
      <c r="B328" s="197"/>
      <c r="C328" s="198"/>
      <c r="D328" s="198"/>
      <c r="E328" s="198"/>
      <c r="F328" s="198"/>
      <c r="G328" s="198"/>
      <c r="H328" s="198"/>
      <c r="I328" s="1231"/>
      <c r="J328" s="1231"/>
      <c r="K328" s="199"/>
      <c r="L328" s="200"/>
      <c r="M328" s="1231"/>
      <c r="N328" s="1231"/>
      <c r="O328" s="1231"/>
      <c r="P328" s="1231"/>
      <c r="Q328" s="1231"/>
      <c r="R328" s="1231"/>
      <c r="S328" s="1231"/>
      <c r="T328" s="1231"/>
      <c r="U328" s="1231"/>
      <c r="V328" s="1231"/>
      <c r="W328" s="1231"/>
      <c r="X328" s="1231"/>
      <c r="Y328" s="199"/>
      <c r="Z328" s="144"/>
      <c r="AA328" s="61"/>
      <c r="AB328" s="60"/>
      <c r="AC328" s="60"/>
      <c r="AD328" s="60"/>
    </row>
    <row r="329" spans="1:30" s="7" customFormat="1" ht="19.5" customHeight="1" x14ac:dyDescent="0.35">
      <c r="A329" s="586"/>
      <c r="B329" s="201"/>
      <c r="C329" s="4280" t="str">
        <f>'CEKLIST 002 (BIO DATA)'!D6</f>
        <v>I Wayan Ruspa</v>
      </c>
      <c r="D329" s="4280"/>
      <c r="E329" s="4280"/>
      <c r="F329" s="4280"/>
      <c r="G329" s="4280"/>
      <c r="H329" s="4280"/>
      <c r="I329" s="4280"/>
      <c r="J329" s="202"/>
      <c r="K329" s="203"/>
      <c r="L329" s="4281" t="str">
        <f>'CEKLIST 002 (BIO DATA)'!D3</f>
        <v>Adi irawan saputra</v>
      </c>
      <c r="M329" s="4280"/>
      <c r="N329" s="4280"/>
      <c r="O329" s="4280"/>
      <c r="P329" s="4280"/>
      <c r="Q329" s="4280"/>
      <c r="R329" s="204"/>
      <c r="S329" s="204"/>
      <c r="T329" s="4280" t="str">
        <f>'CEKLIST 002 (BIO DATA)'!D4</f>
        <v>Deni Ardian</v>
      </c>
      <c r="U329" s="4280"/>
      <c r="V329" s="4280"/>
      <c r="W329" s="4280"/>
      <c r="X329" s="4280"/>
      <c r="Y329" s="4282"/>
      <c r="Z329" s="144"/>
      <c r="AA329" s="61"/>
      <c r="AB329" s="60"/>
      <c r="AC329" s="60"/>
      <c r="AD329" s="60"/>
    </row>
    <row r="330" spans="1:30" s="7" customFormat="1" ht="19.5" customHeight="1" x14ac:dyDescent="0.35">
      <c r="A330" s="586"/>
      <c r="B330" s="586"/>
      <c r="C330" s="586"/>
      <c r="D330" s="586"/>
      <c r="E330" s="586"/>
      <c r="F330" s="586"/>
      <c r="G330" s="586"/>
      <c r="H330" s="586"/>
      <c r="I330" s="586"/>
      <c r="J330" s="586"/>
      <c r="K330" s="586"/>
      <c r="L330" s="586"/>
      <c r="M330" s="586"/>
      <c r="N330" s="586"/>
      <c r="O330" s="586"/>
      <c r="P330" s="586"/>
      <c r="Q330" s="586"/>
      <c r="R330" s="586"/>
      <c r="S330" s="586"/>
      <c r="T330" s="586"/>
      <c r="U330" s="586"/>
      <c r="V330" s="586"/>
      <c r="W330" s="586"/>
      <c r="X330" s="586"/>
      <c r="Y330" s="586"/>
      <c r="Z330" s="144"/>
      <c r="AA330" s="61"/>
      <c r="AB330" s="60"/>
      <c r="AC330" s="60"/>
      <c r="AD330" s="60"/>
    </row>
    <row r="331" spans="1:30" s="7" customFormat="1" ht="19.5" customHeight="1" x14ac:dyDescent="0.35">
      <c r="A331" s="586"/>
      <c r="B331" s="4273" t="s">
        <v>762</v>
      </c>
      <c r="C331" s="4274"/>
      <c r="D331" s="4274"/>
      <c r="E331" s="4274"/>
      <c r="F331" s="4274"/>
      <c r="G331" s="4274"/>
      <c r="H331" s="4274"/>
      <c r="I331" s="4274"/>
      <c r="J331" s="4274"/>
      <c r="K331" s="4274"/>
      <c r="L331" s="4274"/>
      <c r="M331" s="4274"/>
      <c r="N331" s="4274"/>
      <c r="O331" s="4274"/>
      <c r="P331" s="4274"/>
      <c r="Q331" s="4274"/>
      <c r="R331" s="4274"/>
      <c r="S331" s="4274"/>
      <c r="T331" s="4274"/>
      <c r="U331" s="4274"/>
      <c r="V331" s="4274"/>
      <c r="W331" s="4274"/>
      <c r="X331" s="4274"/>
      <c r="Y331" s="4275"/>
      <c r="Z331" s="144"/>
      <c r="AA331" s="61"/>
      <c r="AB331" s="60"/>
      <c r="AC331" s="60"/>
      <c r="AD331" s="60"/>
    </row>
    <row r="332" spans="1:30" s="7" customFormat="1" ht="19.5" customHeight="1" x14ac:dyDescent="0.35">
      <c r="A332" s="586"/>
      <c r="B332" s="3947"/>
      <c r="C332" s="4276"/>
      <c r="D332" s="4276"/>
      <c r="E332" s="4276"/>
      <c r="F332" s="4276"/>
      <c r="G332" s="4276"/>
      <c r="H332" s="4276"/>
      <c r="I332" s="4276"/>
      <c r="J332" s="4276"/>
      <c r="K332" s="4276"/>
      <c r="L332" s="4276"/>
      <c r="M332" s="4276"/>
      <c r="N332" s="4276"/>
      <c r="O332" s="4276"/>
      <c r="P332" s="4276"/>
      <c r="Q332" s="4276"/>
      <c r="R332" s="4276"/>
      <c r="S332" s="4276"/>
      <c r="T332" s="4276"/>
      <c r="U332" s="4276"/>
      <c r="V332" s="4276"/>
      <c r="W332" s="4276"/>
      <c r="X332" s="4276"/>
      <c r="Y332" s="3948"/>
      <c r="Z332" s="144"/>
      <c r="AA332" s="61"/>
      <c r="AB332" s="60"/>
      <c r="AC332" s="60"/>
      <c r="AD332" s="60"/>
    </row>
    <row r="333" spans="1:30" s="7" customFormat="1" ht="19.5" customHeight="1" x14ac:dyDescent="0.35">
      <c r="A333" s="586"/>
      <c r="B333" s="3770"/>
      <c r="C333" s="3771"/>
      <c r="D333" s="3771"/>
      <c r="E333" s="3771"/>
      <c r="F333" s="3771"/>
      <c r="G333" s="3771"/>
      <c r="H333" s="3771"/>
      <c r="I333" s="3771"/>
      <c r="J333" s="3771"/>
      <c r="K333" s="3771"/>
      <c r="L333" s="3771"/>
      <c r="M333" s="3771"/>
      <c r="N333" s="3771"/>
      <c r="O333" s="3771"/>
      <c r="P333" s="3771"/>
      <c r="Q333" s="3771"/>
      <c r="R333" s="3771"/>
      <c r="S333" s="3771"/>
      <c r="T333" s="3771"/>
      <c r="U333" s="3771"/>
      <c r="V333" s="3771"/>
      <c r="W333" s="3771"/>
      <c r="X333" s="3771"/>
      <c r="Y333" s="3772"/>
      <c r="Z333" s="144"/>
      <c r="AA333" s="61"/>
      <c r="AB333" s="60"/>
      <c r="AC333" s="60"/>
      <c r="AD333" s="60"/>
    </row>
    <row r="334" spans="1:30" s="7" customFormat="1" ht="19.5" customHeight="1" x14ac:dyDescent="0.35">
      <c r="A334" s="132"/>
      <c r="B334" s="3770"/>
      <c r="C334" s="3771"/>
      <c r="D334" s="3771"/>
      <c r="E334" s="3771"/>
      <c r="F334" s="3771"/>
      <c r="G334" s="3771"/>
      <c r="H334" s="3771"/>
      <c r="I334" s="3771"/>
      <c r="J334" s="3771"/>
      <c r="K334" s="3771"/>
      <c r="L334" s="3771"/>
      <c r="M334" s="3771"/>
      <c r="N334" s="3771"/>
      <c r="O334" s="3771"/>
      <c r="P334" s="3771"/>
      <c r="Q334" s="3771"/>
      <c r="R334" s="3771"/>
      <c r="S334" s="3771"/>
      <c r="T334" s="3771"/>
      <c r="U334" s="3771"/>
      <c r="V334" s="3771"/>
      <c r="W334" s="3771"/>
      <c r="X334" s="3771"/>
      <c r="Y334" s="3772"/>
      <c r="Z334" s="132"/>
      <c r="AA334" s="61"/>
      <c r="AB334" s="60"/>
      <c r="AC334" s="60"/>
      <c r="AD334" s="60"/>
    </row>
    <row r="335" spans="1:30" ht="19.5" customHeight="1" x14ac:dyDescent="0.25">
      <c r="A335" s="1547"/>
      <c r="B335" s="3770"/>
      <c r="C335" s="3771"/>
      <c r="D335" s="3771"/>
      <c r="E335" s="3771"/>
      <c r="F335" s="3771"/>
      <c r="G335" s="3771"/>
      <c r="H335" s="3771"/>
      <c r="I335" s="3771"/>
      <c r="J335" s="3771"/>
      <c r="K335" s="3771"/>
      <c r="L335" s="3771"/>
      <c r="M335" s="3771"/>
      <c r="N335" s="3771"/>
      <c r="O335" s="3771"/>
      <c r="P335" s="3771"/>
      <c r="Q335" s="3771"/>
      <c r="R335" s="3771"/>
      <c r="S335" s="3771"/>
      <c r="T335" s="3771"/>
      <c r="U335" s="3771"/>
      <c r="V335" s="3771"/>
      <c r="W335" s="3771"/>
      <c r="X335" s="3771"/>
      <c r="Y335" s="3772"/>
      <c r="Z335" s="1547"/>
      <c r="AA335" s="1299"/>
      <c r="AB335" s="2420"/>
      <c r="AC335" s="2420"/>
    </row>
    <row r="336" spans="1:30" ht="19.5" customHeight="1" x14ac:dyDescent="0.25">
      <c r="A336" s="1547"/>
      <c r="B336" s="3770"/>
      <c r="C336" s="3771"/>
      <c r="D336" s="3771"/>
      <c r="E336" s="3771"/>
      <c r="F336" s="3771"/>
      <c r="G336" s="3771"/>
      <c r="H336" s="3771"/>
      <c r="I336" s="3771"/>
      <c r="J336" s="3771"/>
      <c r="K336" s="3771"/>
      <c r="L336" s="3771"/>
      <c r="M336" s="3771"/>
      <c r="N336" s="3771"/>
      <c r="O336" s="3771"/>
      <c r="P336" s="3771"/>
      <c r="Q336" s="3771"/>
      <c r="R336" s="3771"/>
      <c r="S336" s="3771"/>
      <c r="T336" s="3771"/>
      <c r="U336" s="3771"/>
      <c r="V336" s="3771"/>
      <c r="W336" s="3771"/>
      <c r="X336" s="3771"/>
      <c r="Y336" s="3772"/>
      <c r="Z336" s="1547"/>
      <c r="AA336" s="1299"/>
      <c r="AB336" s="2420"/>
      <c r="AC336" s="2420"/>
    </row>
    <row r="337" spans="1:29" ht="19.5" customHeight="1" x14ac:dyDescent="0.25">
      <c r="A337" s="1547"/>
      <c r="B337" s="3770"/>
      <c r="C337" s="3771"/>
      <c r="D337" s="3771"/>
      <c r="E337" s="3771"/>
      <c r="F337" s="3771"/>
      <c r="G337" s="3771"/>
      <c r="H337" s="3771"/>
      <c r="I337" s="3771"/>
      <c r="J337" s="3771"/>
      <c r="K337" s="3771"/>
      <c r="L337" s="3771"/>
      <c r="M337" s="3771"/>
      <c r="N337" s="3771"/>
      <c r="O337" s="3771"/>
      <c r="P337" s="3771"/>
      <c r="Q337" s="3771"/>
      <c r="R337" s="3771"/>
      <c r="S337" s="3771"/>
      <c r="T337" s="3771"/>
      <c r="U337" s="3771"/>
      <c r="V337" s="3771"/>
      <c r="W337" s="3771"/>
      <c r="X337" s="3771"/>
      <c r="Y337" s="3772"/>
      <c r="Z337" s="1547"/>
      <c r="AA337" s="1299"/>
      <c r="AB337" s="2420"/>
      <c r="AC337" s="2420"/>
    </row>
    <row r="338" spans="1:29" ht="19.5" customHeight="1" x14ac:dyDescent="0.25">
      <c r="A338" s="1547"/>
      <c r="B338" s="190"/>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2"/>
      <c r="Z338" s="1547"/>
      <c r="AA338" s="1299"/>
      <c r="AB338" s="2420"/>
      <c r="AC338" s="2420"/>
    </row>
    <row r="339" spans="1:29" ht="19.5" customHeight="1" x14ac:dyDescent="0.35">
      <c r="A339" s="1547"/>
      <c r="B339" s="144"/>
      <c r="C339" s="144"/>
      <c r="D339" s="144"/>
      <c r="E339" s="144"/>
      <c r="F339" s="144"/>
      <c r="G339" s="144"/>
      <c r="H339" s="144"/>
      <c r="I339" s="144"/>
      <c r="J339" s="144"/>
      <c r="K339" s="144"/>
      <c r="L339" s="144"/>
      <c r="M339" s="144"/>
      <c r="N339" s="144"/>
      <c r="O339" s="144"/>
      <c r="P339" s="144"/>
      <c r="Q339" s="144"/>
      <c r="R339" s="132"/>
      <c r="S339" s="132"/>
      <c r="T339" s="132"/>
      <c r="U339" s="132"/>
      <c r="V339" s="132"/>
      <c r="W339" s="132"/>
      <c r="X339" s="132"/>
      <c r="Y339" s="132"/>
      <c r="Z339" s="1547"/>
      <c r="AA339" s="1299"/>
      <c r="AB339" s="2420"/>
      <c r="AC339" s="2420"/>
    </row>
    <row r="340" spans="1:29" ht="19.5" customHeight="1" x14ac:dyDescent="0.25">
      <c r="A340" s="1576"/>
      <c r="B340" s="4273" t="s">
        <v>762</v>
      </c>
      <c r="C340" s="4274"/>
      <c r="D340" s="4274"/>
      <c r="E340" s="4274"/>
      <c r="F340" s="4274"/>
      <c r="G340" s="4274"/>
      <c r="H340" s="4274"/>
      <c r="I340" s="4274"/>
      <c r="J340" s="4274"/>
      <c r="K340" s="4274"/>
      <c r="L340" s="4274"/>
      <c r="M340" s="4274"/>
      <c r="N340" s="4274"/>
      <c r="O340" s="4274"/>
      <c r="P340" s="4274"/>
      <c r="Q340" s="4274"/>
      <c r="R340" s="4274"/>
      <c r="S340" s="4274"/>
      <c r="T340" s="4274"/>
      <c r="U340" s="4274"/>
      <c r="V340" s="4274"/>
      <c r="W340" s="4274"/>
      <c r="X340" s="4274"/>
      <c r="Y340" s="4275"/>
      <c r="Z340" s="1576"/>
      <c r="AA340" s="2420"/>
      <c r="AB340" s="2420"/>
      <c r="AC340" s="2420"/>
    </row>
    <row r="341" spans="1:29" ht="19.5" customHeight="1" x14ac:dyDescent="0.25">
      <c r="A341" s="1576"/>
      <c r="B341" s="3947"/>
      <c r="C341" s="4276"/>
      <c r="D341" s="4276"/>
      <c r="E341" s="4276"/>
      <c r="F341" s="4276"/>
      <c r="G341" s="4276"/>
      <c r="H341" s="4276"/>
      <c r="I341" s="4276"/>
      <c r="J341" s="4276"/>
      <c r="K341" s="4276"/>
      <c r="L341" s="4276"/>
      <c r="M341" s="4276"/>
      <c r="N341" s="4276"/>
      <c r="O341" s="4276"/>
      <c r="P341" s="4276"/>
      <c r="Q341" s="4276"/>
      <c r="R341" s="4276"/>
      <c r="S341" s="4276"/>
      <c r="T341" s="4276"/>
      <c r="U341" s="4276"/>
      <c r="V341" s="4276"/>
      <c r="W341" s="4276"/>
      <c r="X341" s="4276"/>
      <c r="Y341" s="3948"/>
      <c r="Z341" s="1576"/>
      <c r="AA341" s="2420"/>
      <c r="AB341" s="2420"/>
      <c r="AC341" s="2420"/>
    </row>
    <row r="342" spans="1:29" ht="19.5" customHeight="1" x14ac:dyDescent="0.25">
      <c r="A342" s="1576"/>
      <c r="B342" s="3770"/>
      <c r="C342" s="3771"/>
      <c r="D342" s="3771"/>
      <c r="E342" s="3771"/>
      <c r="F342" s="3771"/>
      <c r="G342" s="3771"/>
      <c r="H342" s="3771"/>
      <c r="I342" s="3771"/>
      <c r="J342" s="3771"/>
      <c r="K342" s="3771"/>
      <c r="L342" s="3771"/>
      <c r="M342" s="3771"/>
      <c r="N342" s="3771"/>
      <c r="O342" s="3771"/>
      <c r="P342" s="3771"/>
      <c r="Q342" s="3771"/>
      <c r="R342" s="3771"/>
      <c r="S342" s="3771"/>
      <c r="T342" s="3771"/>
      <c r="U342" s="3771"/>
      <c r="V342" s="3771"/>
      <c r="W342" s="3771"/>
      <c r="X342" s="3771"/>
      <c r="Y342" s="3772"/>
      <c r="Z342" s="1576"/>
      <c r="AA342" s="2420"/>
      <c r="AB342" s="2420"/>
      <c r="AC342" s="2420"/>
    </row>
    <row r="343" spans="1:29" ht="19.5" customHeight="1" x14ac:dyDescent="0.25">
      <c r="A343" s="1576"/>
      <c r="B343" s="3770"/>
      <c r="C343" s="3771"/>
      <c r="D343" s="3771"/>
      <c r="E343" s="3771"/>
      <c r="F343" s="3771"/>
      <c r="G343" s="3771"/>
      <c r="H343" s="3771"/>
      <c r="I343" s="3771"/>
      <c r="J343" s="3771"/>
      <c r="K343" s="3771"/>
      <c r="L343" s="3771"/>
      <c r="M343" s="3771"/>
      <c r="N343" s="3771"/>
      <c r="O343" s="3771"/>
      <c r="P343" s="3771"/>
      <c r="Q343" s="3771"/>
      <c r="R343" s="3771"/>
      <c r="S343" s="3771"/>
      <c r="T343" s="3771"/>
      <c r="U343" s="3771"/>
      <c r="V343" s="3771"/>
      <c r="W343" s="3771"/>
      <c r="X343" s="3771"/>
      <c r="Y343" s="3772"/>
      <c r="Z343" s="1576"/>
      <c r="AA343" s="2420"/>
      <c r="AB343" s="2420"/>
      <c r="AC343" s="2420"/>
    </row>
    <row r="344" spans="1:29" ht="19.5" customHeight="1" x14ac:dyDescent="0.25">
      <c r="A344" s="1576"/>
      <c r="B344" s="3770"/>
      <c r="C344" s="3771"/>
      <c r="D344" s="3771"/>
      <c r="E344" s="3771"/>
      <c r="F344" s="3771"/>
      <c r="G344" s="3771"/>
      <c r="H344" s="3771"/>
      <c r="I344" s="3771"/>
      <c r="J344" s="3771"/>
      <c r="K344" s="3771"/>
      <c r="L344" s="3771"/>
      <c r="M344" s="3771"/>
      <c r="N344" s="3771"/>
      <c r="O344" s="3771"/>
      <c r="P344" s="3771"/>
      <c r="Q344" s="3771"/>
      <c r="R344" s="3771"/>
      <c r="S344" s="3771"/>
      <c r="T344" s="3771"/>
      <c r="U344" s="3771"/>
      <c r="V344" s="3771"/>
      <c r="W344" s="3771"/>
      <c r="X344" s="3771"/>
      <c r="Y344" s="3772"/>
      <c r="Z344" s="1576"/>
      <c r="AA344" s="2420"/>
      <c r="AB344" s="2420"/>
      <c r="AC344" s="2420"/>
    </row>
    <row r="345" spans="1:29" ht="19.5" customHeight="1" x14ac:dyDescent="0.25">
      <c r="A345" s="1576"/>
      <c r="B345" s="3770"/>
      <c r="C345" s="3771"/>
      <c r="D345" s="3771"/>
      <c r="E345" s="3771"/>
      <c r="F345" s="3771"/>
      <c r="G345" s="3771"/>
      <c r="H345" s="3771"/>
      <c r="I345" s="3771"/>
      <c r="J345" s="3771"/>
      <c r="K345" s="3771"/>
      <c r="L345" s="3771"/>
      <c r="M345" s="3771"/>
      <c r="N345" s="3771"/>
      <c r="O345" s="3771"/>
      <c r="P345" s="3771"/>
      <c r="Q345" s="3771"/>
      <c r="R345" s="3771"/>
      <c r="S345" s="3771"/>
      <c r="T345" s="3771"/>
      <c r="U345" s="3771"/>
      <c r="V345" s="3771"/>
      <c r="W345" s="3771"/>
      <c r="X345" s="3771"/>
      <c r="Y345" s="3772"/>
      <c r="Z345" s="1576"/>
      <c r="AA345" s="2420"/>
      <c r="AB345" s="2420"/>
      <c r="AC345" s="2420"/>
    </row>
    <row r="346" spans="1:29" ht="19.5" customHeight="1" x14ac:dyDescent="0.25">
      <c r="A346" s="1576"/>
      <c r="B346" s="3770"/>
      <c r="C346" s="3771"/>
      <c r="D346" s="3771"/>
      <c r="E346" s="3771"/>
      <c r="F346" s="3771"/>
      <c r="G346" s="3771"/>
      <c r="H346" s="3771"/>
      <c r="I346" s="3771"/>
      <c r="J346" s="3771"/>
      <c r="K346" s="3771"/>
      <c r="L346" s="3771"/>
      <c r="M346" s="3771"/>
      <c r="N346" s="3771"/>
      <c r="O346" s="3771"/>
      <c r="P346" s="3771"/>
      <c r="Q346" s="3771"/>
      <c r="R346" s="3771"/>
      <c r="S346" s="3771"/>
      <c r="T346" s="3771"/>
      <c r="U346" s="3771"/>
      <c r="V346" s="3771"/>
      <c r="W346" s="3771"/>
      <c r="X346" s="3771"/>
      <c r="Y346" s="3772"/>
      <c r="Z346" s="1576"/>
      <c r="AA346" s="2420"/>
      <c r="AB346" s="2420"/>
      <c r="AC346" s="2420"/>
    </row>
    <row r="347" spans="1:29" ht="19.5" customHeight="1" x14ac:dyDescent="0.25">
      <c r="A347" s="1576"/>
      <c r="B347" s="190"/>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2"/>
      <c r="Z347" s="1576"/>
      <c r="AA347" s="2420"/>
      <c r="AB347" s="2420"/>
      <c r="AC347" s="2420"/>
    </row>
    <row r="348" spans="1:29" ht="19.5" customHeight="1" x14ac:dyDescent="0.25">
      <c r="A348" s="1576"/>
      <c r="B348" s="1574"/>
      <c r="C348" s="1574"/>
      <c r="D348" s="1574"/>
      <c r="E348" s="1574"/>
      <c r="F348" s="1574"/>
      <c r="G348" s="1574"/>
      <c r="H348" s="1574"/>
      <c r="I348" s="1574"/>
      <c r="J348" s="1574"/>
      <c r="K348" s="1574"/>
      <c r="L348" s="1574"/>
      <c r="M348" s="1574"/>
      <c r="N348" s="1574"/>
      <c r="O348" s="1574"/>
      <c r="P348" s="1574"/>
      <c r="Q348" s="1574"/>
      <c r="R348" s="1574"/>
      <c r="S348" s="1574"/>
      <c r="T348" s="1574"/>
      <c r="U348" s="1574"/>
      <c r="V348" s="1574"/>
      <c r="W348" s="1574"/>
      <c r="X348" s="1574"/>
      <c r="Y348" s="1574"/>
      <c r="Z348" s="1576"/>
      <c r="AA348" s="2420"/>
      <c r="AB348" s="2420"/>
      <c r="AC348" s="2420"/>
    </row>
    <row r="349" spans="1:29" ht="19.5" customHeight="1" x14ac:dyDescent="0.25">
      <c r="A349" s="1576"/>
      <c r="B349" s="4273" t="s">
        <v>844</v>
      </c>
      <c r="C349" s="4274"/>
      <c r="D349" s="4274"/>
      <c r="E349" s="4274"/>
      <c r="F349" s="4274"/>
      <c r="G349" s="4274"/>
      <c r="H349" s="4274"/>
      <c r="I349" s="4274"/>
      <c r="J349" s="4274"/>
      <c r="K349" s="4274"/>
      <c r="L349" s="4274"/>
      <c r="M349" s="4274"/>
      <c r="N349" s="4274"/>
      <c r="O349" s="4274"/>
      <c r="P349" s="4274"/>
      <c r="Q349" s="4274"/>
      <c r="R349" s="4274"/>
      <c r="S349" s="4274"/>
      <c r="T349" s="4274"/>
      <c r="U349" s="4274"/>
      <c r="V349" s="4274"/>
      <c r="W349" s="4274"/>
      <c r="X349" s="4274"/>
      <c r="Y349" s="4275"/>
      <c r="Z349" s="1576"/>
      <c r="AA349" s="2420"/>
      <c r="AB349" s="2420"/>
      <c r="AC349" s="2420"/>
    </row>
    <row r="350" spans="1:29" ht="19.5" customHeight="1" x14ac:dyDescent="0.25">
      <c r="A350" s="1576"/>
      <c r="B350" s="3947"/>
      <c r="C350" s="4276"/>
      <c r="D350" s="4276"/>
      <c r="E350" s="4276"/>
      <c r="F350" s="4276"/>
      <c r="G350" s="4276"/>
      <c r="H350" s="4276"/>
      <c r="I350" s="4276"/>
      <c r="J350" s="4276"/>
      <c r="K350" s="4276"/>
      <c r="L350" s="4276"/>
      <c r="M350" s="4276"/>
      <c r="N350" s="4276"/>
      <c r="O350" s="4276"/>
      <c r="P350" s="4276"/>
      <c r="Q350" s="4276"/>
      <c r="R350" s="4276"/>
      <c r="S350" s="4276"/>
      <c r="T350" s="4276"/>
      <c r="U350" s="4276"/>
      <c r="V350" s="4276"/>
      <c r="W350" s="4276"/>
      <c r="X350" s="4276"/>
      <c r="Y350" s="3948"/>
      <c r="Z350" s="1576"/>
      <c r="AA350" s="2420"/>
      <c r="AB350" s="2420"/>
      <c r="AC350" s="2420"/>
    </row>
    <row r="351" spans="1:29" ht="19.5" customHeight="1" x14ac:dyDescent="0.25">
      <c r="A351" s="1576"/>
      <c r="B351" s="3770"/>
      <c r="C351" s="3771"/>
      <c r="D351" s="3771"/>
      <c r="E351" s="3771"/>
      <c r="F351" s="3771"/>
      <c r="G351" s="3771"/>
      <c r="H351" s="3771"/>
      <c r="I351" s="3771"/>
      <c r="J351" s="3771"/>
      <c r="K351" s="3771"/>
      <c r="L351" s="3771"/>
      <c r="M351" s="3771"/>
      <c r="N351" s="3771"/>
      <c r="O351" s="3771"/>
      <c r="P351" s="3771"/>
      <c r="Q351" s="3771"/>
      <c r="R351" s="3771"/>
      <c r="S351" s="3771"/>
      <c r="T351" s="3771"/>
      <c r="U351" s="3771"/>
      <c r="V351" s="3771"/>
      <c r="W351" s="3771"/>
      <c r="X351" s="3771"/>
      <c r="Y351" s="3772"/>
      <c r="Z351" s="1576"/>
      <c r="AA351" s="2420"/>
      <c r="AB351" s="2420"/>
      <c r="AC351" s="2420"/>
    </row>
    <row r="352" spans="1:29" x14ac:dyDescent="0.25">
      <c r="A352" s="1576"/>
      <c r="B352" s="3770"/>
      <c r="C352" s="3771"/>
      <c r="D352" s="3771"/>
      <c r="E352" s="3771"/>
      <c r="F352" s="3771"/>
      <c r="G352" s="3771"/>
      <c r="H352" s="3771"/>
      <c r="I352" s="3771"/>
      <c r="J352" s="3771"/>
      <c r="K352" s="3771"/>
      <c r="L352" s="3771"/>
      <c r="M352" s="3771"/>
      <c r="N352" s="3771"/>
      <c r="O352" s="3771"/>
      <c r="P352" s="3771"/>
      <c r="Q352" s="3771"/>
      <c r="R352" s="3771"/>
      <c r="S352" s="3771"/>
      <c r="T352" s="3771"/>
      <c r="U352" s="3771"/>
      <c r="V352" s="3771"/>
      <c r="W352" s="3771"/>
      <c r="X352" s="3771"/>
      <c r="Y352" s="3772"/>
      <c r="Z352" s="1576"/>
      <c r="AA352" s="2420"/>
      <c r="AB352" s="2420"/>
      <c r="AC352" s="2420"/>
    </row>
    <row r="353" spans="1:29" x14ac:dyDescent="0.25">
      <c r="A353" s="1576"/>
      <c r="B353" s="3770"/>
      <c r="C353" s="3771"/>
      <c r="D353" s="3771"/>
      <c r="E353" s="3771"/>
      <c r="F353" s="3771"/>
      <c r="G353" s="3771"/>
      <c r="H353" s="3771"/>
      <c r="I353" s="3771"/>
      <c r="J353" s="3771"/>
      <c r="K353" s="3771"/>
      <c r="L353" s="3771"/>
      <c r="M353" s="3771"/>
      <c r="N353" s="3771"/>
      <c r="O353" s="3771"/>
      <c r="P353" s="3771"/>
      <c r="Q353" s="3771"/>
      <c r="R353" s="3771"/>
      <c r="S353" s="3771"/>
      <c r="T353" s="3771"/>
      <c r="U353" s="3771"/>
      <c r="V353" s="3771"/>
      <c r="W353" s="3771"/>
      <c r="X353" s="3771"/>
      <c r="Y353" s="3772"/>
      <c r="Z353" s="1576"/>
      <c r="AA353" s="2420"/>
      <c r="AB353" s="2420"/>
      <c r="AC353" s="2420"/>
    </row>
    <row r="354" spans="1:29" x14ac:dyDescent="0.25">
      <c r="A354" s="1576"/>
      <c r="B354" s="3770"/>
      <c r="C354" s="3771"/>
      <c r="D354" s="3771"/>
      <c r="E354" s="3771"/>
      <c r="F354" s="3771"/>
      <c r="G354" s="3771"/>
      <c r="H354" s="3771"/>
      <c r="I354" s="3771"/>
      <c r="J354" s="3771"/>
      <c r="K354" s="3771"/>
      <c r="L354" s="3771"/>
      <c r="M354" s="3771"/>
      <c r="N354" s="3771"/>
      <c r="O354" s="3771"/>
      <c r="P354" s="3771"/>
      <c r="Q354" s="3771"/>
      <c r="R354" s="3771"/>
      <c r="S354" s="3771"/>
      <c r="T354" s="3771"/>
      <c r="U354" s="3771"/>
      <c r="V354" s="3771"/>
      <c r="W354" s="3771"/>
      <c r="X354" s="3771"/>
      <c r="Y354" s="3772"/>
      <c r="Z354" s="1576"/>
      <c r="AA354" s="2420"/>
      <c r="AB354" s="2420"/>
      <c r="AC354" s="2420"/>
    </row>
    <row r="355" spans="1:29" x14ac:dyDescent="0.25">
      <c r="A355" s="1576"/>
      <c r="B355" s="3770"/>
      <c r="C355" s="3771"/>
      <c r="D355" s="3771"/>
      <c r="E355" s="3771"/>
      <c r="F355" s="3771"/>
      <c r="G355" s="3771"/>
      <c r="H355" s="3771"/>
      <c r="I355" s="3771"/>
      <c r="J355" s="3771"/>
      <c r="K355" s="3771"/>
      <c r="L355" s="3771"/>
      <c r="M355" s="3771"/>
      <c r="N355" s="3771"/>
      <c r="O355" s="3771"/>
      <c r="P355" s="3771"/>
      <c r="Q355" s="3771"/>
      <c r="R355" s="3771"/>
      <c r="S355" s="3771"/>
      <c r="T355" s="3771"/>
      <c r="U355" s="3771"/>
      <c r="V355" s="3771"/>
      <c r="W355" s="3771"/>
      <c r="X355" s="3771"/>
      <c r="Y355" s="3772"/>
      <c r="Z355" s="1576"/>
      <c r="AA355" s="2420"/>
      <c r="AB355" s="2420"/>
      <c r="AC355" s="2420"/>
    </row>
    <row r="356" spans="1:29" x14ac:dyDescent="0.25">
      <c r="A356" s="1576"/>
      <c r="B356" s="190"/>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2"/>
      <c r="Z356" s="1576"/>
      <c r="AA356" s="2420"/>
      <c r="AB356" s="2420"/>
      <c r="AC356" s="2420"/>
    </row>
    <row r="357" spans="1:29" x14ac:dyDescent="0.35">
      <c r="A357" s="1576"/>
      <c r="B357" s="4271" t="s">
        <v>845</v>
      </c>
      <c r="C357" s="4271"/>
      <c r="D357" s="4271"/>
      <c r="E357" s="4271"/>
      <c r="F357" s="4271"/>
      <c r="G357" s="4271"/>
      <c r="H357" s="4271"/>
      <c r="I357" s="4271"/>
      <c r="J357" s="4271"/>
      <c r="K357" s="4271"/>
      <c r="L357" s="4271"/>
      <c r="M357" s="4271"/>
      <c r="N357" s="4271"/>
      <c r="O357" s="4271"/>
      <c r="P357" s="4271"/>
      <c r="Q357" s="4271"/>
      <c r="R357" s="4271"/>
      <c r="S357" s="4271"/>
      <c r="T357" s="4271"/>
      <c r="U357" s="4271"/>
      <c r="V357" s="4271"/>
      <c r="W357" s="4271"/>
      <c r="X357" s="4271"/>
      <c r="Y357" s="4271"/>
      <c r="Z357" s="1576"/>
      <c r="AA357" s="2420"/>
      <c r="AB357" s="2420"/>
      <c r="AC357" s="2420"/>
    </row>
    <row r="358" spans="1:29" x14ac:dyDescent="0.35">
      <c r="A358" s="1576"/>
      <c r="B358" s="144"/>
      <c r="C358" s="144"/>
      <c r="D358" s="144"/>
      <c r="E358" s="144"/>
      <c r="F358" s="144"/>
      <c r="G358" s="144"/>
      <c r="H358" s="144"/>
      <c r="I358" s="144"/>
      <c r="J358" s="144"/>
      <c r="K358" s="144"/>
      <c r="L358" s="144"/>
      <c r="M358" s="144"/>
      <c r="N358" s="144"/>
      <c r="O358" s="144"/>
      <c r="P358" s="144"/>
      <c r="Q358" s="144"/>
      <c r="R358" s="132"/>
      <c r="S358" s="132"/>
      <c r="T358" s="132"/>
      <c r="U358" s="132"/>
      <c r="V358" s="132"/>
      <c r="W358" s="132"/>
      <c r="X358" s="132"/>
      <c r="Y358" s="132"/>
      <c r="Z358" s="1576"/>
      <c r="AA358" s="2420"/>
      <c r="AB358" s="2420"/>
      <c r="AC358" s="2420"/>
    </row>
    <row r="359" spans="1:29" x14ac:dyDescent="0.35">
      <c r="A359" s="1576"/>
      <c r="B359" s="4272" t="s">
        <v>846</v>
      </c>
      <c r="C359" s="4272"/>
      <c r="D359" s="4272"/>
      <c r="E359" s="4272"/>
      <c r="F359" s="4272"/>
      <c r="G359" s="4272"/>
      <c r="H359" s="4272"/>
      <c r="I359" s="4272"/>
      <c r="J359" s="4272"/>
      <c r="K359" s="4272" t="s">
        <v>846</v>
      </c>
      <c r="L359" s="4272"/>
      <c r="M359" s="4272"/>
      <c r="N359" s="4272"/>
      <c r="O359" s="4272"/>
      <c r="P359" s="4272"/>
      <c r="Q359" s="4272"/>
      <c r="R359" s="4272"/>
      <c r="S359" s="4272" t="str">
        <f>'CEKLIST 002 (BIO DATA)'!A7</f>
        <v xml:space="preserve">Direktur Utama </v>
      </c>
      <c r="T359" s="4272"/>
      <c r="U359" s="4272"/>
      <c r="V359" s="4272"/>
      <c r="W359" s="4272"/>
      <c r="X359" s="4272"/>
      <c r="Y359" s="4272"/>
      <c r="Z359" s="1576"/>
      <c r="AA359" s="2420"/>
      <c r="AB359" s="2420"/>
      <c r="AC359" s="2420"/>
    </row>
    <row r="360" spans="1:29" x14ac:dyDescent="0.25">
      <c r="A360" s="1576"/>
      <c r="B360" s="4270"/>
      <c r="C360" s="4270"/>
      <c r="D360" s="4270"/>
      <c r="E360" s="4270"/>
      <c r="F360" s="4270"/>
      <c r="G360" s="4270"/>
      <c r="H360" s="4270"/>
      <c r="I360" s="4270"/>
      <c r="J360" s="4270"/>
      <c r="K360" s="4270"/>
      <c r="L360" s="4270"/>
      <c r="M360" s="4270"/>
      <c r="N360" s="4270"/>
      <c r="O360" s="4270"/>
      <c r="P360" s="4270"/>
      <c r="Q360" s="4270"/>
      <c r="R360" s="4270"/>
      <c r="S360" s="4270"/>
      <c r="T360" s="4270"/>
      <c r="U360" s="4270"/>
      <c r="V360" s="4270"/>
      <c r="W360" s="4270"/>
      <c r="X360" s="4270"/>
      <c r="Y360" s="4270"/>
      <c r="Z360" s="1576"/>
      <c r="AA360" s="2420"/>
      <c r="AB360" s="2420"/>
      <c r="AC360" s="2420"/>
    </row>
    <row r="361" spans="1:29" x14ac:dyDescent="0.25">
      <c r="A361" s="1576"/>
      <c r="B361" s="4270"/>
      <c r="C361" s="4270"/>
      <c r="D361" s="4270"/>
      <c r="E361" s="4270"/>
      <c r="F361" s="4270"/>
      <c r="G361" s="4270"/>
      <c r="H361" s="4270"/>
      <c r="I361" s="4270"/>
      <c r="J361" s="4270"/>
      <c r="K361" s="4270"/>
      <c r="L361" s="4270"/>
      <c r="M361" s="4270"/>
      <c r="N361" s="4270"/>
      <c r="O361" s="4270"/>
      <c r="P361" s="4270"/>
      <c r="Q361" s="4270"/>
      <c r="R361" s="4270"/>
      <c r="S361" s="4270"/>
      <c r="T361" s="4270"/>
      <c r="U361" s="4270"/>
      <c r="V361" s="4270"/>
      <c r="W361" s="4270"/>
      <c r="X361" s="4270"/>
      <c r="Y361" s="4270"/>
      <c r="Z361" s="1576"/>
      <c r="AA361" s="2420"/>
      <c r="AB361" s="2420"/>
      <c r="AC361" s="2420"/>
    </row>
    <row r="362" spans="1:29" x14ac:dyDescent="0.25">
      <c r="A362" s="1576"/>
      <c r="B362" s="4270"/>
      <c r="C362" s="4270"/>
      <c r="D362" s="4270"/>
      <c r="E362" s="4270"/>
      <c r="F362" s="4270"/>
      <c r="G362" s="4270"/>
      <c r="H362" s="4270"/>
      <c r="I362" s="4270"/>
      <c r="J362" s="4270"/>
      <c r="K362" s="4270"/>
      <c r="L362" s="4270"/>
      <c r="M362" s="4270"/>
      <c r="N362" s="4270"/>
      <c r="O362" s="4270"/>
      <c r="P362" s="4270"/>
      <c r="Q362" s="4270"/>
      <c r="R362" s="4270"/>
      <c r="S362" s="4270"/>
      <c r="T362" s="4270"/>
      <c r="U362" s="4270"/>
      <c r="V362" s="4270"/>
      <c r="W362" s="4270"/>
      <c r="X362" s="4270"/>
      <c r="Y362" s="4270"/>
      <c r="Z362" s="1576"/>
      <c r="AA362" s="2420"/>
      <c r="AB362" s="2420"/>
      <c r="AC362" s="2420"/>
    </row>
    <row r="363" spans="1:29" x14ac:dyDescent="0.25">
      <c r="A363" s="1576"/>
      <c r="B363" s="4270"/>
      <c r="C363" s="4270"/>
      <c r="D363" s="4270"/>
      <c r="E363" s="4270"/>
      <c r="F363" s="4270"/>
      <c r="G363" s="4270"/>
      <c r="H363" s="4270"/>
      <c r="I363" s="4270"/>
      <c r="J363" s="4270"/>
      <c r="K363" s="4270"/>
      <c r="L363" s="4270"/>
      <c r="M363" s="4270"/>
      <c r="N363" s="4270"/>
      <c r="O363" s="4270"/>
      <c r="P363" s="4270"/>
      <c r="Q363" s="4270"/>
      <c r="R363" s="4270"/>
      <c r="S363" s="4270"/>
      <c r="T363" s="4270"/>
      <c r="U363" s="4270"/>
      <c r="V363" s="4270"/>
      <c r="W363" s="4270"/>
      <c r="X363" s="4270"/>
      <c r="Y363" s="4270"/>
      <c r="Z363" s="1576"/>
      <c r="AA363" s="2420"/>
      <c r="AB363" s="2420"/>
      <c r="AC363" s="2420"/>
    </row>
    <row r="364" spans="1:29" x14ac:dyDescent="0.25">
      <c r="A364" s="1576"/>
      <c r="B364" s="4270"/>
      <c r="C364" s="4270"/>
      <c r="D364" s="4270"/>
      <c r="E364" s="4270"/>
      <c r="F364" s="4270"/>
      <c r="G364" s="4270"/>
      <c r="H364" s="4270"/>
      <c r="I364" s="4270"/>
      <c r="J364" s="4270"/>
      <c r="K364" s="4270"/>
      <c r="L364" s="4270"/>
      <c r="M364" s="4270"/>
      <c r="N364" s="4270"/>
      <c r="O364" s="4270"/>
      <c r="P364" s="4270"/>
      <c r="Q364" s="4270"/>
      <c r="R364" s="4270"/>
      <c r="S364" s="4270"/>
      <c r="T364" s="4270"/>
      <c r="U364" s="4270"/>
      <c r="V364" s="4270"/>
      <c r="W364" s="4270"/>
      <c r="X364" s="4270"/>
      <c r="Y364" s="4270"/>
      <c r="Z364" s="1576"/>
      <c r="AA364" s="2420"/>
      <c r="AB364" s="2420"/>
      <c r="AC364" s="2420"/>
    </row>
    <row r="365" spans="1:29" x14ac:dyDescent="0.25">
      <c r="A365" s="1576"/>
      <c r="B365" s="4270"/>
      <c r="C365" s="4270"/>
      <c r="D365" s="4270"/>
      <c r="E365" s="4270"/>
      <c r="F365" s="4270"/>
      <c r="G365" s="4270"/>
      <c r="H365" s="4270"/>
      <c r="I365" s="4270"/>
      <c r="J365" s="4270"/>
      <c r="K365" s="4270"/>
      <c r="L365" s="4270"/>
      <c r="M365" s="4270"/>
      <c r="N365" s="4270"/>
      <c r="O365" s="4270"/>
      <c r="P365" s="4270"/>
      <c r="Q365" s="4270"/>
      <c r="R365" s="4270"/>
      <c r="S365" s="4270"/>
      <c r="T365" s="4270"/>
      <c r="U365" s="4270"/>
      <c r="V365" s="4270"/>
      <c r="W365" s="4270"/>
      <c r="X365" s="4270"/>
      <c r="Y365" s="4270"/>
      <c r="Z365" s="1576"/>
      <c r="AA365" s="2420"/>
      <c r="AB365" s="2420"/>
      <c r="AC365" s="2420"/>
    </row>
    <row r="366" spans="1:29" x14ac:dyDescent="0.25">
      <c r="A366" s="1576"/>
      <c r="B366" s="4270"/>
      <c r="C366" s="4270"/>
      <c r="D366" s="4270"/>
      <c r="E366" s="4270"/>
      <c r="F366" s="4270"/>
      <c r="G366" s="4270"/>
      <c r="H366" s="4270"/>
      <c r="I366" s="4270"/>
      <c r="J366" s="4270"/>
      <c r="K366" s="4270"/>
      <c r="L366" s="4270"/>
      <c r="M366" s="4270"/>
      <c r="N366" s="4270"/>
      <c r="O366" s="4270"/>
      <c r="P366" s="4270"/>
      <c r="Q366" s="4270"/>
      <c r="R366" s="4270"/>
      <c r="S366" s="4270"/>
      <c r="T366" s="4270"/>
      <c r="U366" s="4270"/>
      <c r="V366" s="4270"/>
      <c r="W366" s="4270"/>
      <c r="X366" s="4270"/>
      <c r="Y366" s="4270"/>
      <c r="Z366" s="1576"/>
      <c r="AA366" s="2420"/>
      <c r="AB366" s="2420"/>
      <c r="AC366" s="2420"/>
    </row>
    <row r="367" spans="1:29" x14ac:dyDescent="0.25">
      <c r="A367" s="1576"/>
      <c r="B367" s="4270"/>
      <c r="C367" s="4270"/>
      <c r="D367" s="4270"/>
      <c r="E367" s="4270"/>
      <c r="F367" s="4270"/>
      <c r="G367" s="4270"/>
      <c r="H367" s="4270"/>
      <c r="I367" s="4270"/>
      <c r="J367" s="4270"/>
      <c r="K367" s="4270"/>
      <c r="L367" s="4270"/>
      <c r="M367" s="4270"/>
      <c r="N367" s="4270"/>
      <c r="O367" s="4270"/>
      <c r="P367" s="4270"/>
      <c r="Q367" s="4270"/>
      <c r="R367" s="4270"/>
      <c r="S367" s="4270"/>
      <c r="T367" s="4270"/>
      <c r="U367" s="4270"/>
      <c r="V367" s="4270"/>
      <c r="W367" s="4270"/>
      <c r="X367" s="4270"/>
      <c r="Y367" s="4270"/>
      <c r="Z367" s="1576"/>
      <c r="AA367" s="2420"/>
      <c r="AB367" s="2420"/>
      <c r="AC367" s="2420"/>
    </row>
    <row r="368" spans="1:29" x14ac:dyDescent="0.25">
      <c r="A368" s="1576"/>
      <c r="B368" s="4270" t="s">
        <v>847</v>
      </c>
      <c r="C368" s="4270"/>
      <c r="D368" s="4270"/>
      <c r="E368" s="4270"/>
      <c r="F368" s="4270"/>
      <c r="G368" s="4270"/>
      <c r="H368" s="4270"/>
      <c r="I368" s="4270"/>
      <c r="J368" s="4270"/>
      <c r="K368" s="4270" t="s">
        <v>847</v>
      </c>
      <c r="L368" s="4270"/>
      <c r="M368" s="4270"/>
      <c r="N368" s="4270"/>
      <c r="O368" s="4270"/>
      <c r="P368" s="4270"/>
      <c r="Q368" s="4270"/>
      <c r="R368" s="4270"/>
      <c r="S368" s="4270" t="str">
        <f>'CEKLIST 002 (BIO DATA)'!D7</f>
        <v>Indra Manthica</v>
      </c>
      <c r="T368" s="4270"/>
      <c r="U368" s="4270"/>
      <c r="V368" s="4270"/>
      <c r="W368" s="4270"/>
      <c r="X368" s="4270"/>
      <c r="Y368" s="4270"/>
      <c r="Z368" s="1576"/>
      <c r="AA368" s="2420"/>
      <c r="AB368" s="2420"/>
      <c r="AC368" s="2420"/>
    </row>
    <row r="369" spans="1:26" x14ac:dyDescent="0.25">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sheetData>
  <sheetProtection formatCells="0" formatColumns="0" formatRows="0" insertColumns="0" insertRows="0" insertHyperlinks="0" deleteColumns="0" deleteRows="0" sort="0" autoFilter="0" pivotTables="0"/>
  <mergeCells count="521">
    <mergeCell ref="K311:M311"/>
    <mergeCell ref="O311:Q311"/>
    <mergeCell ref="I291:K291"/>
    <mergeCell ref="B7:F7"/>
    <mergeCell ref="H7:P7"/>
    <mergeCell ref="Q7:T7"/>
    <mergeCell ref="V7:Y7"/>
    <mergeCell ref="B8:F8"/>
    <mergeCell ref="H8:P8"/>
    <mergeCell ref="Q8:T8"/>
    <mergeCell ref="V8:Y8"/>
    <mergeCell ref="B19:F19"/>
    <mergeCell ref="H19:Z19"/>
    <mergeCell ref="B20:F20"/>
    <mergeCell ref="H20:Z20"/>
    <mergeCell ref="B21:K21"/>
    <mergeCell ref="M21:T21"/>
    <mergeCell ref="U21:Y21"/>
    <mergeCell ref="B17:F17"/>
    <mergeCell ref="B18:F18"/>
    <mergeCell ref="H18:Z18"/>
    <mergeCell ref="H17:Z17"/>
    <mergeCell ref="B22:E23"/>
    <mergeCell ref="F22:I23"/>
    <mergeCell ref="A2:Z2"/>
    <mergeCell ref="C4:E5"/>
    <mergeCell ref="Q4:S4"/>
    <mergeCell ref="V4:Y4"/>
    <mergeCell ref="Q5:S5"/>
    <mergeCell ref="V5:Y5"/>
    <mergeCell ref="B13:F13"/>
    <mergeCell ref="H13:P15"/>
    <mergeCell ref="Q13:Z13"/>
    <mergeCell ref="Q14:Z16"/>
    <mergeCell ref="B16:F16"/>
    <mergeCell ref="H16:P16"/>
    <mergeCell ref="H9:P9"/>
    <mergeCell ref="Q9:T12"/>
    <mergeCell ref="V9:Y12"/>
    <mergeCell ref="H10:P10"/>
    <mergeCell ref="H11:P11"/>
    <mergeCell ref="H12:P12"/>
    <mergeCell ref="J22:M23"/>
    <mergeCell ref="N22:Q23"/>
    <mergeCell ref="R22:Y23"/>
    <mergeCell ref="B24:E25"/>
    <mergeCell ref="F24:I25"/>
    <mergeCell ref="J24:M25"/>
    <mergeCell ref="N24:Q25"/>
    <mergeCell ref="R24:U25"/>
    <mergeCell ref="B27:E27"/>
    <mergeCell ref="F27:I27"/>
    <mergeCell ref="J27:M27"/>
    <mergeCell ref="N27:Q27"/>
    <mergeCell ref="R27:U27"/>
    <mergeCell ref="V27:Y27"/>
    <mergeCell ref="V24:Y25"/>
    <mergeCell ref="B26:E26"/>
    <mergeCell ref="F26:I26"/>
    <mergeCell ref="J26:M26"/>
    <mergeCell ref="N26:Q26"/>
    <mergeCell ref="R26:U26"/>
    <mergeCell ref="V26:Y26"/>
    <mergeCell ref="B29:E29"/>
    <mergeCell ref="F29:I29"/>
    <mergeCell ref="J29:M29"/>
    <mergeCell ref="N29:Q29"/>
    <mergeCell ref="R29:U29"/>
    <mergeCell ref="V29:Y29"/>
    <mergeCell ref="B28:E28"/>
    <mergeCell ref="F28:I28"/>
    <mergeCell ref="J28:M28"/>
    <mergeCell ref="N28:Q28"/>
    <mergeCell ref="R28:U28"/>
    <mergeCell ref="V28:Y28"/>
    <mergeCell ref="B31:E31"/>
    <mergeCell ref="F31:I31"/>
    <mergeCell ref="J31:M31"/>
    <mergeCell ref="N31:Q31"/>
    <mergeCell ref="R31:U31"/>
    <mergeCell ref="V31:Y31"/>
    <mergeCell ref="B30:E30"/>
    <mergeCell ref="F30:I30"/>
    <mergeCell ref="J30:M30"/>
    <mergeCell ref="N30:Q30"/>
    <mergeCell ref="R30:U30"/>
    <mergeCell ref="V30:Y30"/>
    <mergeCell ref="B41:Y41"/>
    <mergeCell ref="B43:B44"/>
    <mergeCell ref="C43:I44"/>
    <mergeCell ref="J43:R44"/>
    <mergeCell ref="S43:T44"/>
    <mergeCell ref="U43:Y44"/>
    <mergeCell ref="R32:U32"/>
    <mergeCell ref="V32:Y32"/>
    <mergeCell ref="B35:Y35"/>
    <mergeCell ref="B36:N37"/>
    <mergeCell ref="O36:T36"/>
    <mergeCell ref="U36:Y36"/>
    <mergeCell ref="O37:T37"/>
    <mergeCell ref="U37:V37"/>
    <mergeCell ref="W37:Y37"/>
    <mergeCell ref="J47:R47"/>
    <mergeCell ref="S47:T47"/>
    <mergeCell ref="U47:Y47"/>
    <mergeCell ref="J48:R48"/>
    <mergeCell ref="S48:T48"/>
    <mergeCell ref="U48:Y48"/>
    <mergeCell ref="J45:R45"/>
    <mergeCell ref="S45:T45"/>
    <mergeCell ref="U45:Y45"/>
    <mergeCell ref="J46:R46"/>
    <mergeCell ref="S46:T46"/>
    <mergeCell ref="U46:Y46"/>
    <mergeCell ref="B51:B52"/>
    <mergeCell ref="C51:I51"/>
    <mergeCell ref="J51:K51"/>
    <mergeCell ref="L51:N51"/>
    <mergeCell ref="O51:R51"/>
    <mergeCell ref="U51:W51"/>
    <mergeCell ref="C49:I49"/>
    <mergeCell ref="J49:K49"/>
    <mergeCell ref="L49:N49"/>
    <mergeCell ref="O49:R49"/>
    <mergeCell ref="S49:T49"/>
    <mergeCell ref="U49:Y49"/>
    <mergeCell ref="X51:Y51"/>
    <mergeCell ref="C52:I52"/>
    <mergeCell ref="J52:K52"/>
    <mergeCell ref="L52:N52"/>
    <mergeCell ref="O52:R52"/>
    <mergeCell ref="U52:W52"/>
    <mergeCell ref="X52:Y52"/>
    <mergeCell ref="C50:R50"/>
    <mergeCell ref="S50:T54"/>
    <mergeCell ref="U50:W50"/>
    <mergeCell ref="X50:Y50"/>
    <mergeCell ref="B56:B57"/>
    <mergeCell ref="C56:I56"/>
    <mergeCell ref="J56:K56"/>
    <mergeCell ref="L56:N56"/>
    <mergeCell ref="O56:R56"/>
    <mergeCell ref="U56:W56"/>
    <mergeCell ref="X53:Y53"/>
    <mergeCell ref="C54:I54"/>
    <mergeCell ref="J54:K54"/>
    <mergeCell ref="L54:N54"/>
    <mergeCell ref="O54:R54"/>
    <mergeCell ref="U54:W54"/>
    <mergeCell ref="X54:Y54"/>
    <mergeCell ref="B53:B54"/>
    <mergeCell ref="C53:I53"/>
    <mergeCell ref="J53:K53"/>
    <mergeCell ref="L53:N53"/>
    <mergeCell ref="O53:R53"/>
    <mergeCell ref="U53:W53"/>
    <mergeCell ref="X56:Y56"/>
    <mergeCell ref="C57:I57"/>
    <mergeCell ref="J57:K57"/>
    <mergeCell ref="L57:N57"/>
    <mergeCell ref="O57:R57"/>
    <mergeCell ref="U57:W57"/>
    <mergeCell ref="X57:Y57"/>
    <mergeCell ref="C55:R55"/>
    <mergeCell ref="S55:T59"/>
    <mergeCell ref="U55:W55"/>
    <mergeCell ref="X55:Y55"/>
    <mergeCell ref="X58:Y58"/>
    <mergeCell ref="C59:I59"/>
    <mergeCell ref="J59:K59"/>
    <mergeCell ref="L59:N59"/>
    <mergeCell ref="O59:R59"/>
    <mergeCell ref="U59:W59"/>
    <mergeCell ref="X59:Y59"/>
    <mergeCell ref="B58:B59"/>
    <mergeCell ref="C58:I58"/>
    <mergeCell ref="J58:K58"/>
    <mergeCell ref="L58:N58"/>
    <mergeCell ref="O58:R58"/>
    <mergeCell ref="U58:W58"/>
    <mergeCell ref="C60:I60"/>
    <mergeCell ref="J60:N60"/>
    <mergeCell ref="O60:R60"/>
    <mergeCell ref="S60:T60"/>
    <mergeCell ref="U60:Y60"/>
    <mergeCell ref="C61:R61"/>
    <mergeCell ref="S61:T64"/>
    <mergeCell ref="U61:W61"/>
    <mergeCell ref="X61:Y61"/>
    <mergeCell ref="C62:I62"/>
    <mergeCell ref="J62:N62"/>
    <mergeCell ref="O62:R62"/>
    <mergeCell ref="U62:W62"/>
    <mergeCell ref="X62:Y62"/>
    <mergeCell ref="C63:I63"/>
    <mergeCell ref="J63:N63"/>
    <mergeCell ref="O63:R63"/>
    <mergeCell ref="U63:W63"/>
    <mergeCell ref="X63:Y63"/>
    <mergeCell ref="C64:I64"/>
    <mergeCell ref="J64:N64"/>
    <mergeCell ref="O64:R64"/>
    <mergeCell ref="U64:W64"/>
    <mergeCell ref="X64:Y64"/>
    <mergeCell ref="C65:I65"/>
    <mergeCell ref="J65:N65"/>
    <mergeCell ref="O65:R65"/>
    <mergeCell ref="S65:T65"/>
    <mergeCell ref="U65:Y65"/>
    <mergeCell ref="J68:N68"/>
    <mergeCell ref="O68:R68"/>
    <mergeCell ref="U68:W68"/>
    <mergeCell ref="X68:Y68"/>
    <mergeCell ref="B69:T69"/>
    <mergeCell ref="U69:W69"/>
    <mergeCell ref="X69:Y69"/>
    <mergeCell ref="C66:R66"/>
    <mergeCell ref="S66:T68"/>
    <mergeCell ref="U66:W66"/>
    <mergeCell ref="X66:Y66"/>
    <mergeCell ref="C67:I67"/>
    <mergeCell ref="J67:N67"/>
    <mergeCell ref="O67:R67"/>
    <mergeCell ref="U67:W67"/>
    <mergeCell ref="X67:Y67"/>
    <mergeCell ref="C68:I68"/>
    <mergeCell ref="B75:Y75"/>
    <mergeCell ref="B77:Y77"/>
    <mergeCell ref="B78:T79"/>
    <mergeCell ref="U78:Y78"/>
    <mergeCell ref="C80:T80"/>
    <mergeCell ref="U80:Y85"/>
    <mergeCell ref="B81:B85"/>
    <mergeCell ref="C81:T85"/>
    <mergeCell ref="B70:T70"/>
    <mergeCell ref="U70:W70"/>
    <mergeCell ref="X70:Y70"/>
    <mergeCell ref="B71:P72"/>
    <mergeCell ref="Q71:T71"/>
    <mergeCell ref="U71:Y71"/>
    <mergeCell ref="Q72:T72"/>
    <mergeCell ref="U72:V72"/>
    <mergeCell ref="W72:Y72"/>
    <mergeCell ref="C86:T86"/>
    <mergeCell ref="U86:Y92"/>
    <mergeCell ref="B87:B92"/>
    <mergeCell ref="C87:T92"/>
    <mergeCell ref="B93:N94"/>
    <mergeCell ref="O93:T93"/>
    <mergeCell ref="U93:Y93"/>
    <mergeCell ref="O94:T94"/>
    <mergeCell ref="U94:V94"/>
    <mergeCell ref="W94:Y94"/>
    <mergeCell ref="C106:T106"/>
    <mergeCell ref="U106:Y112"/>
    <mergeCell ref="B107:B112"/>
    <mergeCell ref="C107:T112"/>
    <mergeCell ref="C113:T113"/>
    <mergeCell ref="U113:Y118"/>
    <mergeCell ref="B114:B118"/>
    <mergeCell ref="C114:T118"/>
    <mergeCell ref="B97:Y97"/>
    <mergeCell ref="B98:T99"/>
    <mergeCell ref="U98:Y99"/>
    <mergeCell ref="C100:T100"/>
    <mergeCell ref="U100:Y105"/>
    <mergeCell ref="B101:B105"/>
    <mergeCell ref="C101:T105"/>
    <mergeCell ref="B131:N132"/>
    <mergeCell ref="O131:T131"/>
    <mergeCell ref="U131:Y131"/>
    <mergeCell ref="O132:T132"/>
    <mergeCell ref="U132:V132"/>
    <mergeCell ref="W132:Y132"/>
    <mergeCell ref="C119:T119"/>
    <mergeCell ref="U119:Y124"/>
    <mergeCell ref="B120:B124"/>
    <mergeCell ref="C120:T124"/>
    <mergeCell ref="C125:T125"/>
    <mergeCell ref="U125:Y130"/>
    <mergeCell ref="B126:B130"/>
    <mergeCell ref="C126:T130"/>
    <mergeCell ref="B141:T142"/>
    <mergeCell ref="U141:Y142"/>
    <mergeCell ref="C143:T143"/>
    <mergeCell ref="U143:Y145"/>
    <mergeCell ref="B144:B145"/>
    <mergeCell ref="C144:T145"/>
    <mergeCell ref="B135:Y135"/>
    <mergeCell ref="B136:N137"/>
    <mergeCell ref="O136:T137"/>
    <mergeCell ref="U136:V137"/>
    <mergeCell ref="W136:Y137"/>
    <mergeCell ref="B140:Y140"/>
    <mergeCell ref="C156:T156"/>
    <mergeCell ref="U156:Y159"/>
    <mergeCell ref="B157:B159"/>
    <mergeCell ref="C157:T159"/>
    <mergeCell ref="B160:T160"/>
    <mergeCell ref="U160:Y160"/>
    <mergeCell ref="C146:T146"/>
    <mergeCell ref="U146:Y150"/>
    <mergeCell ref="B147:B150"/>
    <mergeCell ref="C147:T150"/>
    <mergeCell ref="C151:T151"/>
    <mergeCell ref="U151:Y155"/>
    <mergeCell ref="B152:B155"/>
    <mergeCell ref="C152:T155"/>
    <mergeCell ref="B165:Y165"/>
    <mergeCell ref="B166:T167"/>
    <mergeCell ref="U166:Y167"/>
    <mergeCell ref="C168:T168"/>
    <mergeCell ref="U168:Y172"/>
    <mergeCell ref="B169:B172"/>
    <mergeCell ref="C169:T172"/>
    <mergeCell ref="B161:N162"/>
    <mergeCell ref="O161:T161"/>
    <mergeCell ref="U161:Y161"/>
    <mergeCell ref="O162:T162"/>
    <mergeCell ref="U162:V162"/>
    <mergeCell ref="W162:Y162"/>
    <mergeCell ref="C173:T173"/>
    <mergeCell ref="U173:Y176"/>
    <mergeCell ref="B174:B176"/>
    <mergeCell ref="C174:T176"/>
    <mergeCell ref="B177:N178"/>
    <mergeCell ref="O177:T177"/>
    <mergeCell ref="U177:Y177"/>
    <mergeCell ref="O178:T178"/>
    <mergeCell ref="U178:V178"/>
    <mergeCell ref="W178:Y178"/>
    <mergeCell ref="C188:Q188"/>
    <mergeCell ref="C189:X190"/>
    <mergeCell ref="C192:X193"/>
    <mergeCell ref="C195:H195"/>
    <mergeCell ref="C196:X197"/>
    <mergeCell ref="B201:Y201"/>
    <mergeCell ref="B181:Y181"/>
    <mergeCell ref="B182:N183"/>
    <mergeCell ref="O182:T183"/>
    <mergeCell ref="U182:V183"/>
    <mergeCell ref="W182:Y183"/>
    <mergeCell ref="B186:Y186"/>
    <mergeCell ref="D211:K211"/>
    <mergeCell ref="S211:V211"/>
    <mergeCell ref="B216:Y216"/>
    <mergeCell ref="C218:X218"/>
    <mergeCell ref="Y218:Z218"/>
    <mergeCell ref="AA218:AB218"/>
    <mergeCell ref="C203:Y205"/>
    <mergeCell ref="D207:K207"/>
    <mergeCell ref="D208:K208"/>
    <mergeCell ref="S208:V208"/>
    <mergeCell ref="D210:K210"/>
    <mergeCell ref="S210:V210"/>
    <mergeCell ref="O207:V207"/>
    <mergeCell ref="B219:B220"/>
    <mergeCell ref="C219:X220"/>
    <mergeCell ref="Y219:Z220"/>
    <mergeCell ref="AA219:AB234"/>
    <mergeCell ref="B221:B222"/>
    <mergeCell ref="C221:X222"/>
    <mergeCell ref="Y221:Z222"/>
    <mergeCell ref="B223:B224"/>
    <mergeCell ref="C223:X224"/>
    <mergeCell ref="Y223:Z224"/>
    <mergeCell ref="B229:B230"/>
    <mergeCell ref="C229:X230"/>
    <mergeCell ref="Y229:Z230"/>
    <mergeCell ref="B231:B232"/>
    <mergeCell ref="C231:X232"/>
    <mergeCell ref="Y231:Z232"/>
    <mergeCell ref="B225:B226"/>
    <mergeCell ref="C225:X226"/>
    <mergeCell ref="Y225:Z226"/>
    <mergeCell ref="B227:B228"/>
    <mergeCell ref="C227:X228"/>
    <mergeCell ref="Y227:Z228"/>
    <mergeCell ref="C240:Z240"/>
    <mergeCell ref="AA240:AB240"/>
    <mergeCell ref="B241:B242"/>
    <mergeCell ref="C241:Z242"/>
    <mergeCell ref="AA241:AB242"/>
    <mergeCell ref="B243:B244"/>
    <mergeCell ref="C243:Z244"/>
    <mergeCell ref="AA243:AB244"/>
    <mergeCell ref="B233:B234"/>
    <mergeCell ref="C233:X234"/>
    <mergeCell ref="Y233:Z234"/>
    <mergeCell ref="C236:Z236"/>
    <mergeCell ref="AA236:AB236"/>
    <mergeCell ref="B237:B238"/>
    <mergeCell ref="C237:Z238"/>
    <mergeCell ref="AA237:AB238"/>
    <mergeCell ref="B249:B250"/>
    <mergeCell ref="C249:Z250"/>
    <mergeCell ref="AA249:AB250"/>
    <mergeCell ref="B251:B252"/>
    <mergeCell ref="C251:Z252"/>
    <mergeCell ref="AA251:AB252"/>
    <mergeCell ref="B245:B246"/>
    <mergeCell ref="C245:Z246"/>
    <mergeCell ref="AA245:AB246"/>
    <mergeCell ref="B247:B248"/>
    <mergeCell ref="C247:Z248"/>
    <mergeCell ref="AA247:AB248"/>
    <mergeCell ref="B257:B258"/>
    <mergeCell ref="C257:Z258"/>
    <mergeCell ref="AA257:AB258"/>
    <mergeCell ref="B259:B260"/>
    <mergeCell ref="C259:Z260"/>
    <mergeCell ref="AA259:AB260"/>
    <mergeCell ref="B253:B254"/>
    <mergeCell ref="C253:Z254"/>
    <mergeCell ref="AA253:AB254"/>
    <mergeCell ref="B255:B256"/>
    <mergeCell ref="C255:Z256"/>
    <mergeCell ref="AA255:AB256"/>
    <mergeCell ref="B265:B266"/>
    <mergeCell ref="C265:Z266"/>
    <mergeCell ref="AA265:AB266"/>
    <mergeCell ref="B267:Z268"/>
    <mergeCell ref="AA267:AB268"/>
    <mergeCell ref="AD267:AD268"/>
    <mergeCell ref="B261:B262"/>
    <mergeCell ref="C261:Z262"/>
    <mergeCell ref="AA261:AB262"/>
    <mergeCell ref="B263:B264"/>
    <mergeCell ref="C263:Z264"/>
    <mergeCell ref="AA263:AB264"/>
    <mergeCell ref="AA278:AB280"/>
    <mergeCell ref="B282:X284"/>
    <mergeCell ref="Y282:Z284"/>
    <mergeCell ref="AA282:AB284"/>
    <mergeCell ref="B270:X272"/>
    <mergeCell ref="Y270:Z272"/>
    <mergeCell ref="AA270:AB272"/>
    <mergeCell ref="B274:X276"/>
    <mergeCell ref="Y274:Z276"/>
    <mergeCell ref="AA274:AB276"/>
    <mergeCell ref="B288:Y288"/>
    <mergeCell ref="B290:F290"/>
    <mergeCell ref="I290:Y290"/>
    <mergeCell ref="B291:F291"/>
    <mergeCell ref="B292:F292"/>
    <mergeCell ref="I292:Y292"/>
    <mergeCell ref="B278:X280"/>
    <mergeCell ref="Y278:Z280"/>
    <mergeCell ref="B296:F296"/>
    <mergeCell ref="I296:Y296"/>
    <mergeCell ref="B297:F297"/>
    <mergeCell ref="I297:Y297"/>
    <mergeCell ref="B298:F298"/>
    <mergeCell ref="I298:T298"/>
    <mergeCell ref="U298:Y298"/>
    <mergeCell ref="B293:F293"/>
    <mergeCell ref="I293:Y293"/>
    <mergeCell ref="B294:F294"/>
    <mergeCell ref="I294:J294"/>
    <mergeCell ref="K294:N294"/>
    <mergeCell ref="B295:F295"/>
    <mergeCell ref="I295:Y295"/>
    <mergeCell ref="I302:T302"/>
    <mergeCell ref="U302:Y302"/>
    <mergeCell ref="I303:T303"/>
    <mergeCell ref="U303:Y303"/>
    <mergeCell ref="I304:T304"/>
    <mergeCell ref="U304:Y304"/>
    <mergeCell ref="I299:T299"/>
    <mergeCell ref="U299:Y299"/>
    <mergeCell ref="I300:T300"/>
    <mergeCell ref="U300:Y300"/>
    <mergeCell ref="I301:T301"/>
    <mergeCell ref="U301:Y301"/>
    <mergeCell ref="I308:T308"/>
    <mergeCell ref="U308:Y308"/>
    <mergeCell ref="B309:F309"/>
    <mergeCell ref="I309:T309"/>
    <mergeCell ref="U309:Y309"/>
    <mergeCell ref="B310:F310"/>
    <mergeCell ref="I305:T305"/>
    <mergeCell ref="U305:Y305"/>
    <mergeCell ref="B306:F306"/>
    <mergeCell ref="I306:T306"/>
    <mergeCell ref="U306:Y306"/>
    <mergeCell ref="I307:T307"/>
    <mergeCell ref="U307:Y307"/>
    <mergeCell ref="C323:I323"/>
    <mergeCell ref="L323:Q323"/>
    <mergeCell ref="T323:Y323"/>
    <mergeCell ref="C329:I329"/>
    <mergeCell ref="L329:Q329"/>
    <mergeCell ref="T329:Y329"/>
    <mergeCell ref="B312:Y312"/>
    <mergeCell ref="B313:Y314"/>
    <mergeCell ref="B315:Y316"/>
    <mergeCell ref="B317:Y318"/>
    <mergeCell ref="C321:I321"/>
    <mergeCell ref="M321:Y321"/>
    <mergeCell ref="B343:Y344"/>
    <mergeCell ref="B345:Y346"/>
    <mergeCell ref="B349:Y349"/>
    <mergeCell ref="B350:Y351"/>
    <mergeCell ref="B352:Y353"/>
    <mergeCell ref="B354:Y355"/>
    <mergeCell ref="B331:Y331"/>
    <mergeCell ref="B332:Y333"/>
    <mergeCell ref="B334:Y335"/>
    <mergeCell ref="B336:Y337"/>
    <mergeCell ref="B340:Y340"/>
    <mergeCell ref="B341:Y342"/>
    <mergeCell ref="B368:J368"/>
    <mergeCell ref="K368:R368"/>
    <mergeCell ref="S368:Y368"/>
    <mergeCell ref="B357:Y357"/>
    <mergeCell ref="B359:J359"/>
    <mergeCell ref="K359:R359"/>
    <mergeCell ref="S359:Y359"/>
    <mergeCell ref="B360:J367"/>
    <mergeCell ref="K360:R367"/>
    <mergeCell ref="S360:Y367"/>
  </mergeCells>
  <conditionalFormatting sqref="B93:N94 B131:N132 B161:N162 B177:N178">
    <cfRule type="containsBlanks" dxfId="4" priority="1">
      <formula>LEN(TRIM(B93))=0</formula>
    </cfRule>
    <cfRule type="containsBlanks" dxfId="3" priority="5" stopIfTrue="1">
      <formula>LEN(TRIM(B93))=0</formula>
    </cfRule>
  </conditionalFormatting>
  <conditionalFormatting sqref="C189:X190 C192:X193 C196">
    <cfRule type="containsBlanks" dxfId="2" priority="4" stopIfTrue="1">
      <formula>LEN(TRIM(C189))=0</formula>
    </cfRule>
  </conditionalFormatting>
  <conditionalFormatting sqref="C189:X190 C192:X193 C196:X197">
    <cfRule type="containsBlanks" dxfId="1" priority="3" stopIfTrue="1">
      <formula>LEN(TRIM(C189))=0</formula>
    </cfRule>
  </conditionalFormatting>
  <conditionalFormatting sqref="H17:Z17">
    <cfRule type="containsBlanks" dxfId="0" priority="2" stopIfTrue="1">
      <formula>LEN(TRIM(H17))=0</formula>
    </cfRule>
  </conditionalFormatting>
  <pageMargins left="0.7" right="0.7" top="0.75" bottom="0.75" header="0.3" footer="0.3"/>
  <pageSetup scale="51" orientation="portrait" verticalDpi="300" r:id="rId1"/>
  <headerFooter>
    <oddFooter>&amp;LMPP&amp;RHalaman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15137" r:id="rId4" name="Group Box 8">
              <controlPr defaultSize="0" autoFill="0" autoPict="0">
                <anchor moveWithCells="1">
                  <from>
                    <xdr:col>20</xdr:col>
                    <xdr:colOff>0</xdr:colOff>
                    <xdr:row>35</xdr:row>
                    <xdr:rowOff>0</xdr:rowOff>
                  </from>
                  <to>
                    <xdr:col>23</xdr:col>
                    <xdr:colOff>38100</xdr:colOff>
                    <xdr:row>36</xdr:row>
                    <xdr:rowOff>990600</xdr:rowOff>
                  </to>
                </anchor>
              </controlPr>
            </control>
          </mc:Choice>
        </mc:AlternateContent>
        <mc:AlternateContent xmlns:mc="http://schemas.openxmlformats.org/markup-compatibility/2006">
          <mc:Choice Requires="x14">
            <control shapeId="1115138" r:id="rId5" name="Option Button 10">
              <controlPr defaultSize="0" autoFill="0" autoLine="0" autoPict="0">
                <anchor moveWithCells="1">
                  <from>
                    <xdr:col>20</xdr:col>
                    <xdr:colOff>28575</xdr:colOff>
                    <xdr:row>35</xdr:row>
                    <xdr:rowOff>0</xdr:rowOff>
                  </from>
                  <to>
                    <xdr:col>20</xdr:col>
                    <xdr:colOff>257175</xdr:colOff>
                    <xdr:row>35</xdr:row>
                    <xdr:rowOff>180975</xdr:rowOff>
                  </to>
                </anchor>
              </controlPr>
            </control>
          </mc:Choice>
        </mc:AlternateContent>
        <mc:AlternateContent xmlns:mc="http://schemas.openxmlformats.org/markup-compatibility/2006">
          <mc:Choice Requires="x14">
            <control shapeId="1115139" r:id="rId6" name="Option Button 11">
              <controlPr defaultSize="0" autoFill="0" autoLine="0" autoPict="0">
                <anchor moveWithCells="1">
                  <from>
                    <xdr:col>21</xdr:col>
                    <xdr:colOff>28575</xdr:colOff>
                    <xdr:row>35</xdr:row>
                    <xdr:rowOff>0</xdr:rowOff>
                  </from>
                  <to>
                    <xdr:col>21</xdr:col>
                    <xdr:colOff>257175</xdr:colOff>
                    <xdr:row>35</xdr:row>
                    <xdr:rowOff>180975</xdr:rowOff>
                  </to>
                </anchor>
              </controlPr>
            </control>
          </mc:Choice>
        </mc:AlternateContent>
        <mc:AlternateContent xmlns:mc="http://schemas.openxmlformats.org/markup-compatibility/2006">
          <mc:Choice Requires="x14">
            <control shapeId="1115140" r:id="rId7" name="Option Button 12">
              <controlPr defaultSize="0" autoFill="0" autoLine="0" autoPict="0">
                <anchor moveWithCells="1">
                  <from>
                    <xdr:col>22</xdr:col>
                    <xdr:colOff>28575</xdr:colOff>
                    <xdr:row>35</xdr:row>
                    <xdr:rowOff>0</xdr:rowOff>
                  </from>
                  <to>
                    <xdr:col>22</xdr:col>
                    <xdr:colOff>257175</xdr:colOff>
                    <xdr:row>35</xdr:row>
                    <xdr:rowOff>180975</xdr:rowOff>
                  </to>
                </anchor>
              </controlPr>
            </control>
          </mc:Choice>
        </mc:AlternateContent>
        <mc:AlternateContent xmlns:mc="http://schemas.openxmlformats.org/markup-compatibility/2006">
          <mc:Choice Requires="x14">
            <control shapeId="1115141" r:id="rId8" name="Option Button 13">
              <controlPr defaultSize="0" autoFill="0" autoLine="0" autoPict="0">
                <anchor moveWithCells="1">
                  <from>
                    <xdr:col>23</xdr:col>
                    <xdr:colOff>28575</xdr:colOff>
                    <xdr:row>35</xdr:row>
                    <xdr:rowOff>0</xdr:rowOff>
                  </from>
                  <to>
                    <xdr:col>23</xdr:col>
                    <xdr:colOff>257175</xdr:colOff>
                    <xdr:row>35</xdr:row>
                    <xdr:rowOff>180975</xdr:rowOff>
                  </to>
                </anchor>
              </controlPr>
            </control>
          </mc:Choice>
        </mc:AlternateContent>
        <mc:AlternateContent xmlns:mc="http://schemas.openxmlformats.org/markup-compatibility/2006">
          <mc:Choice Requires="x14">
            <control shapeId="1115142" r:id="rId9" name="Option Button 14">
              <controlPr defaultSize="0" autoFill="0" autoLine="0" autoPict="0">
                <anchor moveWithCells="1">
                  <from>
                    <xdr:col>24</xdr:col>
                    <xdr:colOff>28575</xdr:colOff>
                    <xdr:row>35</xdr:row>
                    <xdr:rowOff>0</xdr:rowOff>
                  </from>
                  <to>
                    <xdr:col>24</xdr:col>
                    <xdr:colOff>257175</xdr:colOff>
                    <xdr:row>35</xdr:row>
                    <xdr:rowOff>180975</xdr:rowOff>
                  </to>
                </anchor>
              </controlPr>
            </control>
          </mc:Choice>
        </mc:AlternateContent>
        <mc:AlternateContent xmlns:mc="http://schemas.openxmlformats.org/markup-compatibility/2006">
          <mc:Choice Requires="x14">
            <control shapeId="1115143" r:id="rId10" name="Group Box 7">
              <controlPr defaultSize="0" autoFill="0" autoPict="0">
                <anchor moveWithCells="1">
                  <from>
                    <xdr:col>20</xdr:col>
                    <xdr:colOff>0</xdr:colOff>
                    <xdr:row>35</xdr:row>
                    <xdr:rowOff>0</xdr:rowOff>
                  </from>
                  <to>
                    <xdr:col>23</xdr:col>
                    <xdr:colOff>38100</xdr:colOff>
                    <xdr:row>36</xdr:row>
                    <xdr:rowOff>990600</xdr:rowOff>
                  </to>
                </anchor>
              </controlPr>
            </control>
          </mc:Choice>
        </mc:AlternateContent>
        <mc:AlternateContent xmlns:mc="http://schemas.openxmlformats.org/markup-compatibility/2006">
          <mc:Choice Requires="x14">
            <control shapeId="1115144" r:id="rId11" name="Option Button 8">
              <controlPr defaultSize="0" autoFill="0" autoLine="0" autoPict="0">
                <anchor moveWithCells="1">
                  <from>
                    <xdr:col>20</xdr:col>
                    <xdr:colOff>28575</xdr:colOff>
                    <xdr:row>35</xdr:row>
                    <xdr:rowOff>0</xdr:rowOff>
                  </from>
                  <to>
                    <xdr:col>20</xdr:col>
                    <xdr:colOff>257175</xdr:colOff>
                    <xdr:row>35</xdr:row>
                    <xdr:rowOff>180975</xdr:rowOff>
                  </to>
                </anchor>
              </controlPr>
            </control>
          </mc:Choice>
        </mc:AlternateContent>
        <mc:AlternateContent xmlns:mc="http://schemas.openxmlformats.org/markup-compatibility/2006">
          <mc:Choice Requires="x14">
            <control shapeId="1115145" r:id="rId12" name="Option Button 17">
              <controlPr defaultSize="0" autoFill="0" autoLine="0" autoPict="0">
                <anchor moveWithCells="1">
                  <from>
                    <xdr:col>21</xdr:col>
                    <xdr:colOff>28575</xdr:colOff>
                    <xdr:row>35</xdr:row>
                    <xdr:rowOff>0</xdr:rowOff>
                  </from>
                  <to>
                    <xdr:col>21</xdr:col>
                    <xdr:colOff>257175</xdr:colOff>
                    <xdr:row>35</xdr:row>
                    <xdr:rowOff>180975</xdr:rowOff>
                  </to>
                </anchor>
              </controlPr>
            </control>
          </mc:Choice>
        </mc:AlternateContent>
        <mc:AlternateContent xmlns:mc="http://schemas.openxmlformats.org/markup-compatibility/2006">
          <mc:Choice Requires="x14">
            <control shapeId="1115146" r:id="rId13" name="Option Button 18">
              <controlPr defaultSize="0" autoFill="0" autoLine="0" autoPict="0">
                <anchor moveWithCells="1">
                  <from>
                    <xdr:col>22</xdr:col>
                    <xdr:colOff>28575</xdr:colOff>
                    <xdr:row>35</xdr:row>
                    <xdr:rowOff>0</xdr:rowOff>
                  </from>
                  <to>
                    <xdr:col>22</xdr:col>
                    <xdr:colOff>257175</xdr:colOff>
                    <xdr:row>35</xdr:row>
                    <xdr:rowOff>180975</xdr:rowOff>
                  </to>
                </anchor>
              </controlPr>
            </control>
          </mc:Choice>
        </mc:AlternateContent>
        <mc:AlternateContent xmlns:mc="http://schemas.openxmlformats.org/markup-compatibility/2006">
          <mc:Choice Requires="x14">
            <control shapeId="1115147" r:id="rId14" name="Option Button 19">
              <controlPr defaultSize="0" autoFill="0" autoLine="0" autoPict="0">
                <anchor moveWithCells="1">
                  <from>
                    <xdr:col>23</xdr:col>
                    <xdr:colOff>28575</xdr:colOff>
                    <xdr:row>35</xdr:row>
                    <xdr:rowOff>0</xdr:rowOff>
                  </from>
                  <to>
                    <xdr:col>23</xdr:col>
                    <xdr:colOff>257175</xdr:colOff>
                    <xdr:row>35</xdr:row>
                    <xdr:rowOff>180975</xdr:rowOff>
                  </to>
                </anchor>
              </controlPr>
            </control>
          </mc:Choice>
        </mc:AlternateContent>
        <mc:AlternateContent xmlns:mc="http://schemas.openxmlformats.org/markup-compatibility/2006">
          <mc:Choice Requires="x14">
            <control shapeId="1115148" r:id="rId15" name="Option Button 20">
              <controlPr defaultSize="0" autoFill="0" autoLine="0" autoPict="0">
                <anchor moveWithCells="1">
                  <from>
                    <xdr:col>24</xdr:col>
                    <xdr:colOff>28575</xdr:colOff>
                    <xdr:row>35</xdr:row>
                    <xdr:rowOff>0</xdr:rowOff>
                  </from>
                  <to>
                    <xdr:col>24</xdr:col>
                    <xdr:colOff>257175</xdr:colOff>
                    <xdr:row>35</xdr:row>
                    <xdr:rowOff>180975</xdr:rowOff>
                  </to>
                </anchor>
              </controlPr>
            </control>
          </mc:Choice>
        </mc:AlternateContent>
        <mc:AlternateContent xmlns:mc="http://schemas.openxmlformats.org/markup-compatibility/2006">
          <mc:Choice Requires="x14">
            <control shapeId="1115149" r:id="rId16" name="Group Box 21">
              <controlPr defaultSize="0" autoFill="0" autoPict="0">
                <anchor moveWithCells="1">
                  <from>
                    <xdr:col>20</xdr:col>
                    <xdr:colOff>0</xdr:colOff>
                    <xdr:row>35</xdr:row>
                    <xdr:rowOff>0</xdr:rowOff>
                  </from>
                  <to>
                    <xdr:col>23</xdr:col>
                    <xdr:colOff>38100</xdr:colOff>
                    <xdr:row>36</xdr:row>
                    <xdr:rowOff>990600</xdr:rowOff>
                  </to>
                </anchor>
              </controlPr>
            </control>
          </mc:Choice>
        </mc:AlternateContent>
        <mc:AlternateContent xmlns:mc="http://schemas.openxmlformats.org/markup-compatibility/2006">
          <mc:Choice Requires="x14">
            <control shapeId="1115150" r:id="rId17" name="Option Button 14">
              <controlPr defaultSize="0" autoFill="0" autoLine="0" autoPict="0">
                <anchor moveWithCells="1">
                  <from>
                    <xdr:col>20</xdr:col>
                    <xdr:colOff>28575</xdr:colOff>
                    <xdr:row>35</xdr:row>
                    <xdr:rowOff>0</xdr:rowOff>
                  </from>
                  <to>
                    <xdr:col>20</xdr:col>
                    <xdr:colOff>257175</xdr:colOff>
                    <xdr:row>35</xdr:row>
                    <xdr:rowOff>180975</xdr:rowOff>
                  </to>
                </anchor>
              </controlPr>
            </control>
          </mc:Choice>
        </mc:AlternateContent>
        <mc:AlternateContent xmlns:mc="http://schemas.openxmlformats.org/markup-compatibility/2006">
          <mc:Choice Requires="x14">
            <control shapeId="1115151" r:id="rId18" name="Option Button 23">
              <controlPr defaultSize="0" autoFill="0" autoLine="0" autoPict="0">
                <anchor moveWithCells="1">
                  <from>
                    <xdr:col>21</xdr:col>
                    <xdr:colOff>28575</xdr:colOff>
                    <xdr:row>35</xdr:row>
                    <xdr:rowOff>0</xdr:rowOff>
                  </from>
                  <to>
                    <xdr:col>21</xdr:col>
                    <xdr:colOff>257175</xdr:colOff>
                    <xdr:row>35</xdr:row>
                    <xdr:rowOff>180975</xdr:rowOff>
                  </to>
                </anchor>
              </controlPr>
            </control>
          </mc:Choice>
        </mc:AlternateContent>
        <mc:AlternateContent xmlns:mc="http://schemas.openxmlformats.org/markup-compatibility/2006">
          <mc:Choice Requires="x14">
            <control shapeId="1115152" r:id="rId19" name="Option Button 24">
              <controlPr defaultSize="0" autoFill="0" autoLine="0" autoPict="0">
                <anchor moveWithCells="1">
                  <from>
                    <xdr:col>22</xdr:col>
                    <xdr:colOff>28575</xdr:colOff>
                    <xdr:row>35</xdr:row>
                    <xdr:rowOff>0</xdr:rowOff>
                  </from>
                  <to>
                    <xdr:col>22</xdr:col>
                    <xdr:colOff>257175</xdr:colOff>
                    <xdr:row>35</xdr:row>
                    <xdr:rowOff>180975</xdr:rowOff>
                  </to>
                </anchor>
              </controlPr>
            </control>
          </mc:Choice>
        </mc:AlternateContent>
        <mc:AlternateContent xmlns:mc="http://schemas.openxmlformats.org/markup-compatibility/2006">
          <mc:Choice Requires="x14">
            <control shapeId="1115153" r:id="rId20" name="Option Button 25">
              <controlPr defaultSize="0" autoFill="0" autoLine="0" autoPict="0">
                <anchor moveWithCells="1">
                  <from>
                    <xdr:col>23</xdr:col>
                    <xdr:colOff>28575</xdr:colOff>
                    <xdr:row>35</xdr:row>
                    <xdr:rowOff>0</xdr:rowOff>
                  </from>
                  <to>
                    <xdr:col>23</xdr:col>
                    <xdr:colOff>257175</xdr:colOff>
                    <xdr:row>35</xdr:row>
                    <xdr:rowOff>180975</xdr:rowOff>
                  </to>
                </anchor>
              </controlPr>
            </control>
          </mc:Choice>
        </mc:AlternateContent>
        <mc:AlternateContent xmlns:mc="http://schemas.openxmlformats.org/markup-compatibility/2006">
          <mc:Choice Requires="x14">
            <control shapeId="1115154" r:id="rId21" name="Option Button 26">
              <controlPr defaultSize="0" autoFill="0" autoLine="0" autoPict="0">
                <anchor moveWithCells="1">
                  <from>
                    <xdr:col>24</xdr:col>
                    <xdr:colOff>28575</xdr:colOff>
                    <xdr:row>35</xdr:row>
                    <xdr:rowOff>0</xdr:rowOff>
                  </from>
                  <to>
                    <xdr:col>24</xdr:col>
                    <xdr:colOff>257175</xdr:colOff>
                    <xdr:row>35</xdr:row>
                    <xdr:rowOff>180975</xdr:rowOff>
                  </to>
                </anchor>
              </controlPr>
            </control>
          </mc:Choice>
        </mc:AlternateContent>
        <mc:AlternateContent xmlns:mc="http://schemas.openxmlformats.org/markup-compatibility/2006">
          <mc:Choice Requires="x14">
            <control shapeId="1115155" r:id="rId22" name="Check Box 27">
              <controlPr defaultSize="0" autoFill="0" autoLine="0" autoPict="0">
                <anchor moveWithCells="1">
                  <from>
                    <xdr:col>1</xdr:col>
                    <xdr:colOff>47625</xdr:colOff>
                    <xdr:row>3</xdr:row>
                    <xdr:rowOff>0</xdr:rowOff>
                  </from>
                  <to>
                    <xdr:col>2</xdr:col>
                    <xdr:colOff>9525</xdr:colOff>
                    <xdr:row>4</xdr:row>
                    <xdr:rowOff>9525</xdr:rowOff>
                  </to>
                </anchor>
              </controlPr>
            </control>
          </mc:Choice>
        </mc:AlternateContent>
        <mc:AlternateContent xmlns:mc="http://schemas.openxmlformats.org/markup-compatibility/2006">
          <mc:Choice Requires="x14">
            <control shapeId="1115156" r:id="rId23" name="Check Box 28">
              <controlPr defaultSize="0" autoFill="0" autoLine="0" autoPict="0">
                <anchor moveWithCells="1">
                  <from>
                    <xdr:col>6</xdr:col>
                    <xdr:colOff>57150</xdr:colOff>
                    <xdr:row>2</xdr:row>
                    <xdr:rowOff>47625</xdr:rowOff>
                  </from>
                  <to>
                    <xdr:col>6</xdr:col>
                    <xdr:colOff>295275</xdr:colOff>
                    <xdr:row>3</xdr:row>
                    <xdr:rowOff>152400</xdr:rowOff>
                  </to>
                </anchor>
              </controlPr>
            </control>
          </mc:Choice>
        </mc:AlternateContent>
        <mc:AlternateContent xmlns:mc="http://schemas.openxmlformats.org/markup-compatibility/2006">
          <mc:Choice Requires="x14">
            <control shapeId="1115157" r:id="rId24" name="Check Box 29">
              <controlPr defaultSize="0" autoFill="0" autoLine="0" autoPict="0">
                <anchor moveWithCells="1">
                  <from>
                    <xdr:col>11</xdr:col>
                    <xdr:colOff>66675</xdr:colOff>
                    <xdr:row>2</xdr:row>
                    <xdr:rowOff>47625</xdr:rowOff>
                  </from>
                  <to>
                    <xdr:col>11</xdr:col>
                    <xdr:colOff>295275</xdr:colOff>
                    <xdr:row>3</xdr:row>
                    <xdr:rowOff>152400</xdr:rowOff>
                  </to>
                </anchor>
              </controlPr>
            </control>
          </mc:Choice>
        </mc:AlternateContent>
        <mc:AlternateContent xmlns:mc="http://schemas.openxmlformats.org/markup-compatibility/2006">
          <mc:Choice Requires="x14">
            <control shapeId="1115158" r:id="rId25" name="Group Box 106">
              <controlPr defaultSize="0" autoFill="0" autoPict="0">
                <anchor moveWithCells="1">
                  <from>
                    <xdr:col>20</xdr:col>
                    <xdr:colOff>0</xdr:colOff>
                    <xdr:row>135</xdr:row>
                    <xdr:rowOff>0</xdr:rowOff>
                  </from>
                  <to>
                    <xdr:col>23</xdr:col>
                    <xdr:colOff>9525</xdr:colOff>
                    <xdr:row>139</xdr:row>
                    <xdr:rowOff>47625</xdr:rowOff>
                  </to>
                </anchor>
              </controlPr>
            </control>
          </mc:Choice>
        </mc:AlternateContent>
        <mc:AlternateContent xmlns:mc="http://schemas.openxmlformats.org/markup-compatibility/2006">
          <mc:Choice Requires="x14">
            <control shapeId="1115159" r:id="rId26" name="Option Button 108">
              <controlPr defaultSize="0" autoFill="0" autoLine="0" autoPict="0">
                <anchor moveWithCells="1">
                  <from>
                    <xdr:col>20</xdr:col>
                    <xdr:colOff>47625</xdr:colOff>
                    <xdr:row>135</xdr:row>
                    <xdr:rowOff>0</xdr:rowOff>
                  </from>
                  <to>
                    <xdr:col>20</xdr:col>
                    <xdr:colOff>295275</xdr:colOff>
                    <xdr:row>135</xdr:row>
                    <xdr:rowOff>171450</xdr:rowOff>
                  </to>
                </anchor>
              </controlPr>
            </control>
          </mc:Choice>
        </mc:AlternateContent>
        <mc:AlternateContent xmlns:mc="http://schemas.openxmlformats.org/markup-compatibility/2006">
          <mc:Choice Requires="x14">
            <control shapeId="1115160" r:id="rId27" name="Option Button 109">
              <controlPr defaultSize="0" autoFill="0" autoLine="0" autoPict="0">
                <anchor moveWithCells="1">
                  <from>
                    <xdr:col>21</xdr:col>
                    <xdr:colOff>47625</xdr:colOff>
                    <xdr:row>135</xdr:row>
                    <xdr:rowOff>0</xdr:rowOff>
                  </from>
                  <to>
                    <xdr:col>21</xdr:col>
                    <xdr:colOff>295275</xdr:colOff>
                    <xdr:row>135</xdr:row>
                    <xdr:rowOff>171450</xdr:rowOff>
                  </to>
                </anchor>
              </controlPr>
            </control>
          </mc:Choice>
        </mc:AlternateContent>
        <mc:AlternateContent xmlns:mc="http://schemas.openxmlformats.org/markup-compatibility/2006">
          <mc:Choice Requires="x14">
            <control shapeId="1115161" r:id="rId28" name="Option Button 110">
              <controlPr defaultSize="0" autoFill="0" autoLine="0" autoPict="0">
                <anchor moveWithCells="1">
                  <from>
                    <xdr:col>22</xdr:col>
                    <xdr:colOff>47625</xdr:colOff>
                    <xdr:row>135</xdr:row>
                    <xdr:rowOff>0</xdr:rowOff>
                  </from>
                  <to>
                    <xdr:col>22</xdr:col>
                    <xdr:colOff>295275</xdr:colOff>
                    <xdr:row>135</xdr:row>
                    <xdr:rowOff>171450</xdr:rowOff>
                  </to>
                </anchor>
              </controlPr>
            </control>
          </mc:Choice>
        </mc:AlternateContent>
        <mc:AlternateContent xmlns:mc="http://schemas.openxmlformats.org/markup-compatibility/2006">
          <mc:Choice Requires="x14">
            <control shapeId="1115162" r:id="rId29" name="Option Button 111">
              <controlPr defaultSize="0" autoFill="0" autoLine="0" autoPict="0">
                <anchor moveWithCells="1">
                  <from>
                    <xdr:col>23</xdr:col>
                    <xdr:colOff>47625</xdr:colOff>
                    <xdr:row>135</xdr:row>
                    <xdr:rowOff>0</xdr:rowOff>
                  </from>
                  <to>
                    <xdr:col>23</xdr:col>
                    <xdr:colOff>295275</xdr:colOff>
                    <xdr:row>135</xdr:row>
                    <xdr:rowOff>171450</xdr:rowOff>
                  </to>
                </anchor>
              </controlPr>
            </control>
          </mc:Choice>
        </mc:AlternateContent>
        <mc:AlternateContent xmlns:mc="http://schemas.openxmlformats.org/markup-compatibility/2006">
          <mc:Choice Requires="x14">
            <control shapeId="1115163" r:id="rId30" name="Option Button 112">
              <controlPr defaultSize="0" autoFill="0" autoLine="0" autoPict="0">
                <anchor moveWithCells="1">
                  <from>
                    <xdr:col>24</xdr:col>
                    <xdr:colOff>47625</xdr:colOff>
                    <xdr:row>135</xdr:row>
                    <xdr:rowOff>0</xdr:rowOff>
                  </from>
                  <to>
                    <xdr:col>24</xdr:col>
                    <xdr:colOff>295275</xdr:colOff>
                    <xdr:row>135</xdr:row>
                    <xdr:rowOff>171450</xdr:rowOff>
                  </to>
                </anchor>
              </controlPr>
            </control>
          </mc:Choice>
        </mc:AlternateContent>
        <mc:AlternateContent xmlns:mc="http://schemas.openxmlformats.org/markup-compatibility/2006">
          <mc:Choice Requires="x14">
            <control shapeId="1115164" r:id="rId31" name="Group Box 113">
              <controlPr defaultSize="0" autoFill="0" autoPict="0">
                <anchor moveWithCells="1">
                  <from>
                    <xdr:col>20</xdr:col>
                    <xdr:colOff>0</xdr:colOff>
                    <xdr:row>135</xdr:row>
                    <xdr:rowOff>0</xdr:rowOff>
                  </from>
                  <to>
                    <xdr:col>23</xdr:col>
                    <xdr:colOff>9525</xdr:colOff>
                    <xdr:row>138</xdr:row>
                    <xdr:rowOff>38100</xdr:rowOff>
                  </to>
                </anchor>
              </controlPr>
            </control>
          </mc:Choice>
        </mc:AlternateContent>
        <mc:AlternateContent xmlns:mc="http://schemas.openxmlformats.org/markup-compatibility/2006">
          <mc:Choice Requires="x14">
            <control shapeId="1115165" r:id="rId32" name="Option Button 114">
              <controlPr defaultSize="0" autoFill="0" autoLine="0" autoPict="0">
                <anchor moveWithCells="1">
                  <from>
                    <xdr:col>20</xdr:col>
                    <xdr:colOff>47625</xdr:colOff>
                    <xdr:row>135</xdr:row>
                    <xdr:rowOff>0</xdr:rowOff>
                  </from>
                  <to>
                    <xdr:col>20</xdr:col>
                    <xdr:colOff>295275</xdr:colOff>
                    <xdr:row>135</xdr:row>
                    <xdr:rowOff>171450</xdr:rowOff>
                  </to>
                </anchor>
              </controlPr>
            </control>
          </mc:Choice>
        </mc:AlternateContent>
        <mc:AlternateContent xmlns:mc="http://schemas.openxmlformats.org/markup-compatibility/2006">
          <mc:Choice Requires="x14">
            <control shapeId="1115166" r:id="rId33" name="Option Button 115">
              <controlPr defaultSize="0" autoFill="0" autoLine="0" autoPict="0">
                <anchor moveWithCells="1">
                  <from>
                    <xdr:col>21</xdr:col>
                    <xdr:colOff>47625</xdr:colOff>
                    <xdr:row>135</xdr:row>
                    <xdr:rowOff>0</xdr:rowOff>
                  </from>
                  <to>
                    <xdr:col>21</xdr:col>
                    <xdr:colOff>295275</xdr:colOff>
                    <xdr:row>135</xdr:row>
                    <xdr:rowOff>171450</xdr:rowOff>
                  </to>
                </anchor>
              </controlPr>
            </control>
          </mc:Choice>
        </mc:AlternateContent>
        <mc:AlternateContent xmlns:mc="http://schemas.openxmlformats.org/markup-compatibility/2006">
          <mc:Choice Requires="x14">
            <control shapeId="1115167" r:id="rId34" name="Option Button 116">
              <controlPr defaultSize="0" autoFill="0" autoLine="0" autoPict="0">
                <anchor moveWithCells="1">
                  <from>
                    <xdr:col>22</xdr:col>
                    <xdr:colOff>47625</xdr:colOff>
                    <xdr:row>135</xdr:row>
                    <xdr:rowOff>0</xdr:rowOff>
                  </from>
                  <to>
                    <xdr:col>22</xdr:col>
                    <xdr:colOff>295275</xdr:colOff>
                    <xdr:row>135</xdr:row>
                    <xdr:rowOff>171450</xdr:rowOff>
                  </to>
                </anchor>
              </controlPr>
            </control>
          </mc:Choice>
        </mc:AlternateContent>
        <mc:AlternateContent xmlns:mc="http://schemas.openxmlformats.org/markup-compatibility/2006">
          <mc:Choice Requires="x14">
            <control shapeId="1115168" r:id="rId35" name="Option Button 117">
              <controlPr defaultSize="0" autoFill="0" autoLine="0" autoPict="0">
                <anchor moveWithCells="1">
                  <from>
                    <xdr:col>23</xdr:col>
                    <xdr:colOff>47625</xdr:colOff>
                    <xdr:row>135</xdr:row>
                    <xdr:rowOff>0</xdr:rowOff>
                  </from>
                  <to>
                    <xdr:col>23</xdr:col>
                    <xdr:colOff>295275</xdr:colOff>
                    <xdr:row>135</xdr:row>
                    <xdr:rowOff>171450</xdr:rowOff>
                  </to>
                </anchor>
              </controlPr>
            </control>
          </mc:Choice>
        </mc:AlternateContent>
        <mc:AlternateContent xmlns:mc="http://schemas.openxmlformats.org/markup-compatibility/2006">
          <mc:Choice Requires="x14">
            <control shapeId="1115169" r:id="rId36" name="Option Button 118">
              <controlPr defaultSize="0" autoFill="0" autoLine="0" autoPict="0">
                <anchor moveWithCells="1">
                  <from>
                    <xdr:col>24</xdr:col>
                    <xdr:colOff>47625</xdr:colOff>
                    <xdr:row>135</xdr:row>
                    <xdr:rowOff>0</xdr:rowOff>
                  </from>
                  <to>
                    <xdr:col>24</xdr:col>
                    <xdr:colOff>295275</xdr:colOff>
                    <xdr:row>135</xdr:row>
                    <xdr:rowOff>171450</xdr:rowOff>
                  </to>
                </anchor>
              </controlPr>
            </control>
          </mc:Choice>
        </mc:AlternateContent>
        <mc:AlternateContent xmlns:mc="http://schemas.openxmlformats.org/markup-compatibility/2006">
          <mc:Choice Requires="x14">
            <control shapeId="1115170" r:id="rId37" name="Group Box 119">
              <controlPr defaultSize="0" autoFill="0" autoPict="0">
                <anchor moveWithCells="1">
                  <from>
                    <xdr:col>20</xdr:col>
                    <xdr:colOff>0</xdr:colOff>
                    <xdr:row>135</xdr:row>
                    <xdr:rowOff>0</xdr:rowOff>
                  </from>
                  <to>
                    <xdr:col>23</xdr:col>
                    <xdr:colOff>9525</xdr:colOff>
                    <xdr:row>139</xdr:row>
                    <xdr:rowOff>38100</xdr:rowOff>
                  </to>
                </anchor>
              </controlPr>
            </control>
          </mc:Choice>
        </mc:AlternateContent>
        <mc:AlternateContent xmlns:mc="http://schemas.openxmlformats.org/markup-compatibility/2006">
          <mc:Choice Requires="x14">
            <control shapeId="1115171" r:id="rId38" name="Option Button 120">
              <controlPr defaultSize="0" autoFill="0" autoLine="0" autoPict="0">
                <anchor moveWithCells="1">
                  <from>
                    <xdr:col>20</xdr:col>
                    <xdr:colOff>38100</xdr:colOff>
                    <xdr:row>135</xdr:row>
                    <xdr:rowOff>0</xdr:rowOff>
                  </from>
                  <to>
                    <xdr:col>20</xdr:col>
                    <xdr:colOff>295275</xdr:colOff>
                    <xdr:row>135</xdr:row>
                    <xdr:rowOff>171450</xdr:rowOff>
                  </to>
                </anchor>
              </controlPr>
            </control>
          </mc:Choice>
        </mc:AlternateContent>
        <mc:AlternateContent xmlns:mc="http://schemas.openxmlformats.org/markup-compatibility/2006">
          <mc:Choice Requires="x14">
            <control shapeId="1115172" r:id="rId39" name="Option Button 121">
              <controlPr defaultSize="0" autoFill="0" autoLine="0" autoPict="0">
                <anchor moveWithCells="1">
                  <from>
                    <xdr:col>21</xdr:col>
                    <xdr:colOff>38100</xdr:colOff>
                    <xdr:row>135</xdr:row>
                    <xdr:rowOff>0</xdr:rowOff>
                  </from>
                  <to>
                    <xdr:col>21</xdr:col>
                    <xdr:colOff>295275</xdr:colOff>
                    <xdr:row>135</xdr:row>
                    <xdr:rowOff>171450</xdr:rowOff>
                  </to>
                </anchor>
              </controlPr>
            </control>
          </mc:Choice>
        </mc:AlternateContent>
        <mc:AlternateContent xmlns:mc="http://schemas.openxmlformats.org/markup-compatibility/2006">
          <mc:Choice Requires="x14">
            <control shapeId="1115173" r:id="rId40" name="Option Button 122">
              <controlPr defaultSize="0" autoFill="0" autoLine="0" autoPict="0">
                <anchor moveWithCells="1">
                  <from>
                    <xdr:col>22</xdr:col>
                    <xdr:colOff>38100</xdr:colOff>
                    <xdr:row>135</xdr:row>
                    <xdr:rowOff>0</xdr:rowOff>
                  </from>
                  <to>
                    <xdr:col>22</xdr:col>
                    <xdr:colOff>295275</xdr:colOff>
                    <xdr:row>135</xdr:row>
                    <xdr:rowOff>171450</xdr:rowOff>
                  </to>
                </anchor>
              </controlPr>
            </control>
          </mc:Choice>
        </mc:AlternateContent>
        <mc:AlternateContent xmlns:mc="http://schemas.openxmlformats.org/markup-compatibility/2006">
          <mc:Choice Requires="x14">
            <control shapeId="1115174" r:id="rId41" name="Option Button 123">
              <controlPr defaultSize="0" autoFill="0" autoLine="0" autoPict="0">
                <anchor moveWithCells="1">
                  <from>
                    <xdr:col>23</xdr:col>
                    <xdr:colOff>38100</xdr:colOff>
                    <xdr:row>135</xdr:row>
                    <xdr:rowOff>0</xdr:rowOff>
                  </from>
                  <to>
                    <xdr:col>23</xdr:col>
                    <xdr:colOff>295275</xdr:colOff>
                    <xdr:row>135</xdr:row>
                    <xdr:rowOff>171450</xdr:rowOff>
                  </to>
                </anchor>
              </controlPr>
            </control>
          </mc:Choice>
        </mc:AlternateContent>
        <mc:AlternateContent xmlns:mc="http://schemas.openxmlformats.org/markup-compatibility/2006">
          <mc:Choice Requires="x14">
            <control shapeId="1115175" r:id="rId42" name="Option Button 124">
              <controlPr defaultSize="0" autoFill="0" autoLine="0" autoPict="0">
                <anchor moveWithCells="1">
                  <from>
                    <xdr:col>24</xdr:col>
                    <xdr:colOff>38100</xdr:colOff>
                    <xdr:row>135</xdr:row>
                    <xdr:rowOff>0</xdr:rowOff>
                  </from>
                  <to>
                    <xdr:col>24</xdr:col>
                    <xdr:colOff>295275</xdr:colOff>
                    <xdr:row>135</xdr:row>
                    <xdr:rowOff>171450</xdr:rowOff>
                  </to>
                </anchor>
              </controlPr>
            </control>
          </mc:Choice>
        </mc:AlternateContent>
        <mc:AlternateContent xmlns:mc="http://schemas.openxmlformats.org/markup-compatibility/2006">
          <mc:Choice Requires="x14">
            <control shapeId="1115176" r:id="rId43" name="Group Box 126">
              <controlPr defaultSize="0" autoFill="0" autoPict="0">
                <anchor moveWithCells="1">
                  <from>
                    <xdr:col>20</xdr:col>
                    <xdr:colOff>0</xdr:colOff>
                    <xdr:row>181</xdr:row>
                    <xdr:rowOff>0</xdr:rowOff>
                  </from>
                  <to>
                    <xdr:col>23</xdr:col>
                    <xdr:colOff>9525</xdr:colOff>
                    <xdr:row>182</xdr:row>
                    <xdr:rowOff>371475</xdr:rowOff>
                  </to>
                </anchor>
              </controlPr>
            </control>
          </mc:Choice>
        </mc:AlternateContent>
        <mc:AlternateContent xmlns:mc="http://schemas.openxmlformats.org/markup-compatibility/2006">
          <mc:Choice Requires="x14">
            <control shapeId="1115177" r:id="rId44" name="Option Button 127">
              <controlPr defaultSize="0" autoFill="0" autoLine="0" autoPict="0">
                <anchor moveWithCells="1">
                  <from>
                    <xdr:col>20</xdr:col>
                    <xdr:colOff>57150</xdr:colOff>
                    <xdr:row>181</xdr:row>
                    <xdr:rowOff>0</xdr:rowOff>
                  </from>
                  <to>
                    <xdr:col>20</xdr:col>
                    <xdr:colOff>304800</xdr:colOff>
                    <xdr:row>181</xdr:row>
                    <xdr:rowOff>171450</xdr:rowOff>
                  </to>
                </anchor>
              </controlPr>
            </control>
          </mc:Choice>
        </mc:AlternateContent>
        <mc:AlternateContent xmlns:mc="http://schemas.openxmlformats.org/markup-compatibility/2006">
          <mc:Choice Requires="x14">
            <control shapeId="1115178" r:id="rId45" name="Option Button 128">
              <controlPr defaultSize="0" autoFill="0" autoLine="0" autoPict="0">
                <anchor moveWithCells="1">
                  <from>
                    <xdr:col>21</xdr:col>
                    <xdr:colOff>47625</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179" r:id="rId46" name="Option Button 129">
              <controlPr defaultSize="0" autoFill="0" autoLine="0" autoPict="0">
                <anchor moveWithCells="1">
                  <from>
                    <xdr:col>22</xdr:col>
                    <xdr:colOff>47625</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180" r:id="rId47" name="Option Button 130">
              <controlPr defaultSize="0" autoFill="0" autoLine="0" autoPict="0">
                <anchor moveWithCells="1">
                  <from>
                    <xdr:col>23</xdr:col>
                    <xdr:colOff>57150</xdr:colOff>
                    <xdr:row>181</xdr:row>
                    <xdr:rowOff>0</xdr:rowOff>
                  </from>
                  <to>
                    <xdr:col>23</xdr:col>
                    <xdr:colOff>304800</xdr:colOff>
                    <xdr:row>181</xdr:row>
                    <xdr:rowOff>171450</xdr:rowOff>
                  </to>
                </anchor>
              </controlPr>
            </control>
          </mc:Choice>
        </mc:AlternateContent>
        <mc:AlternateContent xmlns:mc="http://schemas.openxmlformats.org/markup-compatibility/2006">
          <mc:Choice Requires="x14">
            <control shapeId="1115181" r:id="rId48" name="Option Button 142">
              <controlPr defaultSize="0" autoFill="0" autoLine="0" autoPict="0">
                <anchor moveWithCells="1">
                  <from>
                    <xdr:col>24</xdr:col>
                    <xdr:colOff>47625</xdr:colOff>
                    <xdr:row>181</xdr:row>
                    <xdr:rowOff>0</xdr:rowOff>
                  </from>
                  <to>
                    <xdr:col>24</xdr:col>
                    <xdr:colOff>295275</xdr:colOff>
                    <xdr:row>181</xdr:row>
                    <xdr:rowOff>171450</xdr:rowOff>
                  </to>
                </anchor>
              </controlPr>
            </control>
          </mc:Choice>
        </mc:AlternateContent>
        <mc:AlternateContent xmlns:mc="http://schemas.openxmlformats.org/markup-compatibility/2006">
          <mc:Choice Requires="x14">
            <control shapeId="1115182" r:id="rId49" name="Group Box 143">
              <controlPr defaultSize="0" autoFill="0" autoPict="0">
                <anchor moveWithCells="1">
                  <from>
                    <xdr:col>20</xdr:col>
                    <xdr:colOff>0</xdr:colOff>
                    <xdr:row>181</xdr:row>
                    <xdr:rowOff>0</xdr:rowOff>
                  </from>
                  <to>
                    <xdr:col>23</xdr:col>
                    <xdr:colOff>0</xdr:colOff>
                    <xdr:row>182</xdr:row>
                    <xdr:rowOff>561975</xdr:rowOff>
                  </to>
                </anchor>
              </controlPr>
            </control>
          </mc:Choice>
        </mc:AlternateContent>
        <mc:AlternateContent xmlns:mc="http://schemas.openxmlformats.org/markup-compatibility/2006">
          <mc:Choice Requires="x14">
            <control shapeId="1115183" r:id="rId50" name="Option Button 144">
              <controlPr defaultSize="0" autoFill="0" autoLine="0" autoPict="0">
                <anchor moveWithCells="1">
                  <from>
                    <xdr:col>20</xdr:col>
                    <xdr:colOff>57150</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184" r:id="rId51" name="Option Button 145">
              <controlPr defaultSize="0" autoFill="0" autoLine="0" autoPict="0">
                <anchor moveWithCells="1">
                  <from>
                    <xdr:col>21</xdr:col>
                    <xdr:colOff>38100</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185" r:id="rId52" name="Option Button 146">
              <controlPr defaultSize="0" autoFill="0" autoLine="0" autoPict="0">
                <anchor moveWithCells="1">
                  <from>
                    <xdr:col>22</xdr:col>
                    <xdr:colOff>38100</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186" r:id="rId53" name="Option Button 147">
              <controlPr defaultSize="0" autoFill="0" autoLine="0" autoPict="0">
                <anchor moveWithCells="1">
                  <from>
                    <xdr:col>23</xdr:col>
                    <xdr:colOff>38100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187" r:id="rId54" name="Option Button 148">
              <controlPr defaultSize="0" autoFill="0" autoLine="0" autoPict="0">
                <anchor moveWithCells="1">
                  <from>
                    <xdr:col>24</xdr:col>
                    <xdr:colOff>28575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188" r:id="rId55" name="Group Box 149">
              <controlPr defaultSize="0" autoFill="0" autoPict="0">
                <anchor moveWithCells="1">
                  <from>
                    <xdr:col>20</xdr:col>
                    <xdr:colOff>0</xdr:colOff>
                    <xdr:row>181</xdr:row>
                    <xdr:rowOff>0</xdr:rowOff>
                  </from>
                  <to>
                    <xdr:col>23</xdr:col>
                    <xdr:colOff>9525</xdr:colOff>
                    <xdr:row>182</xdr:row>
                    <xdr:rowOff>381000</xdr:rowOff>
                  </to>
                </anchor>
              </controlPr>
            </control>
          </mc:Choice>
        </mc:AlternateContent>
        <mc:AlternateContent xmlns:mc="http://schemas.openxmlformats.org/markup-compatibility/2006">
          <mc:Choice Requires="x14">
            <control shapeId="1115189" r:id="rId56" name="Option Button 150">
              <controlPr defaultSize="0" autoFill="0" autoLine="0" autoPict="0">
                <anchor moveWithCells="1">
                  <from>
                    <xdr:col>20</xdr:col>
                    <xdr:colOff>57150</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190" r:id="rId57" name="Option Button 151">
              <controlPr defaultSize="0" autoFill="0" autoLine="0" autoPict="0">
                <anchor moveWithCells="1">
                  <from>
                    <xdr:col>21</xdr:col>
                    <xdr:colOff>28575</xdr:colOff>
                    <xdr:row>181</xdr:row>
                    <xdr:rowOff>0</xdr:rowOff>
                  </from>
                  <to>
                    <xdr:col>21</xdr:col>
                    <xdr:colOff>276225</xdr:colOff>
                    <xdr:row>181</xdr:row>
                    <xdr:rowOff>171450</xdr:rowOff>
                  </to>
                </anchor>
              </controlPr>
            </control>
          </mc:Choice>
        </mc:AlternateContent>
        <mc:AlternateContent xmlns:mc="http://schemas.openxmlformats.org/markup-compatibility/2006">
          <mc:Choice Requires="x14">
            <control shapeId="1115191" r:id="rId58" name="Option Button 152">
              <controlPr defaultSize="0" autoFill="0" autoLine="0" autoPict="0">
                <anchor moveWithCells="1">
                  <from>
                    <xdr:col>22</xdr:col>
                    <xdr:colOff>28575</xdr:colOff>
                    <xdr:row>181</xdr:row>
                    <xdr:rowOff>0</xdr:rowOff>
                  </from>
                  <to>
                    <xdr:col>22</xdr:col>
                    <xdr:colOff>276225</xdr:colOff>
                    <xdr:row>181</xdr:row>
                    <xdr:rowOff>171450</xdr:rowOff>
                  </to>
                </anchor>
              </controlPr>
            </control>
          </mc:Choice>
        </mc:AlternateContent>
        <mc:AlternateContent xmlns:mc="http://schemas.openxmlformats.org/markup-compatibility/2006">
          <mc:Choice Requires="x14">
            <control shapeId="1115192" r:id="rId59" name="Option Button 153">
              <controlPr defaultSize="0" autoFill="0" autoLine="0" autoPict="0">
                <anchor moveWithCells="1">
                  <from>
                    <xdr:col>23</xdr:col>
                    <xdr:colOff>19050</xdr:colOff>
                    <xdr:row>181</xdr:row>
                    <xdr:rowOff>0</xdr:rowOff>
                  </from>
                  <to>
                    <xdr:col>23</xdr:col>
                    <xdr:colOff>266700</xdr:colOff>
                    <xdr:row>181</xdr:row>
                    <xdr:rowOff>171450</xdr:rowOff>
                  </to>
                </anchor>
              </controlPr>
            </control>
          </mc:Choice>
        </mc:AlternateContent>
        <mc:AlternateContent xmlns:mc="http://schemas.openxmlformats.org/markup-compatibility/2006">
          <mc:Choice Requires="x14">
            <control shapeId="1115193" r:id="rId60" name="Option Button 154">
              <controlPr defaultSize="0" autoFill="0" autoLine="0" autoPict="0">
                <anchor moveWithCells="1">
                  <from>
                    <xdr:col>24</xdr:col>
                    <xdr:colOff>9525</xdr:colOff>
                    <xdr:row>181</xdr:row>
                    <xdr:rowOff>0</xdr:rowOff>
                  </from>
                  <to>
                    <xdr:col>24</xdr:col>
                    <xdr:colOff>257175</xdr:colOff>
                    <xdr:row>181</xdr:row>
                    <xdr:rowOff>171450</xdr:rowOff>
                  </to>
                </anchor>
              </controlPr>
            </control>
          </mc:Choice>
        </mc:AlternateContent>
        <mc:AlternateContent xmlns:mc="http://schemas.openxmlformats.org/markup-compatibility/2006">
          <mc:Choice Requires="x14">
            <control shapeId="1115194" r:id="rId61" name="Group Box 155">
              <controlPr defaultSize="0" autoFill="0" autoPict="0">
                <anchor moveWithCells="1">
                  <from>
                    <xdr:col>20</xdr:col>
                    <xdr:colOff>0</xdr:colOff>
                    <xdr:row>181</xdr:row>
                    <xdr:rowOff>0</xdr:rowOff>
                  </from>
                  <to>
                    <xdr:col>23</xdr:col>
                    <xdr:colOff>9525</xdr:colOff>
                    <xdr:row>182</xdr:row>
                    <xdr:rowOff>381000</xdr:rowOff>
                  </to>
                </anchor>
              </controlPr>
            </control>
          </mc:Choice>
        </mc:AlternateContent>
        <mc:AlternateContent xmlns:mc="http://schemas.openxmlformats.org/markup-compatibility/2006">
          <mc:Choice Requires="x14">
            <control shapeId="1115195" r:id="rId62" name="Option Button 156">
              <controlPr defaultSize="0" autoFill="0" autoLine="0" autoPict="0">
                <anchor moveWithCells="1">
                  <from>
                    <xdr:col>20</xdr:col>
                    <xdr:colOff>57150</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196" r:id="rId63" name="Option Button 157">
              <controlPr defaultSize="0" autoFill="0" autoLine="0" autoPict="0">
                <anchor moveWithCells="1">
                  <from>
                    <xdr:col>21</xdr:col>
                    <xdr:colOff>28575</xdr:colOff>
                    <xdr:row>181</xdr:row>
                    <xdr:rowOff>0</xdr:rowOff>
                  </from>
                  <to>
                    <xdr:col>21</xdr:col>
                    <xdr:colOff>276225</xdr:colOff>
                    <xdr:row>181</xdr:row>
                    <xdr:rowOff>171450</xdr:rowOff>
                  </to>
                </anchor>
              </controlPr>
            </control>
          </mc:Choice>
        </mc:AlternateContent>
        <mc:AlternateContent xmlns:mc="http://schemas.openxmlformats.org/markup-compatibility/2006">
          <mc:Choice Requires="x14">
            <control shapeId="1115197" r:id="rId64" name="Option Button 158">
              <controlPr defaultSize="0" autoFill="0" autoLine="0" autoPict="0">
                <anchor moveWithCells="1">
                  <from>
                    <xdr:col>22</xdr:col>
                    <xdr:colOff>28575</xdr:colOff>
                    <xdr:row>181</xdr:row>
                    <xdr:rowOff>0</xdr:rowOff>
                  </from>
                  <to>
                    <xdr:col>22</xdr:col>
                    <xdr:colOff>276225</xdr:colOff>
                    <xdr:row>181</xdr:row>
                    <xdr:rowOff>171450</xdr:rowOff>
                  </to>
                </anchor>
              </controlPr>
            </control>
          </mc:Choice>
        </mc:AlternateContent>
        <mc:AlternateContent xmlns:mc="http://schemas.openxmlformats.org/markup-compatibility/2006">
          <mc:Choice Requires="x14">
            <control shapeId="1115198" r:id="rId65" name="Option Button 159">
              <controlPr defaultSize="0" autoFill="0" autoLine="0" autoPict="0">
                <anchor moveWithCells="1">
                  <from>
                    <xdr:col>23</xdr:col>
                    <xdr:colOff>19050</xdr:colOff>
                    <xdr:row>181</xdr:row>
                    <xdr:rowOff>0</xdr:rowOff>
                  </from>
                  <to>
                    <xdr:col>23</xdr:col>
                    <xdr:colOff>266700</xdr:colOff>
                    <xdr:row>181</xdr:row>
                    <xdr:rowOff>171450</xdr:rowOff>
                  </to>
                </anchor>
              </controlPr>
            </control>
          </mc:Choice>
        </mc:AlternateContent>
        <mc:AlternateContent xmlns:mc="http://schemas.openxmlformats.org/markup-compatibility/2006">
          <mc:Choice Requires="x14">
            <control shapeId="1115199" r:id="rId66" name="Option Button 160">
              <controlPr defaultSize="0" autoFill="0" autoLine="0" autoPict="0">
                <anchor moveWithCells="1">
                  <from>
                    <xdr:col>24</xdr:col>
                    <xdr:colOff>9525</xdr:colOff>
                    <xdr:row>181</xdr:row>
                    <xdr:rowOff>0</xdr:rowOff>
                  </from>
                  <to>
                    <xdr:col>24</xdr:col>
                    <xdr:colOff>257175</xdr:colOff>
                    <xdr:row>181</xdr:row>
                    <xdr:rowOff>171450</xdr:rowOff>
                  </to>
                </anchor>
              </controlPr>
            </control>
          </mc:Choice>
        </mc:AlternateContent>
        <mc:AlternateContent xmlns:mc="http://schemas.openxmlformats.org/markup-compatibility/2006">
          <mc:Choice Requires="x14">
            <control shapeId="1115200" r:id="rId67" name="Group Box 161">
              <controlPr defaultSize="0" autoFill="0" autoPict="0">
                <anchor moveWithCells="1">
                  <from>
                    <xdr:col>20</xdr:col>
                    <xdr:colOff>0</xdr:colOff>
                    <xdr:row>181</xdr:row>
                    <xdr:rowOff>0</xdr:rowOff>
                  </from>
                  <to>
                    <xdr:col>23</xdr:col>
                    <xdr:colOff>9525</xdr:colOff>
                    <xdr:row>182</xdr:row>
                    <xdr:rowOff>381000</xdr:rowOff>
                  </to>
                </anchor>
              </controlPr>
            </control>
          </mc:Choice>
        </mc:AlternateContent>
        <mc:AlternateContent xmlns:mc="http://schemas.openxmlformats.org/markup-compatibility/2006">
          <mc:Choice Requires="x14">
            <control shapeId="1115201" r:id="rId68" name="Option Button 65">
              <controlPr defaultSize="0" autoFill="0" autoLine="0" autoPict="0">
                <anchor moveWithCells="1">
                  <from>
                    <xdr:col>20</xdr:col>
                    <xdr:colOff>57150</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02" r:id="rId69" name="Option Button 163">
              <controlPr defaultSize="0" autoFill="0" autoLine="0" autoPict="0">
                <anchor moveWithCells="1">
                  <from>
                    <xdr:col>21</xdr:col>
                    <xdr:colOff>28575</xdr:colOff>
                    <xdr:row>181</xdr:row>
                    <xdr:rowOff>0</xdr:rowOff>
                  </from>
                  <to>
                    <xdr:col>21</xdr:col>
                    <xdr:colOff>276225</xdr:colOff>
                    <xdr:row>181</xdr:row>
                    <xdr:rowOff>171450</xdr:rowOff>
                  </to>
                </anchor>
              </controlPr>
            </control>
          </mc:Choice>
        </mc:AlternateContent>
        <mc:AlternateContent xmlns:mc="http://schemas.openxmlformats.org/markup-compatibility/2006">
          <mc:Choice Requires="x14">
            <control shapeId="1115203" r:id="rId70" name="Option Button 164">
              <controlPr defaultSize="0" autoFill="0" autoLine="0" autoPict="0">
                <anchor moveWithCells="1">
                  <from>
                    <xdr:col>22</xdr:col>
                    <xdr:colOff>28575</xdr:colOff>
                    <xdr:row>181</xdr:row>
                    <xdr:rowOff>0</xdr:rowOff>
                  </from>
                  <to>
                    <xdr:col>22</xdr:col>
                    <xdr:colOff>276225</xdr:colOff>
                    <xdr:row>181</xdr:row>
                    <xdr:rowOff>171450</xdr:rowOff>
                  </to>
                </anchor>
              </controlPr>
            </control>
          </mc:Choice>
        </mc:AlternateContent>
        <mc:AlternateContent xmlns:mc="http://schemas.openxmlformats.org/markup-compatibility/2006">
          <mc:Choice Requires="x14">
            <control shapeId="1115204" r:id="rId71" name="Option Button 165">
              <controlPr defaultSize="0" autoFill="0" autoLine="0" autoPict="0">
                <anchor moveWithCells="1">
                  <from>
                    <xdr:col>23</xdr:col>
                    <xdr:colOff>19050</xdr:colOff>
                    <xdr:row>181</xdr:row>
                    <xdr:rowOff>0</xdr:rowOff>
                  </from>
                  <to>
                    <xdr:col>23</xdr:col>
                    <xdr:colOff>266700</xdr:colOff>
                    <xdr:row>181</xdr:row>
                    <xdr:rowOff>171450</xdr:rowOff>
                  </to>
                </anchor>
              </controlPr>
            </control>
          </mc:Choice>
        </mc:AlternateContent>
        <mc:AlternateContent xmlns:mc="http://schemas.openxmlformats.org/markup-compatibility/2006">
          <mc:Choice Requires="x14">
            <control shapeId="1115205" r:id="rId72" name="Option Button 166">
              <controlPr defaultSize="0" autoFill="0" autoLine="0" autoPict="0">
                <anchor moveWithCells="1">
                  <from>
                    <xdr:col>24</xdr:col>
                    <xdr:colOff>9525</xdr:colOff>
                    <xdr:row>181</xdr:row>
                    <xdr:rowOff>0</xdr:rowOff>
                  </from>
                  <to>
                    <xdr:col>24</xdr:col>
                    <xdr:colOff>257175</xdr:colOff>
                    <xdr:row>181</xdr:row>
                    <xdr:rowOff>171450</xdr:rowOff>
                  </to>
                </anchor>
              </controlPr>
            </control>
          </mc:Choice>
        </mc:AlternateContent>
        <mc:AlternateContent xmlns:mc="http://schemas.openxmlformats.org/markup-compatibility/2006">
          <mc:Choice Requires="x14">
            <control shapeId="1115206" r:id="rId73" name="Group Box 167">
              <controlPr defaultSize="0" autoFill="0" autoPict="0">
                <anchor moveWithCells="1">
                  <from>
                    <xdr:col>20</xdr:col>
                    <xdr:colOff>0</xdr:colOff>
                    <xdr:row>181</xdr:row>
                    <xdr:rowOff>0</xdr:rowOff>
                  </from>
                  <to>
                    <xdr:col>23</xdr:col>
                    <xdr:colOff>9525</xdr:colOff>
                    <xdr:row>182</xdr:row>
                    <xdr:rowOff>561975</xdr:rowOff>
                  </to>
                </anchor>
              </controlPr>
            </control>
          </mc:Choice>
        </mc:AlternateContent>
        <mc:AlternateContent xmlns:mc="http://schemas.openxmlformats.org/markup-compatibility/2006">
          <mc:Choice Requires="x14">
            <control shapeId="1115207" r:id="rId74" name="Option Button 71">
              <controlPr defaultSize="0" autoFill="0" autoLine="0" autoPict="0">
                <anchor moveWithCells="1">
                  <from>
                    <xdr:col>20</xdr:col>
                    <xdr:colOff>66675</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08" r:id="rId75" name="Option Button 169">
              <controlPr defaultSize="0" autoFill="0" autoLine="0" autoPict="0">
                <anchor moveWithCells="1">
                  <from>
                    <xdr:col>21</xdr:col>
                    <xdr:colOff>38100</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209" r:id="rId76" name="Option Button 170">
              <controlPr defaultSize="0" autoFill="0" autoLine="0" autoPict="0">
                <anchor moveWithCells="1">
                  <from>
                    <xdr:col>22</xdr:col>
                    <xdr:colOff>38100</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210" r:id="rId77" name="Option Button 171">
              <controlPr defaultSize="0" autoFill="0" autoLine="0" autoPict="0">
                <anchor moveWithCells="1">
                  <from>
                    <xdr:col>23</xdr:col>
                    <xdr:colOff>28575</xdr:colOff>
                    <xdr:row>181</xdr:row>
                    <xdr:rowOff>0</xdr:rowOff>
                  </from>
                  <to>
                    <xdr:col>23</xdr:col>
                    <xdr:colOff>276225</xdr:colOff>
                    <xdr:row>181</xdr:row>
                    <xdr:rowOff>171450</xdr:rowOff>
                  </to>
                </anchor>
              </controlPr>
            </control>
          </mc:Choice>
        </mc:AlternateContent>
        <mc:AlternateContent xmlns:mc="http://schemas.openxmlformats.org/markup-compatibility/2006">
          <mc:Choice Requires="x14">
            <control shapeId="1115211" r:id="rId78" name="Option Button 172">
              <controlPr defaultSize="0" autoFill="0" autoLine="0" autoPict="0">
                <anchor moveWithCells="1">
                  <from>
                    <xdr:col>24</xdr:col>
                    <xdr:colOff>19050</xdr:colOff>
                    <xdr:row>181</xdr:row>
                    <xdr:rowOff>0</xdr:rowOff>
                  </from>
                  <to>
                    <xdr:col>24</xdr:col>
                    <xdr:colOff>266700</xdr:colOff>
                    <xdr:row>181</xdr:row>
                    <xdr:rowOff>171450</xdr:rowOff>
                  </to>
                </anchor>
              </controlPr>
            </control>
          </mc:Choice>
        </mc:AlternateContent>
        <mc:AlternateContent xmlns:mc="http://schemas.openxmlformats.org/markup-compatibility/2006">
          <mc:Choice Requires="x14">
            <control shapeId="1115212" r:id="rId79" name="Group Box 173">
              <controlPr defaultSize="0" autoFill="0" autoPict="0">
                <anchor moveWithCells="1">
                  <from>
                    <xdr:col>20</xdr:col>
                    <xdr:colOff>0</xdr:colOff>
                    <xdr:row>181</xdr:row>
                    <xdr:rowOff>0</xdr:rowOff>
                  </from>
                  <to>
                    <xdr:col>23</xdr:col>
                    <xdr:colOff>9525</xdr:colOff>
                    <xdr:row>182</xdr:row>
                    <xdr:rowOff>723900</xdr:rowOff>
                  </to>
                </anchor>
              </controlPr>
            </control>
          </mc:Choice>
        </mc:AlternateContent>
        <mc:AlternateContent xmlns:mc="http://schemas.openxmlformats.org/markup-compatibility/2006">
          <mc:Choice Requires="x14">
            <control shapeId="1115213" r:id="rId80" name="Option Button 77">
              <controlPr defaultSize="0" autoFill="0" autoLine="0" autoPict="0">
                <anchor moveWithCells="1">
                  <from>
                    <xdr:col>20</xdr:col>
                    <xdr:colOff>76200</xdr:colOff>
                    <xdr:row>181</xdr:row>
                    <xdr:rowOff>0</xdr:rowOff>
                  </from>
                  <to>
                    <xdr:col>20</xdr:col>
                    <xdr:colOff>304800</xdr:colOff>
                    <xdr:row>181</xdr:row>
                    <xdr:rowOff>171450</xdr:rowOff>
                  </to>
                </anchor>
              </controlPr>
            </control>
          </mc:Choice>
        </mc:AlternateContent>
        <mc:AlternateContent xmlns:mc="http://schemas.openxmlformats.org/markup-compatibility/2006">
          <mc:Choice Requires="x14">
            <control shapeId="1115214" r:id="rId81" name="Option Button 175">
              <controlPr defaultSize="0" autoFill="0" autoLine="0" autoPict="0">
                <anchor moveWithCells="1">
                  <from>
                    <xdr:col>21</xdr:col>
                    <xdr:colOff>47625</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215" r:id="rId82" name="Option Button 176">
              <controlPr defaultSize="0" autoFill="0" autoLine="0" autoPict="0">
                <anchor moveWithCells="1">
                  <from>
                    <xdr:col>22</xdr:col>
                    <xdr:colOff>47625</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216" r:id="rId83" name="Option Button 177">
              <controlPr defaultSize="0" autoFill="0" autoLine="0" autoPict="0">
                <anchor moveWithCells="1">
                  <from>
                    <xdr:col>23</xdr:col>
                    <xdr:colOff>38100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217" r:id="rId84" name="Option Button 178">
              <controlPr defaultSize="0" autoFill="0" autoLine="0" autoPict="0">
                <anchor moveWithCells="1">
                  <from>
                    <xdr:col>24</xdr:col>
                    <xdr:colOff>28575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18" r:id="rId85" name="Group Box 179">
              <controlPr defaultSize="0" autoFill="0" autoPict="0">
                <anchor moveWithCells="1">
                  <from>
                    <xdr:col>20</xdr:col>
                    <xdr:colOff>0</xdr:colOff>
                    <xdr:row>181</xdr:row>
                    <xdr:rowOff>0</xdr:rowOff>
                  </from>
                  <to>
                    <xdr:col>23</xdr:col>
                    <xdr:colOff>9525</xdr:colOff>
                    <xdr:row>182</xdr:row>
                    <xdr:rowOff>561975</xdr:rowOff>
                  </to>
                </anchor>
              </controlPr>
            </control>
          </mc:Choice>
        </mc:AlternateContent>
        <mc:AlternateContent xmlns:mc="http://schemas.openxmlformats.org/markup-compatibility/2006">
          <mc:Choice Requires="x14">
            <control shapeId="1115219" r:id="rId86" name="Option Button 83">
              <controlPr defaultSize="0" autoFill="0" autoLine="0" autoPict="0">
                <anchor moveWithCells="1">
                  <from>
                    <xdr:col>20</xdr:col>
                    <xdr:colOff>57150</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20" r:id="rId87" name="Option Button 181">
              <controlPr defaultSize="0" autoFill="0" autoLine="0" autoPict="0">
                <anchor moveWithCells="1">
                  <from>
                    <xdr:col>21</xdr:col>
                    <xdr:colOff>57150</xdr:colOff>
                    <xdr:row>181</xdr:row>
                    <xdr:rowOff>0</xdr:rowOff>
                  </from>
                  <to>
                    <xdr:col>21</xdr:col>
                    <xdr:colOff>304800</xdr:colOff>
                    <xdr:row>181</xdr:row>
                    <xdr:rowOff>171450</xdr:rowOff>
                  </to>
                </anchor>
              </controlPr>
            </control>
          </mc:Choice>
        </mc:AlternateContent>
        <mc:AlternateContent xmlns:mc="http://schemas.openxmlformats.org/markup-compatibility/2006">
          <mc:Choice Requires="x14">
            <control shapeId="1115221" r:id="rId88" name="Option Button 182">
              <controlPr defaultSize="0" autoFill="0" autoLine="0" autoPict="0">
                <anchor moveWithCells="1">
                  <from>
                    <xdr:col>22</xdr:col>
                    <xdr:colOff>57150</xdr:colOff>
                    <xdr:row>181</xdr:row>
                    <xdr:rowOff>0</xdr:rowOff>
                  </from>
                  <to>
                    <xdr:col>22</xdr:col>
                    <xdr:colOff>304800</xdr:colOff>
                    <xdr:row>181</xdr:row>
                    <xdr:rowOff>171450</xdr:rowOff>
                  </to>
                </anchor>
              </controlPr>
            </control>
          </mc:Choice>
        </mc:AlternateContent>
        <mc:AlternateContent xmlns:mc="http://schemas.openxmlformats.org/markup-compatibility/2006">
          <mc:Choice Requires="x14">
            <control shapeId="1115222" r:id="rId89" name="Option Button 183">
              <controlPr defaultSize="0" autoFill="0" autoLine="0" autoPict="0">
                <anchor moveWithCells="1">
                  <from>
                    <xdr:col>23</xdr:col>
                    <xdr:colOff>57150</xdr:colOff>
                    <xdr:row>181</xdr:row>
                    <xdr:rowOff>0</xdr:rowOff>
                  </from>
                  <to>
                    <xdr:col>23</xdr:col>
                    <xdr:colOff>304800</xdr:colOff>
                    <xdr:row>181</xdr:row>
                    <xdr:rowOff>171450</xdr:rowOff>
                  </to>
                </anchor>
              </controlPr>
            </control>
          </mc:Choice>
        </mc:AlternateContent>
        <mc:AlternateContent xmlns:mc="http://schemas.openxmlformats.org/markup-compatibility/2006">
          <mc:Choice Requires="x14">
            <control shapeId="1115223" r:id="rId90" name="Option Button 184">
              <controlPr defaultSize="0" autoFill="0" autoLine="0" autoPict="0">
                <anchor moveWithCells="1">
                  <from>
                    <xdr:col>24</xdr:col>
                    <xdr:colOff>38100</xdr:colOff>
                    <xdr:row>181</xdr:row>
                    <xdr:rowOff>0</xdr:rowOff>
                  </from>
                  <to>
                    <xdr:col>24</xdr:col>
                    <xdr:colOff>295275</xdr:colOff>
                    <xdr:row>181</xdr:row>
                    <xdr:rowOff>171450</xdr:rowOff>
                  </to>
                </anchor>
              </controlPr>
            </control>
          </mc:Choice>
        </mc:AlternateContent>
        <mc:AlternateContent xmlns:mc="http://schemas.openxmlformats.org/markup-compatibility/2006">
          <mc:Choice Requires="x14">
            <control shapeId="1115224" r:id="rId91" name="Group Box 185">
              <controlPr defaultSize="0" autoFill="0" autoPict="0">
                <anchor moveWithCells="1">
                  <from>
                    <xdr:col>20</xdr:col>
                    <xdr:colOff>0</xdr:colOff>
                    <xdr:row>181</xdr:row>
                    <xdr:rowOff>0</xdr:rowOff>
                  </from>
                  <to>
                    <xdr:col>23</xdr:col>
                    <xdr:colOff>9525</xdr:colOff>
                    <xdr:row>182</xdr:row>
                    <xdr:rowOff>371475</xdr:rowOff>
                  </to>
                </anchor>
              </controlPr>
            </control>
          </mc:Choice>
        </mc:AlternateContent>
        <mc:AlternateContent xmlns:mc="http://schemas.openxmlformats.org/markup-compatibility/2006">
          <mc:Choice Requires="x14">
            <control shapeId="1115225" r:id="rId92" name="Option Button 89">
              <controlPr defaultSize="0" autoFill="0" autoLine="0" autoPict="0">
                <anchor moveWithCells="1">
                  <from>
                    <xdr:col>20</xdr:col>
                    <xdr:colOff>57150</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26" r:id="rId93" name="Option Button 187">
              <controlPr defaultSize="0" autoFill="0" autoLine="0" autoPict="0">
                <anchor moveWithCells="1">
                  <from>
                    <xdr:col>21</xdr:col>
                    <xdr:colOff>57150</xdr:colOff>
                    <xdr:row>181</xdr:row>
                    <xdr:rowOff>0</xdr:rowOff>
                  </from>
                  <to>
                    <xdr:col>21</xdr:col>
                    <xdr:colOff>304800</xdr:colOff>
                    <xdr:row>181</xdr:row>
                    <xdr:rowOff>171450</xdr:rowOff>
                  </to>
                </anchor>
              </controlPr>
            </control>
          </mc:Choice>
        </mc:AlternateContent>
        <mc:AlternateContent xmlns:mc="http://schemas.openxmlformats.org/markup-compatibility/2006">
          <mc:Choice Requires="x14">
            <control shapeId="1115227" r:id="rId94" name="Option Button 188">
              <controlPr defaultSize="0" autoFill="0" autoLine="0" autoPict="0">
                <anchor moveWithCells="1">
                  <from>
                    <xdr:col>22</xdr:col>
                    <xdr:colOff>57150</xdr:colOff>
                    <xdr:row>181</xdr:row>
                    <xdr:rowOff>0</xdr:rowOff>
                  </from>
                  <to>
                    <xdr:col>22</xdr:col>
                    <xdr:colOff>304800</xdr:colOff>
                    <xdr:row>181</xdr:row>
                    <xdr:rowOff>171450</xdr:rowOff>
                  </to>
                </anchor>
              </controlPr>
            </control>
          </mc:Choice>
        </mc:AlternateContent>
        <mc:AlternateContent xmlns:mc="http://schemas.openxmlformats.org/markup-compatibility/2006">
          <mc:Choice Requires="x14">
            <control shapeId="1115228" r:id="rId95" name="Option Button 189">
              <controlPr defaultSize="0" autoFill="0" autoLine="0" autoPict="0">
                <anchor moveWithCells="1">
                  <from>
                    <xdr:col>23</xdr:col>
                    <xdr:colOff>57150</xdr:colOff>
                    <xdr:row>181</xdr:row>
                    <xdr:rowOff>0</xdr:rowOff>
                  </from>
                  <to>
                    <xdr:col>23</xdr:col>
                    <xdr:colOff>304800</xdr:colOff>
                    <xdr:row>181</xdr:row>
                    <xdr:rowOff>171450</xdr:rowOff>
                  </to>
                </anchor>
              </controlPr>
            </control>
          </mc:Choice>
        </mc:AlternateContent>
        <mc:AlternateContent xmlns:mc="http://schemas.openxmlformats.org/markup-compatibility/2006">
          <mc:Choice Requires="x14">
            <control shapeId="1115229" r:id="rId96" name="Option Button 190">
              <controlPr defaultSize="0" autoFill="0" autoLine="0" autoPict="0">
                <anchor moveWithCells="1">
                  <from>
                    <xdr:col>24</xdr:col>
                    <xdr:colOff>38100</xdr:colOff>
                    <xdr:row>181</xdr:row>
                    <xdr:rowOff>0</xdr:rowOff>
                  </from>
                  <to>
                    <xdr:col>24</xdr:col>
                    <xdr:colOff>295275</xdr:colOff>
                    <xdr:row>181</xdr:row>
                    <xdr:rowOff>171450</xdr:rowOff>
                  </to>
                </anchor>
              </controlPr>
            </control>
          </mc:Choice>
        </mc:AlternateContent>
        <mc:AlternateContent xmlns:mc="http://schemas.openxmlformats.org/markup-compatibility/2006">
          <mc:Choice Requires="x14">
            <control shapeId="1115230" r:id="rId97" name="Group Box 191">
              <controlPr defaultSize="0" autoFill="0" autoPict="0">
                <anchor moveWithCells="1">
                  <from>
                    <xdr:col>20</xdr:col>
                    <xdr:colOff>0</xdr:colOff>
                    <xdr:row>181</xdr:row>
                    <xdr:rowOff>0</xdr:rowOff>
                  </from>
                  <to>
                    <xdr:col>23</xdr:col>
                    <xdr:colOff>9525</xdr:colOff>
                    <xdr:row>182</xdr:row>
                    <xdr:rowOff>561975</xdr:rowOff>
                  </to>
                </anchor>
              </controlPr>
            </control>
          </mc:Choice>
        </mc:AlternateContent>
        <mc:AlternateContent xmlns:mc="http://schemas.openxmlformats.org/markup-compatibility/2006">
          <mc:Choice Requires="x14">
            <control shapeId="1115231" r:id="rId98" name="Option Button 192">
              <controlPr defaultSize="0" autoFill="0" autoLine="0" autoPict="0">
                <anchor moveWithCells="1">
                  <from>
                    <xdr:col>20</xdr:col>
                    <xdr:colOff>66675</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32" r:id="rId99" name="Option Button 193">
              <controlPr defaultSize="0" autoFill="0" autoLine="0" autoPict="0">
                <anchor moveWithCells="1">
                  <from>
                    <xdr:col>21</xdr:col>
                    <xdr:colOff>66675</xdr:colOff>
                    <xdr:row>181</xdr:row>
                    <xdr:rowOff>0</xdr:rowOff>
                  </from>
                  <to>
                    <xdr:col>21</xdr:col>
                    <xdr:colOff>314325</xdr:colOff>
                    <xdr:row>181</xdr:row>
                    <xdr:rowOff>171450</xdr:rowOff>
                  </to>
                </anchor>
              </controlPr>
            </control>
          </mc:Choice>
        </mc:AlternateContent>
        <mc:AlternateContent xmlns:mc="http://schemas.openxmlformats.org/markup-compatibility/2006">
          <mc:Choice Requires="x14">
            <control shapeId="1115233" r:id="rId100" name="Option Button 194">
              <controlPr defaultSize="0" autoFill="0" autoLine="0" autoPict="0">
                <anchor moveWithCells="1">
                  <from>
                    <xdr:col>22</xdr:col>
                    <xdr:colOff>66675</xdr:colOff>
                    <xdr:row>181</xdr:row>
                    <xdr:rowOff>0</xdr:rowOff>
                  </from>
                  <to>
                    <xdr:col>22</xdr:col>
                    <xdr:colOff>314325</xdr:colOff>
                    <xdr:row>181</xdr:row>
                    <xdr:rowOff>171450</xdr:rowOff>
                  </to>
                </anchor>
              </controlPr>
            </control>
          </mc:Choice>
        </mc:AlternateContent>
        <mc:AlternateContent xmlns:mc="http://schemas.openxmlformats.org/markup-compatibility/2006">
          <mc:Choice Requires="x14">
            <control shapeId="1115234" r:id="rId101" name="Option Button 195">
              <controlPr defaultSize="0" autoFill="0" autoLine="0" autoPict="0">
                <anchor moveWithCells="1">
                  <from>
                    <xdr:col>23</xdr:col>
                    <xdr:colOff>66675</xdr:colOff>
                    <xdr:row>181</xdr:row>
                    <xdr:rowOff>0</xdr:rowOff>
                  </from>
                  <to>
                    <xdr:col>23</xdr:col>
                    <xdr:colOff>314325</xdr:colOff>
                    <xdr:row>181</xdr:row>
                    <xdr:rowOff>171450</xdr:rowOff>
                  </to>
                </anchor>
              </controlPr>
            </control>
          </mc:Choice>
        </mc:AlternateContent>
        <mc:AlternateContent xmlns:mc="http://schemas.openxmlformats.org/markup-compatibility/2006">
          <mc:Choice Requires="x14">
            <control shapeId="1115235" r:id="rId102" name="Option Button 196">
              <controlPr defaultSize="0" autoFill="0" autoLine="0" autoPict="0">
                <anchor moveWithCells="1">
                  <from>
                    <xdr:col>24</xdr:col>
                    <xdr:colOff>47625</xdr:colOff>
                    <xdr:row>181</xdr:row>
                    <xdr:rowOff>0</xdr:rowOff>
                  </from>
                  <to>
                    <xdr:col>24</xdr:col>
                    <xdr:colOff>295275</xdr:colOff>
                    <xdr:row>181</xdr:row>
                    <xdr:rowOff>171450</xdr:rowOff>
                  </to>
                </anchor>
              </controlPr>
            </control>
          </mc:Choice>
        </mc:AlternateContent>
        <mc:AlternateContent xmlns:mc="http://schemas.openxmlformats.org/markup-compatibility/2006">
          <mc:Choice Requires="x14">
            <control shapeId="1115236" r:id="rId103" name="Group Box 197">
              <controlPr defaultSize="0" autoFill="0" autoPict="0">
                <anchor moveWithCells="1">
                  <from>
                    <xdr:col>20</xdr:col>
                    <xdr:colOff>0</xdr:colOff>
                    <xdr:row>181</xdr:row>
                    <xdr:rowOff>0</xdr:rowOff>
                  </from>
                  <to>
                    <xdr:col>23</xdr:col>
                    <xdr:colOff>9525</xdr:colOff>
                    <xdr:row>182</xdr:row>
                    <xdr:rowOff>381000</xdr:rowOff>
                  </to>
                </anchor>
              </controlPr>
            </control>
          </mc:Choice>
        </mc:AlternateContent>
        <mc:AlternateContent xmlns:mc="http://schemas.openxmlformats.org/markup-compatibility/2006">
          <mc:Choice Requires="x14">
            <control shapeId="1115237" r:id="rId104" name="Option Button 198">
              <controlPr defaultSize="0" autoFill="0" autoLine="0" autoPict="0">
                <anchor moveWithCells="1">
                  <from>
                    <xdr:col>20</xdr:col>
                    <xdr:colOff>57150</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38" r:id="rId105" name="Option Button 199">
              <controlPr defaultSize="0" autoFill="0" autoLine="0" autoPict="0">
                <anchor moveWithCells="1">
                  <from>
                    <xdr:col>21</xdr:col>
                    <xdr:colOff>57150</xdr:colOff>
                    <xdr:row>181</xdr:row>
                    <xdr:rowOff>0</xdr:rowOff>
                  </from>
                  <to>
                    <xdr:col>21</xdr:col>
                    <xdr:colOff>304800</xdr:colOff>
                    <xdr:row>181</xdr:row>
                    <xdr:rowOff>171450</xdr:rowOff>
                  </to>
                </anchor>
              </controlPr>
            </control>
          </mc:Choice>
        </mc:AlternateContent>
        <mc:AlternateContent xmlns:mc="http://schemas.openxmlformats.org/markup-compatibility/2006">
          <mc:Choice Requires="x14">
            <control shapeId="1115239" r:id="rId106" name="Option Button 200">
              <controlPr defaultSize="0" autoFill="0" autoLine="0" autoPict="0">
                <anchor moveWithCells="1">
                  <from>
                    <xdr:col>22</xdr:col>
                    <xdr:colOff>57150</xdr:colOff>
                    <xdr:row>181</xdr:row>
                    <xdr:rowOff>0</xdr:rowOff>
                  </from>
                  <to>
                    <xdr:col>22</xdr:col>
                    <xdr:colOff>304800</xdr:colOff>
                    <xdr:row>181</xdr:row>
                    <xdr:rowOff>171450</xdr:rowOff>
                  </to>
                </anchor>
              </controlPr>
            </control>
          </mc:Choice>
        </mc:AlternateContent>
        <mc:AlternateContent xmlns:mc="http://schemas.openxmlformats.org/markup-compatibility/2006">
          <mc:Choice Requires="x14">
            <control shapeId="1115240" r:id="rId107" name="Option Button 201">
              <controlPr defaultSize="0" autoFill="0" autoLine="0" autoPict="0">
                <anchor moveWithCells="1">
                  <from>
                    <xdr:col>23</xdr:col>
                    <xdr:colOff>57150</xdr:colOff>
                    <xdr:row>181</xdr:row>
                    <xdr:rowOff>0</xdr:rowOff>
                  </from>
                  <to>
                    <xdr:col>23</xdr:col>
                    <xdr:colOff>304800</xdr:colOff>
                    <xdr:row>181</xdr:row>
                    <xdr:rowOff>171450</xdr:rowOff>
                  </to>
                </anchor>
              </controlPr>
            </control>
          </mc:Choice>
        </mc:AlternateContent>
        <mc:AlternateContent xmlns:mc="http://schemas.openxmlformats.org/markup-compatibility/2006">
          <mc:Choice Requires="x14">
            <control shapeId="1115241" r:id="rId108" name="Group Box 203">
              <controlPr defaultSize="0" autoFill="0" autoPict="0">
                <anchor moveWithCells="1">
                  <from>
                    <xdr:col>20</xdr:col>
                    <xdr:colOff>0</xdr:colOff>
                    <xdr:row>181</xdr:row>
                    <xdr:rowOff>0</xdr:rowOff>
                  </from>
                  <to>
                    <xdr:col>23</xdr:col>
                    <xdr:colOff>9525</xdr:colOff>
                    <xdr:row>182</xdr:row>
                    <xdr:rowOff>609600</xdr:rowOff>
                  </to>
                </anchor>
              </controlPr>
            </control>
          </mc:Choice>
        </mc:AlternateContent>
        <mc:AlternateContent xmlns:mc="http://schemas.openxmlformats.org/markup-compatibility/2006">
          <mc:Choice Requires="x14">
            <control shapeId="1115242" r:id="rId109" name="Option Button 218">
              <controlPr defaultSize="0" autoFill="0" autoLine="0" autoPict="0">
                <anchor moveWithCells="1">
                  <from>
                    <xdr:col>20</xdr:col>
                    <xdr:colOff>47625</xdr:colOff>
                    <xdr:row>181</xdr:row>
                    <xdr:rowOff>0</xdr:rowOff>
                  </from>
                  <to>
                    <xdr:col>20</xdr:col>
                    <xdr:colOff>276225</xdr:colOff>
                    <xdr:row>181</xdr:row>
                    <xdr:rowOff>171450</xdr:rowOff>
                  </to>
                </anchor>
              </controlPr>
            </control>
          </mc:Choice>
        </mc:AlternateContent>
        <mc:AlternateContent xmlns:mc="http://schemas.openxmlformats.org/markup-compatibility/2006">
          <mc:Choice Requires="x14">
            <control shapeId="1115243" r:id="rId110" name="Option Button 219">
              <controlPr defaultSize="0" autoFill="0" autoLine="0" autoPict="0">
                <anchor moveWithCells="1">
                  <from>
                    <xdr:col>21</xdr:col>
                    <xdr:colOff>47625</xdr:colOff>
                    <xdr:row>181</xdr:row>
                    <xdr:rowOff>0</xdr:rowOff>
                  </from>
                  <to>
                    <xdr:col>21</xdr:col>
                    <xdr:colOff>276225</xdr:colOff>
                    <xdr:row>181</xdr:row>
                    <xdr:rowOff>171450</xdr:rowOff>
                  </to>
                </anchor>
              </controlPr>
            </control>
          </mc:Choice>
        </mc:AlternateContent>
        <mc:AlternateContent xmlns:mc="http://schemas.openxmlformats.org/markup-compatibility/2006">
          <mc:Choice Requires="x14">
            <control shapeId="1115244" r:id="rId111" name="Option Button 220">
              <controlPr defaultSize="0" autoFill="0" autoLine="0" autoPict="0">
                <anchor moveWithCells="1">
                  <from>
                    <xdr:col>22</xdr:col>
                    <xdr:colOff>47625</xdr:colOff>
                    <xdr:row>181</xdr:row>
                    <xdr:rowOff>0</xdr:rowOff>
                  </from>
                  <to>
                    <xdr:col>22</xdr:col>
                    <xdr:colOff>276225</xdr:colOff>
                    <xdr:row>181</xdr:row>
                    <xdr:rowOff>171450</xdr:rowOff>
                  </to>
                </anchor>
              </controlPr>
            </control>
          </mc:Choice>
        </mc:AlternateContent>
        <mc:AlternateContent xmlns:mc="http://schemas.openxmlformats.org/markup-compatibility/2006">
          <mc:Choice Requires="x14">
            <control shapeId="1115245" r:id="rId112" name="Option Button 221">
              <controlPr defaultSize="0" autoFill="0" autoLine="0" autoPict="0">
                <anchor moveWithCells="1">
                  <from>
                    <xdr:col>23</xdr:col>
                    <xdr:colOff>47625</xdr:colOff>
                    <xdr:row>181</xdr:row>
                    <xdr:rowOff>0</xdr:rowOff>
                  </from>
                  <to>
                    <xdr:col>23</xdr:col>
                    <xdr:colOff>276225</xdr:colOff>
                    <xdr:row>181</xdr:row>
                    <xdr:rowOff>171450</xdr:rowOff>
                  </to>
                </anchor>
              </controlPr>
            </control>
          </mc:Choice>
        </mc:AlternateContent>
        <mc:AlternateContent xmlns:mc="http://schemas.openxmlformats.org/markup-compatibility/2006">
          <mc:Choice Requires="x14">
            <control shapeId="1115246" r:id="rId113" name="Option Button 222">
              <controlPr defaultSize="0" autoFill="0" autoLine="0" autoPict="0">
                <anchor moveWithCells="1">
                  <from>
                    <xdr:col>24</xdr:col>
                    <xdr:colOff>47625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47" r:id="rId114" name="Group Box 223">
              <controlPr defaultSize="0" autoFill="0" autoPict="0">
                <anchor moveWithCells="1">
                  <from>
                    <xdr:col>20</xdr:col>
                    <xdr:colOff>9525</xdr:colOff>
                    <xdr:row>181</xdr:row>
                    <xdr:rowOff>0</xdr:rowOff>
                  </from>
                  <to>
                    <xdr:col>23</xdr:col>
                    <xdr:colOff>9525</xdr:colOff>
                    <xdr:row>182</xdr:row>
                    <xdr:rowOff>533400</xdr:rowOff>
                  </to>
                </anchor>
              </controlPr>
            </control>
          </mc:Choice>
        </mc:AlternateContent>
        <mc:AlternateContent xmlns:mc="http://schemas.openxmlformats.org/markup-compatibility/2006">
          <mc:Choice Requires="x14">
            <control shapeId="1115248" r:id="rId115" name="Option Button 224">
              <controlPr defaultSize="0" autoFill="0" autoLine="0" autoPict="0">
                <anchor moveWithCells="1">
                  <from>
                    <xdr:col>20</xdr:col>
                    <xdr:colOff>66675</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49" r:id="rId116" name="Option Button 225">
              <controlPr defaultSize="0" autoFill="0" autoLine="0" autoPict="0">
                <anchor moveWithCells="1">
                  <from>
                    <xdr:col>21</xdr:col>
                    <xdr:colOff>66675</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250" r:id="rId117" name="Option Button 226">
              <controlPr defaultSize="0" autoFill="0" autoLine="0" autoPict="0">
                <anchor moveWithCells="1">
                  <from>
                    <xdr:col>22</xdr:col>
                    <xdr:colOff>57150</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251" r:id="rId118" name="Option Button 227">
              <controlPr defaultSize="0" autoFill="0" autoLine="0" autoPict="0">
                <anchor moveWithCells="1">
                  <from>
                    <xdr:col>23</xdr:col>
                    <xdr:colOff>57150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252" r:id="rId119" name="Option Button 228">
              <controlPr defaultSize="0" autoFill="0" autoLine="0" autoPict="0">
                <anchor moveWithCells="1">
                  <from>
                    <xdr:col>24</xdr:col>
                    <xdr:colOff>47625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53" r:id="rId120" name="Group Box 229">
              <controlPr defaultSize="0" autoFill="0" autoPict="0">
                <anchor moveWithCells="1">
                  <from>
                    <xdr:col>20</xdr:col>
                    <xdr:colOff>9525</xdr:colOff>
                    <xdr:row>181</xdr:row>
                    <xdr:rowOff>0</xdr:rowOff>
                  </from>
                  <to>
                    <xdr:col>23</xdr:col>
                    <xdr:colOff>9525</xdr:colOff>
                    <xdr:row>182</xdr:row>
                    <xdr:rowOff>381000</xdr:rowOff>
                  </to>
                </anchor>
              </controlPr>
            </control>
          </mc:Choice>
        </mc:AlternateContent>
        <mc:AlternateContent xmlns:mc="http://schemas.openxmlformats.org/markup-compatibility/2006">
          <mc:Choice Requires="x14">
            <control shapeId="1115254" r:id="rId121" name="Option Button 230">
              <controlPr defaultSize="0" autoFill="0" autoLine="0" autoPict="0">
                <anchor moveWithCells="1">
                  <from>
                    <xdr:col>20</xdr:col>
                    <xdr:colOff>66675</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55" r:id="rId122" name="Option Button 231">
              <controlPr defaultSize="0" autoFill="0" autoLine="0" autoPict="0">
                <anchor moveWithCells="1">
                  <from>
                    <xdr:col>21</xdr:col>
                    <xdr:colOff>66675</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256" r:id="rId123" name="Option Button 232">
              <controlPr defaultSize="0" autoFill="0" autoLine="0" autoPict="0">
                <anchor moveWithCells="1">
                  <from>
                    <xdr:col>22</xdr:col>
                    <xdr:colOff>57150</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257" r:id="rId124" name="Option Button 233">
              <controlPr defaultSize="0" autoFill="0" autoLine="0" autoPict="0">
                <anchor moveWithCells="1">
                  <from>
                    <xdr:col>23</xdr:col>
                    <xdr:colOff>57150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258" r:id="rId125" name="Option Button 234">
              <controlPr defaultSize="0" autoFill="0" autoLine="0" autoPict="0">
                <anchor moveWithCells="1">
                  <from>
                    <xdr:col>24</xdr:col>
                    <xdr:colOff>47625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59" r:id="rId126" name="Group Box 235">
              <controlPr defaultSize="0" autoFill="0" autoPict="0">
                <anchor moveWithCells="1">
                  <from>
                    <xdr:col>20</xdr:col>
                    <xdr:colOff>9525</xdr:colOff>
                    <xdr:row>181</xdr:row>
                    <xdr:rowOff>0</xdr:rowOff>
                  </from>
                  <to>
                    <xdr:col>23</xdr:col>
                    <xdr:colOff>9525</xdr:colOff>
                    <xdr:row>182</xdr:row>
                    <xdr:rowOff>695325</xdr:rowOff>
                  </to>
                </anchor>
              </controlPr>
            </control>
          </mc:Choice>
        </mc:AlternateContent>
        <mc:AlternateContent xmlns:mc="http://schemas.openxmlformats.org/markup-compatibility/2006">
          <mc:Choice Requires="x14">
            <control shapeId="1115260" r:id="rId127" name="Option Button 124">
              <controlPr defaultSize="0" autoFill="0" autoLine="0" autoPict="0">
                <anchor moveWithCells="1">
                  <from>
                    <xdr:col>20</xdr:col>
                    <xdr:colOff>66675</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61" r:id="rId128" name="Option Button 237">
              <controlPr defaultSize="0" autoFill="0" autoLine="0" autoPict="0">
                <anchor moveWithCells="1">
                  <from>
                    <xdr:col>21</xdr:col>
                    <xdr:colOff>66675</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262" r:id="rId129" name="Option Button 238">
              <controlPr defaultSize="0" autoFill="0" autoLine="0" autoPict="0">
                <anchor moveWithCells="1">
                  <from>
                    <xdr:col>22</xdr:col>
                    <xdr:colOff>57150</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263" r:id="rId130" name="Option Button 239">
              <controlPr defaultSize="0" autoFill="0" autoLine="0" autoPict="0">
                <anchor moveWithCells="1">
                  <from>
                    <xdr:col>23</xdr:col>
                    <xdr:colOff>57150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264" r:id="rId131" name="Option Button 240">
              <controlPr defaultSize="0" autoFill="0" autoLine="0" autoPict="0">
                <anchor moveWithCells="1">
                  <from>
                    <xdr:col>24</xdr:col>
                    <xdr:colOff>47625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65" r:id="rId132" name="Group Box 241">
              <controlPr defaultSize="0" autoFill="0" autoPict="0">
                <anchor moveWithCells="1">
                  <from>
                    <xdr:col>20</xdr:col>
                    <xdr:colOff>9525</xdr:colOff>
                    <xdr:row>181</xdr:row>
                    <xdr:rowOff>0</xdr:rowOff>
                  </from>
                  <to>
                    <xdr:col>23</xdr:col>
                    <xdr:colOff>9525</xdr:colOff>
                    <xdr:row>182</xdr:row>
                    <xdr:rowOff>752475</xdr:rowOff>
                  </to>
                </anchor>
              </controlPr>
            </control>
          </mc:Choice>
        </mc:AlternateContent>
        <mc:AlternateContent xmlns:mc="http://schemas.openxmlformats.org/markup-compatibility/2006">
          <mc:Choice Requires="x14">
            <control shapeId="1115266" r:id="rId133" name="Option Button 130">
              <controlPr defaultSize="0" autoFill="0" autoLine="0" autoPict="0">
                <anchor moveWithCells="1">
                  <from>
                    <xdr:col>20</xdr:col>
                    <xdr:colOff>47625</xdr:colOff>
                    <xdr:row>181</xdr:row>
                    <xdr:rowOff>0</xdr:rowOff>
                  </from>
                  <to>
                    <xdr:col>20</xdr:col>
                    <xdr:colOff>276225</xdr:colOff>
                    <xdr:row>181</xdr:row>
                    <xdr:rowOff>171450</xdr:rowOff>
                  </to>
                </anchor>
              </controlPr>
            </control>
          </mc:Choice>
        </mc:AlternateContent>
        <mc:AlternateContent xmlns:mc="http://schemas.openxmlformats.org/markup-compatibility/2006">
          <mc:Choice Requires="x14">
            <control shapeId="1115267" r:id="rId134" name="Option Button 243">
              <controlPr defaultSize="0" autoFill="0" autoLine="0" autoPict="0">
                <anchor moveWithCells="1">
                  <from>
                    <xdr:col>21</xdr:col>
                    <xdr:colOff>47625</xdr:colOff>
                    <xdr:row>181</xdr:row>
                    <xdr:rowOff>0</xdr:rowOff>
                  </from>
                  <to>
                    <xdr:col>21</xdr:col>
                    <xdr:colOff>266700</xdr:colOff>
                    <xdr:row>181</xdr:row>
                    <xdr:rowOff>171450</xdr:rowOff>
                  </to>
                </anchor>
              </controlPr>
            </control>
          </mc:Choice>
        </mc:AlternateContent>
        <mc:AlternateContent xmlns:mc="http://schemas.openxmlformats.org/markup-compatibility/2006">
          <mc:Choice Requires="x14">
            <control shapeId="1115268" r:id="rId135" name="Option Button 244">
              <controlPr defaultSize="0" autoFill="0" autoLine="0" autoPict="0">
                <anchor moveWithCells="1">
                  <from>
                    <xdr:col>22</xdr:col>
                    <xdr:colOff>47625</xdr:colOff>
                    <xdr:row>181</xdr:row>
                    <xdr:rowOff>0</xdr:rowOff>
                  </from>
                  <to>
                    <xdr:col>22</xdr:col>
                    <xdr:colOff>276225</xdr:colOff>
                    <xdr:row>181</xdr:row>
                    <xdr:rowOff>171450</xdr:rowOff>
                  </to>
                </anchor>
              </controlPr>
            </control>
          </mc:Choice>
        </mc:AlternateContent>
        <mc:AlternateContent xmlns:mc="http://schemas.openxmlformats.org/markup-compatibility/2006">
          <mc:Choice Requires="x14">
            <control shapeId="1115269" r:id="rId136" name="Option Button 245">
              <controlPr defaultSize="0" autoFill="0" autoLine="0" autoPict="0">
                <anchor moveWithCells="1">
                  <from>
                    <xdr:col>23</xdr:col>
                    <xdr:colOff>57150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270" r:id="rId137" name="Option Button 246">
              <controlPr defaultSize="0" autoFill="0" autoLine="0" autoPict="0">
                <anchor moveWithCells="1">
                  <from>
                    <xdr:col>24</xdr:col>
                    <xdr:colOff>57150</xdr:colOff>
                    <xdr:row>181</xdr:row>
                    <xdr:rowOff>0</xdr:rowOff>
                  </from>
                  <to>
                    <xdr:col>24</xdr:col>
                    <xdr:colOff>295275</xdr:colOff>
                    <xdr:row>181</xdr:row>
                    <xdr:rowOff>171450</xdr:rowOff>
                  </to>
                </anchor>
              </controlPr>
            </control>
          </mc:Choice>
        </mc:AlternateContent>
        <mc:AlternateContent xmlns:mc="http://schemas.openxmlformats.org/markup-compatibility/2006">
          <mc:Choice Requires="x14">
            <control shapeId="1115271" r:id="rId138" name="Group Box 247">
              <controlPr defaultSize="0" autoFill="0" autoPict="0">
                <anchor moveWithCells="1">
                  <from>
                    <xdr:col>20</xdr:col>
                    <xdr:colOff>9525</xdr:colOff>
                    <xdr:row>181</xdr:row>
                    <xdr:rowOff>0</xdr:rowOff>
                  </from>
                  <to>
                    <xdr:col>23</xdr:col>
                    <xdr:colOff>9525</xdr:colOff>
                    <xdr:row>182</xdr:row>
                    <xdr:rowOff>381000</xdr:rowOff>
                  </to>
                </anchor>
              </controlPr>
            </control>
          </mc:Choice>
        </mc:AlternateContent>
        <mc:AlternateContent xmlns:mc="http://schemas.openxmlformats.org/markup-compatibility/2006">
          <mc:Choice Requires="x14">
            <control shapeId="1115272" r:id="rId139" name="Option Button 136">
              <controlPr defaultSize="0" autoFill="0" autoLine="0" autoPict="0">
                <anchor moveWithCells="1">
                  <from>
                    <xdr:col>20</xdr:col>
                    <xdr:colOff>66675</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73" r:id="rId140" name="Option Button 249">
              <controlPr defaultSize="0" autoFill="0" autoLine="0" autoPict="0">
                <anchor moveWithCells="1">
                  <from>
                    <xdr:col>21</xdr:col>
                    <xdr:colOff>66675</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274" r:id="rId141" name="Option Button 250">
              <controlPr defaultSize="0" autoFill="0" autoLine="0" autoPict="0">
                <anchor moveWithCells="1">
                  <from>
                    <xdr:col>22</xdr:col>
                    <xdr:colOff>57150</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275" r:id="rId142" name="Option Button 251">
              <controlPr defaultSize="0" autoFill="0" autoLine="0" autoPict="0">
                <anchor moveWithCells="1">
                  <from>
                    <xdr:col>23</xdr:col>
                    <xdr:colOff>57150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276" r:id="rId143" name="Option Button 252">
              <controlPr defaultSize="0" autoFill="0" autoLine="0" autoPict="0">
                <anchor moveWithCells="1">
                  <from>
                    <xdr:col>24</xdr:col>
                    <xdr:colOff>47625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77" r:id="rId144" name="Group Box 253">
              <controlPr defaultSize="0" autoFill="0" autoPict="0">
                <anchor moveWithCells="1">
                  <from>
                    <xdr:col>20</xdr:col>
                    <xdr:colOff>9525</xdr:colOff>
                    <xdr:row>181</xdr:row>
                    <xdr:rowOff>0</xdr:rowOff>
                  </from>
                  <to>
                    <xdr:col>23</xdr:col>
                    <xdr:colOff>9525</xdr:colOff>
                    <xdr:row>182</xdr:row>
                    <xdr:rowOff>381000</xdr:rowOff>
                  </to>
                </anchor>
              </controlPr>
            </control>
          </mc:Choice>
        </mc:AlternateContent>
        <mc:AlternateContent xmlns:mc="http://schemas.openxmlformats.org/markup-compatibility/2006">
          <mc:Choice Requires="x14">
            <control shapeId="1115278" r:id="rId145" name="Option Button 142">
              <controlPr defaultSize="0" autoFill="0" autoLine="0" autoPict="0">
                <anchor moveWithCells="1">
                  <from>
                    <xdr:col>20</xdr:col>
                    <xdr:colOff>66675</xdr:colOff>
                    <xdr:row>181</xdr:row>
                    <xdr:rowOff>0</xdr:rowOff>
                  </from>
                  <to>
                    <xdr:col>20</xdr:col>
                    <xdr:colOff>295275</xdr:colOff>
                    <xdr:row>181</xdr:row>
                    <xdr:rowOff>171450</xdr:rowOff>
                  </to>
                </anchor>
              </controlPr>
            </control>
          </mc:Choice>
        </mc:AlternateContent>
        <mc:AlternateContent xmlns:mc="http://schemas.openxmlformats.org/markup-compatibility/2006">
          <mc:Choice Requires="x14">
            <control shapeId="1115279" r:id="rId146" name="Option Button 255">
              <controlPr defaultSize="0" autoFill="0" autoLine="0" autoPict="0">
                <anchor moveWithCells="1">
                  <from>
                    <xdr:col>21</xdr:col>
                    <xdr:colOff>66675</xdr:colOff>
                    <xdr:row>181</xdr:row>
                    <xdr:rowOff>0</xdr:rowOff>
                  </from>
                  <to>
                    <xdr:col>21</xdr:col>
                    <xdr:colOff>295275</xdr:colOff>
                    <xdr:row>181</xdr:row>
                    <xdr:rowOff>171450</xdr:rowOff>
                  </to>
                </anchor>
              </controlPr>
            </control>
          </mc:Choice>
        </mc:AlternateContent>
        <mc:AlternateContent xmlns:mc="http://schemas.openxmlformats.org/markup-compatibility/2006">
          <mc:Choice Requires="x14">
            <control shapeId="1115280" r:id="rId147" name="Option Button 256">
              <controlPr defaultSize="0" autoFill="0" autoLine="0" autoPict="0">
                <anchor moveWithCells="1">
                  <from>
                    <xdr:col>22</xdr:col>
                    <xdr:colOff>57150</xdr:colOff>
                    <xdr:row>181</xdr:row>
                    <xdr:rowOff>0</xdr:rowOff>
                  </from>
                  <to>
                    <xdr:col>22</xdr:col>
                    <xdr:colOff>295275</xdr:colOff>
                    <xdr:row>181</xdr:row>
                    <xdr:rowOff>171450</xdr:rowOff>
                  </to>
                </anchor>
              </controlPr>
            </control>
          </mc:Choice>
        </mc:AlternateContent>
        <mc:AlternateContent xmlns:mc="http://schemas.openxmlformats.org/markup-compatibility/2006">
          <mc:Choice Requires="x14">
            <control shapeId="1115281" r:id="rId148" name="Option Button 257">
              <controlPr defaultSize="0" autoFill="0" autoLine="0" autoPict="0">
                <anchor moveWithCells="1">
                  <from>
                    <xdr:col>23</xdr:col>
                    <xdr:colOff>57150</xdr:colOff>
                    <xdr:row>181</xdr:row>
                    <xdr:rowOff>0</xdr:rowOff>
                  </from>
                  <to>
                    <xdr:col>23</xdr:col>
                    <xdr:colOff>295275</xdr:colOff>
                    <xdr:row>181</xdr:row>
                    <xdr:rowOff>171450</xdr:rowOff>
                  </to>
                </anchor>
              </controlPr>
            </control>
          </mc:Choice>
        </mc:AlternateContent>
        <mc:AlternateContent xmlns:mc="http://schemas.openxmlformats.org/markup-compatibility/2006">
          <mc:Choice Requires="x14">
            <control shapeId="1115282" r:id="rId149" name="Option Button 258">
              <controlPr defaultSize="0" autoFill="0" autoLine="0" autoPict="0">
                <anchor moveWithCells="1">
                  <from>
                    <xdr:col>24</xdr:col>
                    <xdr:colOff>47625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83" r:id="rId150" name="Option Button 259">
              <controlPr defaultSize="0" autoFill="0" autoLine="0" autoPict="0">
                <anchor moveWithCells="1">
                  <from>
                    <xdr:col>24</xdr:col>
                    <xdr:colOff>47625</xdr:colOff>
                    <xdr:row>181</xdr:row>
                    <xdr:rowOff>0</xdr:rowOff>
                  </from>
                  <to>
                    <xdr:col>24</xdr:col>
                    <xdr:colOff>276225</xdr:colOff>
                    <xdr:row>181</xdr:row>
                    <xdr:rowOff>171450</xdr:rowOff>
                  </to>
                </anchor>
              </controlPr>
            </control>
          </mc:Choice>
        </mc:AlternateContent>
        <mc:AlternateContent xmlns:mc="http://schemas.openxmlformats.org/markup-compatibility/2006">
          <mc:Choice Requires="x14">
            <control shapeId="1115284" r:id="rId151" name="Check Box 148">
              <controlPr defaultSize="0" autoFill="0" autoLine="0" autoPict="0">
                <anchor moveWithCells="1">
                  <from>
                    <xdr:col>1</xdr:col>
                    <xdr:colOff>47625</xdr:colOff>
                    <xdr:row>3</xdr:row>
                    <xdr:rowOff>0</xdr:rowOff>
                  </from>
                  <to>
                    <xdr:col>2</xdr:col>
                    <xdr:colOff>9525</xdr:colOff>
                    <xdr:row>4</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6" zoomScale="80" zoomScaleNormal="80" workbookViewId="0">
      <selection activeCell="E57" sqref="E57"/>
    </sheetView>
  </sheetViews>
  <sheetFormatPr defaultRowHeight="15" x14ac:dyDescent="0.25"/>
  <cols>
    <col min="1" max="1" width="2.140625" style="2475" customWidth="1"/>
    <col min="2" max="2" width="8" style="2475" customWidth="1"/>
    <col min="3" max="3" width="7.28515625" style="2475" customWidth="1"/>
    <col min="4" max="4" width="118.7109375" style="2475" customWidth="1"/>
    <col min="5" max="5" width="23.85546875" style="2475" customWidth="1"/>
    <col min="6" max="16384" width="9.140625" style="2475"/>
  </cols>
  <sheetData>
    <row r="1" spans="1:5" x14ac:dyDescent="0.25">
      <c r="A1" s="1371"/>
      <c r="B1" s="1371"/>
      <c r="C1" s="1371"/>
      <c r="D1" s="1371"/>
      <c r="E1" s="1371"/>
    </row>
    <row r="2" spans="1:5" x14ac:dyDescent="0.25">
      <c r="A2" s="1371"/>
      <c r="B2" s="1371"/>
      <c r="C2" s="1371"/>
      <c r="D2" s="1371"/>
      <c r="E2" s="1371"/>
    </row>
    <row r="3" spans="1:5" x14ac:dyDescent="0.25">
      <c r="A3" s="1371"/>
      <c r="B3" s="1371"/>
      <c r="C3" s="1371"/>
      <c r="D3" s="1371"/>
      <c r="E3" s="1371"/>
    </row>
    <row r="4" spans="1:5" ht="21" x14ac:dyDescent="0.25">
      <c r="A4" s="1371"/>
      <c r="B4" s="2540" t="s">
        <v>1640</v>
      </c>
      <c r="C4" s="2540"/>
      <c r="D4" s="2540"/>
      <c r="E4" s="2540"/>
    </row>
    <row r="5" spans="1:5" ht="72" customHeight="1" x14ac:dyDescent="0.35">
      <c r="A5" s="2474"/>
      <c r="B5" s="2536" t="s">
        <v>249</v>
      </c>
      <c r="C5" s="2536"/>
      <c r="D5" s="2483" t="str">
        <f>'CEKLIST 002 (BIO DATA)'!D15</f>
        <v>PD. BPR DOMPU</v>
      </c>
      <c r="E5" s="2487"/>
    </row>
    <row r="6" spans="1:5" ht="72" customHeight="1" x14ac:dyDescent="0.35">
      <c r="A6" s="2474"/>
      <c r="B6" s="2537" t="s">
        <v>1717</v>
      </c>
      <c r="C6" s="2537"/>
      <c r="D6" s="2485" t="str">
        <f>'CEKLIST 002 (BIO DATA)'!D25</f>
        <v>Nusa Tenggara Barat</v>
      </c>
      <c r="E6" s="2488"/>
    </row>
    <row r="7" spans="1:5" ht="21" x14ac:dyDescent="0.35">
      <c r="A7" s="2474"/>
      <c r="B7" s="2473"/>
      <c r="C7" s="2473"/>
      <c r="D7" s="2473"/>
      <c r="E7" s="2473"/>
    </row>
    <row r="8" spans="1:5" ht="72" customHeight="1" x14ac:dyDescent="0.35">
      <c r="A8" s="2474"/>
      <c r="B8" s="2537" t="s">
        <v>250</v>
      </c>
      <c r="C8" s="2537"/>
      <c r="D8" s="2485" t="str">
        <f>'CEKLIST 002 (BIO DATA)'!D26</f>
        <v>(0373) 22090</v>
      </c>
      <c r="E8" s="2488"/>
    </row>
    <row r="9" spans="1:5" ht="18.75" x14ac:dyDescent="0.25">
      <c r="A9" s="2474"/>
      <c r="B9" s="2564"/>
      <c r="C9" s="2564"/>
      <c r="D9" s="2564"/>
      <c r="E9" s="2564"/>
    </row>
    <row r="10" spans="1:5" ht="21" customHeight="1" x14ac:dyDescent="0.25">
      <c r="A10" s="1371"/>
      <c r="B10" s="1405" t="s">
        <v>251</v>
      </c>
      <c r="C10" s="2562" t="s">
        <v>252</v>
      </c>
      <c r="D10" s="2563"/>
      <c r="E10" s="1406" t="s">
        <v>848</v>
      </c>
    </row>
    <row r="11" spans="1:5" ht="21" x14ac:dyDescent="0.25">
      <c r="A11" s="1371"/>
      <c r="B11" s="2566"/>
      <c r="C11" s="2567"/>
      <c r="D11" s="2567"/>
      <c r="E11" s="2567"/>
    </row>
    <row r="12" spans="1:5" ht="21" customHeight="1" x14ac:dyDescent="0.25">
      <c r="A12" s="1371"/>
      <c r="B12" s="1407">
        <v>1</v>
      </c>
      <c r="C12" s="2568" t="s">
        <v>1641</v>
      </c>
      <c r="D12" s="2568"/>
      <c r="E12" s="1401" t="s">
        <v>1727</v>
      </c>
    </row>
    <row r="13" spans="1:5" ht="21" customHeight="1" x14ac:dyDescent="0.25">
      <c r="A13" s="1371"/>
      <c r="B13" s="1408">
        <v>2</v>
      </c>
      <c r="C13" s="2569" t="s">
        <v>1642</v>
      </c>
      <c r="D13" s="2569"/>
      <c r="E13" s="2569"/>
    </row>
    <row r="14" spans="1:5" ht="20.25" customHeight="1" x14ac:dyDescent="0.25">
      <c r="A14" s="1371"/>
      <c r="B14" s="1409"/>
      <c r="C14" s="1410" t="s">
        <v>55</v>
      </c>
      <c r="D14" s="1411" t="s">
        <v>1643</v>
      </c>
      <c r="E14" s="1362" t="s">
        <v>1727</v>
      </c>
    </row>
    <row r="15" spans="1:5" ht="42" customHeight="1" x14ac:dyDescent="0.25">
      <c r="A15" s="1371"/>
      <c r="B15" s="1412"/>
      <c r="C15" s="1410" t="s">
        <v>56</v>
      </c>
      <c r="D15" s="1413" t="s">
        <v>1644</v>
      </c>
      <c r="E15" s="1362" t="s">
        <v>1727</v>
      </c>
    </row>
    <row r="16" spans="1:5" ht="45" customHeight="1" x14ac:dyDescent="0.25">
      <c r="A16" s="1371"/>
      <c r="B16" s="1412"/>
      <c r="C16" s="1410" t="s">
        <v>57</v>
      </c>
      <c r="D16" s="1414" t="s">
        <v>1645</v>
      </c>
      <c r="E16" s="1362" t="s">
        <v>1727</v>
      </c>
    </row>
    <row r="17" spans="1:5" ht="74.25" customHeight="1" x14ac:dyDescent="0.25">
      <c r="A17" s="1371"/>
      <c r="B17" s="1412"/>
      <c r="C17" s="1410" t="s">
        <v>58</v>
      </c>
      <c r="D17" s="1414" t="s">
        <v>1680</v>
      </c>
      <c r="E17" s="1362" t="s">
        <v>1727</v>
      </c>
    </row>
    <row r="18" spans="1:5" ht="21" customHeight="1" x14ac:dyDescent="0.25">
      <c r="A18" s="1371"/>
      <c r="B18" s="1415">
        <v>3</v>
      </c>
      <c r="C18" s="2570" t="s">
        <v>1647</v>
      </c>
      <c r="D18" s="2570"/>
      <c r="E18" s="2490" t="s">
        <v>1726</v>
      </c>
    </row>
    <row r="19" spans="1:5" ht="21" customHeight="1" x14ac:dyDescent="0.25">
      <c r="A19" s="1371"/>
      <c r="B19" s="1416">
        <v>4</v>
      </c>
      <c r="C19" s="2571" t="s">
        <v>1681</v>
      </c>
      <c r="D19" s="2569"/>
      <c r="E19" s="2569"/>
    </row>
    <row r="20" spans="1:5" ht="43.5" customHeight="1" x14ac:dyDescent="0.25">
      <c r="A20" s="1371"/>
      <c r="B20" s="1417"/>
      <c r="C20" s="1418" t="s">
        <v>55</v>
      </c>
      <c r="D20" s="1419" t="s">
        <v>1682</v>
      </c>
      <c r="E20" s="1403" t="s">
        <v>1728</v>
      </c>
    </row>
    <row r="21" spans="1:5" ht="46.5" customHeight="1" x14ac:dyDescent="0.25">
      <c r="A21" s="1371"/>
      <c r="B21" s="1420"/>
      <c r="C21" s="1418" t="s">
        <v>56</v>
      </c>
      <c r="D21" s="1419" t="s">
        <v>1683</v>
      </c>
      <c r="E21" s="1403" t="s">
        <v>1728</v>
      </c>
    </row>
    <row r="22" spans="1:5" ht="21" customHeight="1" x14ac:dyDescent="0.25">
      <c r="A22" s="1371"/>
      <c r="B22" s="1421">
        <v>5</v>
      </c>
      <c r="C22" s="2569" t="s">
        <v>1684</v>
      </c>
      <c r="D22" s="2569"/>
      <c r="E22" s="2569"/>
    </row>
    <row r="23" spans="1:5" ht="22.5" customHeight="1" x14ac:dyDescent="0.25">
      <c r="A23" s="1371"/>
      <c r="B23" s="1422"/>
      <c r="C23" s="1410" t="s">
        <v>55</v>
      </c>
      <c r="D23" s="1413" t="s">
        <v>1685</v>
      </c>
      <c r="E23" s="1403" t="s">
        <v>1728</v>
      </c>
    </row>
    <row r="24" spans="1:5" ht="21" customHeight="1" x14ac:dyDescent="0.25">
      <c r="A24" s="1371"/>
      <c r="B24" s="1416">
        <v>6</v>
      </c>
      <c r="C24" s="2571" t="s">
        <v>1686</v>
      </c>
      <c r="D24" s="2569"/>
      <c r="E24" s="2569"/>
    </row>
    <row r="25" spans="1:5" ht="42" customHeight="1" x14ac:dyDescent="0.25">
      <c r="A25" s="1371"/>
      <c r="B25" s="1417"/>
      <c r="C25" s="1418" t="s">
        <v>55</v>
      </c>
      <c r="D25" s="1414" t="s">
        <v>1687</v>
      </c>
      <c r="E25" s="1403" t="s">
        <v>1728</v>
      </c>
    </row>
    <row r="26" spans="1:5" ht="42.75" customHeight="1" x14ac:dyDescent="0.25">
      <c r="A26" s="1371"/>
      <c r="B26" s="1423"/>
      <c r="C26" s="1418" t="s">
        <v>56</v>
      </c>
      <c r="D26" s="1411" t="s">
        <v>1688</v>
      </c>
      <c r="E26" s="1403" t="s">
        <v>1728</v>
      </c>
    </row>
    <row r="27" spans="1:5" ht="21" customHeight="1" x14ac:dyDescent="0.25">
      <c r="A27" s="1371"/>
      <c r="B27" s="1424">
        <v>7</v>
      </c>
      <c r="C27" s="2565" t="s">
        <v>1627</v>
      </c>
      <c r="D27" s="2565"/>
      <c r="E27" s="1403" t="s">
        <v>1728</v>
      </c>
    </row>
    <row r="28" spans="1:5" ht="21" customHeight="1" x14ac:dyDescent="0.25">
      <c r="A28" s="1371"/>
      <c r="B28" s="1415">
        <v>8</v>
      </c>
      <c r="C28" s="2565" t="s">
        <v>1628</v>
      </c>
      <c r="D28" s="2565"/>
      <c r="E28" s="1403" t="s">
        <v>1728</v>
      </c>
    </row>
    <row r="29" spans="1:5" ht="21" customHeight="1" x14ac:dyDescent="0.25">
      <c r="A29" s="1371"/>
      <c r="B29" s="1415">
        <v>9</v>
      </c>
      <c r="C29" s="2565" t="s">
        <v>1629</v>
      </c>
      <c r="D29" s="2565"/>
      <c r="E29" s="1403" t="s">
        <v>1728</v>
      </c>
    </row>
    <row r="30" spans="1:5" ht="21" customHeight="1" x14ac:dyDescent="0.25">
      <c r="A30" s="1371"/>
      <c r="B30" s="1415">
        <v>10</v>
      </c>
      <c r="C30" s="2565" t="s">
        <v>1689</v>
      </c>
      <c r="D30" s="2565"/>
      <c r="E30" s="1403" t="s">
        <v>1728</v>
      </c>
    </row>
    <row r="31" spans="1:5" ht="21" customHeight="1" x14ac:dyDescent="0.25">
      <c r="A31" s="1371"/>
      <c r="B31" s="1415">
        <v>11</v>
      </c>
      <c r="C31" s="2565" t="s">
        <v>1690</v>
      </c>
      <c r="D31" s="2565"/>
      <c r="E31" s="1403" t="s">
        <v>1728</v>
      </c>
    </row>
    <row r="32" spans="1:5" ht="42.75" customHeight="1" x14ac:dyDescent="0.25">
      <c r="A32" s="1371"/>
      <c r="B32" s="1415">
        <v>12</v>
      </c>
      <c r="C32" s="2575" t="s">
        <v>1691</v>
      </c>
      <c r="D32" s="2576"/>
      <c r="E32" s="1403" t="s">
        <v>1726</v>
      </c>
    </row>
    <row r="33" spans="1:5" ht="21" customHeight="1" x14ac:dyDescent="0.25">
      <c r="A33" s="1371"/>
      <c r="B33" s="1416">
        <v>13</v>
      </c>
      <c r="C33" s="2577" t="s">
        <v>1661</v>
      </c>
      <c r="D33" s="2577"/>
      <c r="E33" s="2577"/>
    </row>
    <row r="34" spans="1:5" ht="22.5" customHeight="1" x14ac:dyDescent="0.25">
      <c r="A34" s="1371"/>
      <c r="B34" s="1417"/>
      <c r="C34" s="1410" t="s">
        <v>55</v>
      </c>
      <c r="D34" s="1411" t="s">
        <v>1630</v>
      </c>
      <c r="E34" s="1403" t="s">
        <v>1728</v>
      </c>
    </row>
    <row r="35" spans="1:5" ht="21" customHeight="1" x14ac:dyDescent="0.25">
      <c r="A35" s="1371"/>
      <c r="B35" s="1417"/>
      <c r="C35" s="1410" t="s">
        <v>56</v>
      </c>
      <c r="D35" s="1411" t="s">
        <v>1631</v>
      </c>
      <c r="E35" s="1403" t="s">
        <v>1728</v>
      </c>
    </row>
    <row r="36" spans="1:5" ht="21" customHeight="1" x14ac:dyDescent="0.25">
      <c r="A36" s="1371"/>
      <c r="B36" s="1417"/>
      <c r="C36" s="1410" t="s">
        <v>57</v>
      </c>
      <c r="D36" s="1411" t="s">
        <v>1662</v>
      </c>
      <c r="E36" s="1403" t="s">
        <v>22</v>
      </c>
    </row>
    <row r="37" spans="1:5" ht="19.5" customHeight="1" x14ac:dyDescent="0.25">
      <c r="A37" s="1371"/>
      <c r="B37" s="1417"/>
      <c r="C37" s="1410" t="s">
        <v>58</v>
      </c>
      <c r="D37" s="1411" t="s">
        <v>1632</v>
      </c>
      <c r="E37" s="1403" t="s">
        <v>1728</v>
      </c>
    </row>
    <row r="38" spans="1:5" ht="19.5" customHeight="1" x14ac:dyDescent="0.25">
      <c r="A38" s="1371"/>
      <c r="B38" s="1417"/>
      <c r="C38" s="1410" t="s">
        <v>67</v>
      </c>
      <c r="D38" s="1411" t="s">
        <v>1633</v>
      </c>
      <c r="E38" s="1403" t="s">
        <v>22</v>
      </c>
    </row>
    <row r="39" spans="1:5" ht="20.25" customHeight="1" x14ac:dyDescent="0.25">
      <c r="A39" s="1371"/>
      <c r="B39" s="1417"/>
      <c r="C39" s="1410" t="s">
        <v>95</v>
      </c>
      <c r="D39" s="1411" t="s">
        <v>1634</v>
      </c>
      <c r="E39" s="1403" t="s">
        <v>22</v>
      </c>
    </row>
    <row r="40" spans="1:5" ht="21" customHeight="1" x14ac:dyDescent="0.25">
      <c r="A40" s="1371"/>
      <c r="B40" s="1408">
        <v>14</v>
      </c>
      <c r="C40" s="2577" t="s">
        <v>1692</v>
      </c>
      <c r="D40" s="2577"/>
      <c r="E40" s="2577"/>
    </row>
    <row r="41" spans="1:5" ht="20.25" customHeight="1" x14ac:dyDescent="0.25">
      <c r="A41" s="1371"/>
      <c r="B41" s="1412"/>
      <c r="C41" s="1410" t="s">
        <v>55</v>
      </c>
      <c r="D41" s="1411" t="s">
        <v>1635</v>
      </c>
      <c r="E41" s="1403" t="s">
        <v>1728</v>
      </c>
    </row>
    <row r="42" spans="1:5" ht="21.75" customHeight="1" x14ac:dyDescent="0.25">
      <c r="A42" s="1371"/>
      <c r="B42" s="1412"/>
      <c r="C42" s="1410" t="s">
        <v>56</v>
      </c>
      <c r="D42" s="1411" t="s">
        <v>1636</v>
      </c>
      <c r="E42" s="1403" t="s">
        <v>1728</v>
      </c>
    </row>
    <row r="43" spans="1:5" ht="21" customHeight="1" x14ac:dyDescent="0.25">
      <c r="A43" s="1371"/>
      <c r="B43" s="1412"/>
      <c r="C43" s="1410" t="s">
        <v>57</v>
      </c>
      <c r="D43" s="1411" t="s">
        <v>1693</v>
      </c>
      <c r="E43" s="1403" t="s">
        <v>22</v>
      </c>
    </row>
    <row r="44" spans="1:5" ht="19.5" customHeight="1" x14ac:dyDescent="0.25">
      <c r="A44" s="1371"/>
      <c r="B44" s="1412"/>
      <c r="C44" s="1410" t="s">
        <v>58</v>
      </c>
      <c r="D44" s="1411" t="s">
        <v>1637</v>
      </c>
      <c r="E44" s="1403" t="s">
        <v>1728</v>
      </c>
    </row>
    <row r="45" spans="1:5" ht="21" customHeight="1" x14ac:dyDescent="0.25">
      <c r="A45" s="1371"/>
      <c r="B45" s="1412"/>
      <c r="C45" s="1410" t="s">
        <v>67</v>
      </c>
      <c r="D45" s="1411" t="s">
        <v>1638</v>
      </c>
      <c r="E45" s="1403" t="s">
        <v>22</v>
      </c>
    </row>
    <row r="46" spans="1:5" ht="19.5" customHeight="1" x14ac:dyDescent="0.25">
      <c r="A46" s="1371"/>
      <c r="B46" s="1412"/>
      <c r="C46" s="1410" t="s">
        <v>95</v>
      </c>
      <c r="D46" s="1411" t="s">
        <v>1639</v>
      </c>
      <c r="E46" s="1403" t="s">
        <v>22</v>
      </c>
    </row>
    <row r="47" spans="1:5" ht="21" customHeight="1" x14ac:dyDescent="0.25">
      <c r="A47" s="1371"/>
      <c r="B47" s="1415">
        <v>15</v>
      </c>
      <c r="C47" s="2568" t="s">
        <v>253</v>
      </c>
      <c r="D47" s="2568"/>
      <c r="E47" s="1403" t="s">
        <v>22</v>
      </c>
    </row>
    <row r="48" spans="1:5" ht="21" customHeight="1" x14ac:dyDescent="0.25">
      <c r="A48" s="1371"/>
      <c r="B48" s="1416">
        <v>16</v>
      </c>
      <c r="C48" s="2578" t="s">
        <v>1665</v>
      </c>
      <c r="D48" s="2579"/>
      <c r="E48" s="1404"/>
    </row>
    <row r="49" spans="1:5" ht="21" customHeight="1" x14ac:dyDescent="0.25">
      <c r="A49" s="1371"/>
      <c r="B49" s="1425"/>
      <c r="C49" s="1426" t="s">
        <v>55</v>
      </c>
      <c r="D49" s="1427" t="s">
        <v>1694</v>
      </c>
      <c r="E49" s="1402" t="s">
        <v>1726</v>
      </c>
    </row>
    <row r="50" spans="1:5" ht="45" customHeight="1" x14ac:dyDescent="0.25">
      <c r="A50" s="1371"/>
      <c r="B50" s="1417"/>
      <c r="C50" s="1426" t="s">
        <v>56</v>
      </c>
      <c r="D50" s="1427" t="s">
        <v>1667</v>
      </c>
      <c r="E50" s="1402" t="s">
        <v>1726</v>
      </c>
    </row>
    <row r="51" spans="1:5" ht="42.75" customHeight="1" x14ac:dyDescent="0.25">
      <c r="A51" s="1371"/>
      <c r="B51" s="1417"/>
      <c r="C51" s="1426" t="s">
        <v>57</v>
      </c>
      <c r="D51" s="1427" t="s">
        <v>1695</v>
      </c>
      <c r="E51" s="1402" t="s">
        <v>1726</v>
      </c>
    </row>
    <row r="52" spans="1:5" ht="21" customHeight="1" x14ac:dyDescent="0.25">
      <c r="A52" s="1371"/>
      <c r="B52" s="1417"/>
      <c r="C52" s="1426" t="s">
        <v>58</v>
      </c>
      <c r="D52" s="1427" t="s">
        <v>1669</v>
      </c>
      <c r="E52" s="1402" t="s">
        <v>1726</v>
      </c>
    </row>
    <row r="53" spans="1:5" ht="21" customHeight="1" x14ac:dyDescent="0.25">
      <c r="A53" s="1371"/>
      <c r="B53" s="1417"/>
      <c r="C53" s="1426" t="s">
        <v>67</v>
      </c>
      <c r="D53" s="1427" t="s">
        <v>1670</v>
      </c>
      <c r="E53" s="1402" t="s">
        <v>1726</v>
      </c>
    </row>
    <row r="54" spans="1:5" ht="40.5" customHeight="1" x14ac:dyDescent="0.25">
      <c r="A54" s="1371"/>
      <c r="B54" s="1417"/>
      <c r="C54" s="1426" t="s">
        <v>95</v>
      </c>
      <c r="D54" s="1427" t="s">
        <v>1696</v>
      </c>
      <c r="E54" s="1402" t="s">
        <v>1726</v>
      </c>
    </row>
    <row r="55" spans="1:5" ht="41.25" customHeight="1" x14ac:dyDescent="0.25">
      <c r="A55" s="1371"/>
      <c r="B55" s="1417"/>
      <c r="C55" s="1426" t="s">
        <v>373</v>
      </c>
      <c r="D55" s="1427" t="s">
        <v>1697</v>
      </c>
      <c r="E55" s="1402" t="s">
        <v>1726</v>
      </c>
    </row>
    <row r="56" spans="1:5" ht="21" customHeight="1" x14ac:dyDescent="0.25">
      <c r="A56" s="1371"/>
      <c r="B56" s="1428">
        <v>17</v>
      </c>
      <c r="C56" s="2580" t="s">
        <v>1699</v>
      </c>
      <c r="D56" s="2581"/>
      <c r="E56" s="1402" t="s">
        <v>1726</v>
      </c>
    </row>
    <row r="57" spans="1:5" ht="21" x14ac:dyDescent="0.25">
      <c r="A57" s="1371"/>
      <c r="B57" s="1428">
        <v>17</v>
      </c>
      <c r="C57" s="2580" t="s">
        <v>1699</v>
      </c>
      <c r="D57" s="2581"/>
      <c r="E57" s="1402" t="s">
        <v>1726</v>
      </c>
    </row>
    <row r="58" spans="1:5" ht="21" x14ac:dyDescent="0.25">
      <c r="A58" s="1371"/>
      <c r="B58" s="1429"/>
      <c r="C58" s="1430"/>
      <c r="D58" s="1430"/>
      <c r="E58" s="1431"/>
    </row>
    <row r="59" spans="1:5" ht="19.5" customHeight="1" x14ac:dyDescent="0.25">
      <c r="A59" s="1371"/>
      <c r="B59" s="1432" t="s">
        <v>1673</v>
      </c>
      <c r="C59" s="1433" t="s">
        <v>1674</v>
      </c>
      <c r="D59" s="2572" t="s">
        <v>1675</v>
      </c>
      <c r="E59" s="2572"/>
    </row>
    <row r="60" spans="1:5" ht="21" x14ac:dyDescent="0.25">
      <c r="A60" s="1371"/>
      <c r="B60" s="1434"/>
      <c r="C60" s="1435" t="s">
        <v>1676</v>
      </c>
      <c r="D60" s="2573" t="s">
        <v>1677</v>
      </c>
      <c r="E60" s="2573"/>
    </row>
    <row r="61" spans="1:5" ht="42" customHeight="1" x14ac:dyDescent="0.25">
      <c r="A61" s="1371"/>
      <c r="B61" s="1434"/>
      <c r="C61" s="1435" t="s">
        <v>1678</v>
      </c>
      <c r="D61" s="2573" t="s">
        <v>1698</v>
      </c>
      <c r="E61" s="2573"/>
    </row>
    <row r="62" spans="1:5" ht="20.25" customHeight="1" x14ac:dyDescent="0.25">
      <c r="B62" s="1242"/>
      <c r="C62" s="1243"/>
      <c r="D62" s="2574"/>
      <c r="E62" s="2574"/>
    </row>
  </sheetData>
  <mergeCells count="29">
    <mergeCell ref="D59:E59"/>
    <mergeCell ref="D60:E60"/>
    <mergeCell ref="D61:E61"/>
    <mergeCell ref="D62:E62"/>
    <mergeCell ref="C32:D32"/>
    <mergeCell ref="C33:E33"/>
    <mergeCell ref="C40:E40"/>
    <mergeCell ref="C47:D47"/>
    <mergeCell ref="C48:D48"/>
    <mergeCell ref="C57:D57"/>
    <mergeCell ref="C56:D56"/>
    <mergeCell ref="C31:D31"/>
    <mergeCell ref="B11:E11"/>
    <mergeCell ref="C12:D12"/>
    <mergeCell ref="C13:E13"/>
    <mergeCell ref="C18:D18"/>
    <mergeCell ref="C19:E19"/>
    <mergeCell ref="C22:E22"/>
    <mergeCell ref="C24:E24"/>
    <mergeCell ref="C27:D27"/>
    <mergeCell ref="C28:D28"/>
    <mergeCell ref="C29:D29"/>
    <mergeCell ref="C30:D30"/>
    <mergeCell ref="C10:D10"/>
    <mergeCell ref="B4:E4"/>
    <mergeCell ref="B5:C5"/>
    <mergeCell ref="B6:C6"/>
    <mergeCell ref="B8:C8"/>
    <mergeCell ref="B9: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53"/>
  <sheetViews>
    <sheetView workbookViewId="0">
      <selection activeCell="D53" sqref="D53"/>
    </sheetView>
  </sheetViews>
  <sheetFormatPr defaultRowHeight="15" x14ac:dyDescent="0.25"/>
  <cols>
    <col min="1" max="1" width="4.140625" style="42" customWidth="1"/>
    <col min="2" max="2" width="26" style="29" customWidth="1"/>
    <col min="3" max="3" width="1.85546875" style="42" customWidth="1"/>
    <col min="4" max="4" width="41.7109375" style="29" customWidth="1"/>
    <col min="5" max="5" width="65.28515625" style="29" hidden="1" customWidth="1"/>
    <col min="6" max="16384" width="9.140625" style="29"/>
  </cols>
  <sheetData>
    <row r="1" spans="1:7" x14ac:dyDescent="0.25">
      <c r="A1" s="2589" t="s">
        <v>603</v>
      </c>
      <c r="B1" s="2589"/>
      <c r="C1" s="2589"/>
      <c r="D1" s="2589"/>
    </row>
    <row r="2" spans="1:7" x14ac:dyDescent="0.25">
      <c r="A2" s="1437"/>
      <c r="B2" s="1437"/>
      <c r="C2" s="1437"/>
      <c r="D2" s="1437"/>
    </row>
    <row r="3" spans="1:7" x14ac:dyDescent="0.25">
      <c r="A3" s="2587" t="s">
        <v>604</v>
      </c>
      <c r="B3" s="2587"/>
      <c r="C3" s="1437" t="s">
        <v>0</v>
      </c>
      <c r="D3" s="205" t="s">
        <v>1729</v>
      </c>
    </row>
    <row r="4" spans="1:7" x14ac:dyDescent="0.25">
      <c r="A4" s="2587" t="s">
        <v>605</v>
      </c>
      <c r="B4" s="2587"/>
      <c r="C4" s="1437" t="s">
        <v>0</v>
      </c>
      <c r="D4" s="205" t="s">
        <v>1730</v>
      </c>
    </row>
    <row r="5" spans="1:7" x14ac:dyDescent="0.25">
      <c r="A5" s="2587" t="s">
        <v>1506</v>
      </c>
      <c r="B5" s="2587"/>
      <c r="C5" s="1437" t="s">
        <v>0</v>
      </c>
      <c r="D5" s="1181">
        <v>43374</v>
      </c>
    </row>
    <row r="6" spans="1:7" x14ac:dyDescent="0.25">
      <c r="A6" s="2587" t="s">
        <v>606</v>
      </c>
      <c r="B6" s="2587"/>
      <c r="C6" s="1438" t="s">
        <v>0</v>
      </c>
      <c r="D6" s="206" t="s">
        <v>1731</v>
      </c>
    </row>
    <row r="7" spans="1:7" x14ac:dyDescent="0.25">
      <c r="A7" s="2587" t="s">
        <v>849</v>
      </c>
      <c r="B7" s="2587"/>
      <c r="C7" s="1438" t="s">
        <v>0</v>
      </c>
      <c r="D7" s="206" t="s">
        <v>1732</v>
      </c>
    </row>
    <row r="8" spans="1:7" x14ac:dyDescent="0.25">
      <c r="A8" s="1438"/>
      <c r="B8" s="1439"/>
      <c r="C8" s="1438"/>
      <c r="D8" s="2476"/>
    </row>
    <row r="9" spans="1:7" ht="30" customHeight="1" x14ac:dyDescent="0.25">
      <c r="A9" s="2588" t="s">
        <v>607</v>
      </c>
      <c r="B9" s="2588"/>
      <c r="C9" s="1438" t="s">
        <v>0</v>
      </c>
      <c r="D9" s="1436">
        <v>42735</v>
      </c>
    </row>
    <row r="10" spans="1:7" ht="33" customHeight="1" x14ac:dyDescent="0.25">
      <c r="A10" s="2588" t="s">
        <v>608</v>
      </c>
      <c r="B10" s="2588"/>
      <c r="C10" s="1438" t="s">
        <v>0</v>
      </c>
      <c r="D10" s="1436">
        <v>43100</v>
      </c>
    </row>
    <row r="11" spans="1:7" ht="30" customHeight="1" x14ac:dyDescent="0.25">
      <c r="A11" s="2588" t="s">
        <v>609</v>
      </c>
      <c r="B11" s="2588"/>
      <c r="C11" s="1438" t="s">
        <v>0</v>
      </c>
      <c r="D11" s="1436">
        <v>43281</v>
      </c>
    </row>
    <row r="12" spans="1:7" x14ac:dyDescent="0.25">
      <c r="A12" s="1438"/>
      <c r="B12" s="1439"/>
      <c r="C12" s="1438"/>
      <c r="D12" s="2476"/>
    </row>
    <row r="13" spans="1:7" ht="20.100000000000001" customHeight="1" x14ac:dyDescent="0.25">
      <c r="A13" s="1440" t="s">
        <v>103</v>
      </c>
      <c r="B13" s="2582" t="s">
        <v>40</v>
      </c>
      <c r="C13" s="2583"/>
      <c r="D13" s="1440" t="s">
        <v>610</v>
      </c>
      <c r="E13" s="43" t="s">
        <v>40</v>
      </c>
    </row>
    <row r="14" spans="1:7" ht="20.100000000000001" customHeight="1" x14ac:dyDescent="0.25">
      <c r="A14" s="1441">
        <v>1</v>
      </c>
      <c r="B14" s="1442" t="s">
        <v>850</v>
      </c>
      <c r="C14" s="1441" t="s">
        <v>0</v>
      </c>
      <c r="D14" s="2457" t="s">
        <v>1733</v>
      </c>
      <c r="E14" s="44"/>
    </row>
    <row r="15" spans="1:7" ht="20.100000000000001" customHeight="1" x14ac:dyDescent="0.25">
      <c r="A15" s="1441">
        <f>A14+1</f>
        <v>2</v>
      </c>
      <c r="B15" s="1442" t="s">
        <v>612</v>
      </c>
      <c r="C15" s="1441" t="s">
        <v>0</v>
      </c>
      <c r="D15" s="2457" t="s">
        <v>1734</v>
      </c>
      <c r="E15" s="44"/>
      <c r="G15" s="45"/>
    </row>
    <row r="16" spans="1:7" ht="20.100000000000001" customHeight="1" x14ac:dyDescent="0.25">
      <c r="A16" s="1441">
        <f>A15+1</f>
        <v>3</v>
      </c>
      <c r="B16" s="1442" t="s">
        <v>613</v>
      </c>
      <c r="C16" s="1441" t="s">
        <v>0</v>
      </c>
      <c r="D16" s="2477">
        <v>2010</v>
      </c>
      <c r="E16" s="44" t="s">
        <v>614</v>
      </c>
      <c r="G16" s="45"/>
    </row>
    <row r="17" spans="1:7" ht="20.100000000000001" customHeight="1" x14ac:dyDescent="0.25">
      <c r="A17" s="2584">
        <v>4</v>
      </c>
      <c r="B17" s="1442" t="s">
        <v>615</v>
      </c>
      <c r="C17" s="1441" t="s">
        <v>0</v>
      </c>
      <c r="D17" s="2477" t="s">
        <v>1766</v>
      </c>
      <c r="E17" s="44" t="s">
        <v>614</v>
      </c>
      <c r="G17" s="45"/>
    </row>
    <row r="18" spans="1:7" ht="20.100000000000001" customHeight="1" x14ac:dyDescent="0.25">
      <c r="A18" s="2585"/>
      <c r="B18" s="1442" t="s">
        <v>616</v>
      </c>
      <c r="C18" s="1441" t="s">
        <v>0</v>
      </c>
      <c r="D18" s="2478">
        <v>40224</v>
      </c>
      <c r="E18" s="44"/>
      <c r="G18" s="45"/>
    </row>
    <row r="19" spans="1:7" ht="20.100000000000001" customHeight="1" x14ac:dyDescent="0.25">
      <c r="A19" s="1441">
        <f>A17+1</f>
        <v>5</v>
      </c>
      <c r="B19" s="1443" t="s">
        <v>851</v>
      </c>
      <c r="C19" s="1444" t="s">
        <v>0</v>
      </c>
      <c r="D19" s="207">
        <v>7000000000</v>
      </c>
      <c r="E19" s="44" t="s">
        <v>617</v>
      </c>
      <c r="G19" s="45"/>
    </row>
    <row r="20" spans="1:7" ht="20.100000000000001" customHeight="1" x14ac:dyDescent="0.25">
      <c r="A20" s="1441">
        <f>A19+1</f>
        <v>6</v>
      </c>
      <c r="B20" s="1443" t="s">
        <v>618</v>
      </c>
      <c r="C20" s="1444" t="s">
        <v>0</v>
      </c>
      <c r="D20" s="208" t="s">
        <v>619</v>
      </c>
      <c r="E20" s="44" t="s">
        <v>620</v>
      </c>
    </row>
    <row r="21" spans="1:7" ht="20.100000000000001" customHeight="1" x14ac:dyDescent="0.25">
      <c r="A21" s="2584">
        <f>A20+1</f>
        <v>7</v>
      </c>
      <c r="B21" s="1442" t="s">
        <v>621</v>
      </c>
      <c r="C21" s="1441" t="s">
        <v>0</v>
      </c>
      <c r="D21" s="2457" t="s">
        <v>1735</v>
      </c>
      <c r="E21" s="44"/>
    </row>
    <row r="22" spans="1:7" ht="20.100000000000001" customHeight="1" x14ac:dyDescent="0.25">
      <c r="A22" s="2586"/>
      <c r="B22" s="1442" t="s">
        <v>622</v>
      </c>
      <c r="C22" s="1441" t="s">
        <v>0</v>
      </c>
      <c r="D22" s="2457" t="s">
        <v>1736</v>
      </c>
      <c r="E22" s="44"/>
    </row>
    <row r="23" spans="1:7" ht="20.100000000000001" customHeight="1" x14ac:dyDescent="0.25">
      <c r="A23" s="2586"/>
      <c r="B23" s="1442" t="s">
        <v>623</v>
      </c>
      <c r="C23" s="1441" t="s">
        <v>0</v>
      </c>
      <c r="D23" s="2457" t="s">
        <v>1737</v>
      </c>
      <c r="E23" s="44"/>
    </row>
    <row r="24" spans="1:7" ht="20.100000000000001" customHeight="1" x14ac:dyDescent="0.25">
      <c r="A24" s="2586"/>
      <c r="B24" s="1442" t="s">
        <v>624</v>
      </c>
      <c r="C24" s="1441" t="s">
        <v>0</v>
      </c>
      <c r="D24" s="2457" t="s">
        <v>1737</v>
      </c>
      <c r="E24" s="44"/>
    </row>
    <row r="25" spans="1:7" ht="20.100000000000001" customHeight="1" x14ac:dyDescent="0.25">
      <c r="A25" s="2585"/>
      <c r="B25" s="1442" t="s">
        <v>625</v>
      </c>
      <c r="C25" s="1441" t="s">
        <v>0</v>
      </c>
      <c r="D25" s="2457" t="s">
        <v>1738</v>
      </c>
      <c r="E25" s="44"/>
    </row>
    <row r="26" spans="1:7" ht="20.100000000000001" customHeight="1" x14ac:dyDescent="0.25">
      <c r="A26" s="1441">
        <f>A21+1</f>
        <v>8</v>
      </c>
      <c r="B26" s="1442" t="s">
        <v>217</v>
      </c>
      <c r="C26" s="1441" t="s">
        <v>0</v>
      </c>
      <c r="D26" s="2457" t="s">
        <v>1739</v>
      </c>
      <c r="E26" s="44"/>
    </row>
    <row r="27" spans="1:7" ht="20.100000000000001" customHeight="1" x14ac:dyDescent="0.25">
      <c r="A27" s="2584">
        <f>A26+1</f>
        <v>9</v>
      </c>
      <c r="B27" s="1442" t="s">
        <v>1484</v>
      </c>
      <c r="C27" s="1441" t="s">
        <v>0</v>
      </c>
      <c r="D27" s="2457" t="s">
        <v>1740</v>
      </c>
      <c r="E27" s="44"/>
    </row>
    <row r="28" spans="1:7" ht="20.100000000000001" customHeight="1" x14ac:dyDescent="0.3">
      <c r="A28" s="2585"/>
      <c r="B28" s="1442" t="s">
        <v>1485</v>
      </c>
      <c r="C28" s="1441" t="s">
        <v>0</v>
      </c>
      <c r="D28" s="2491" t="s">
        <v>1741</v>
      </c>
      <c r="E28" s="44"/>
    </row>
    <row r="29" spans="1:7" ht="20.100000000000001" customHeight="1" x14ac:dyDescent="0.25">
      <c r="A29" s="2584">
        <f>A27+1</f>
        <v>10</v>
      </c>
      <c r="B29" s="1442" t="s">
        <v>1486</v>
      </c>
      <c r="C29" s="1441" t="s">
        <v>0</v>
      </c>
      <c r="D29" s="2457" t="s">
        <v>1742</v>
      </c>
      <c r="E29" s="44"/>
    </row>
    <row r="30" spans="1:7" ht="20.100000000000001" customHeight="1" x14ac:dyDescent="0.3">
      <c r="A30" s="2585"/>
      <c r="B30" s="1442" t="s">
        <v>1487</v>
      </c>
      <c r="C30" s="1441" t="s">
        <v>0</v>
      </c>
      <c r="D30" s="2491" t="s">
        <v>1743</v>
      </c>
      <c r="E30" s="44"/>
    </row>
    <row r="31" spans="1:7" ht="20.100000000000001" customHeight="1" x14ac:dyDescent="0.25">
      <c r="A31" s="2584">
        <f>A29+1</f>
        <v>11</v>
      </c>
      <c r="B31" s="1442" t="s">
        <v>1486</v>
      </c>
      <c r="C31" s="1441" t="s">
        <v>0</v>
      </c>
      <c r="D31" s="2457" t="s">
        <v>22</v>
      </c>
      <c r="E31" s="44"/>
    </row>
    <row r="32" spans="1:7" ht="20.100000000000001" customHeight="1" x14ac:dyDescent="0.25">
      <c r="A32" s="2585"/>
      <c r="B32" s="1442" t="s">
        <v>1488</v>
      </c>
      <c r="C32" s="1441" t="s">
        <v>0</v>
      </c>
      <c r="D32" s="2479" t="s">
        <v>22</v>
      </c>
      <c r="E32" s="44"/>
    </row>
    <row r="33" spans="1:5" ht="20.100000000000001" customHeight="1" x14ac:dyDescent="0.25">
      <c r="A33" s="2584">
        <f>A31+1</f>
        <v>12</v>
      </c>
      <c r="B33" s="1442" t="s">
        <v>1489</v>
      </c>
      <c r="C33" s="1441" t="s">
        <v>0</v>
      </c>
      <c r="D33" s="2457" t="s">
        <v>22</v>
      </c>
      <c r="E33" s="44"/>
    </row>
    <row r="34" spans="1:5" ht="20.100000000000001" customHeight="1" x14ac:dyDescent="0.25">
      <c r="A34" s="2585"/>
      <c r="B34" s="1442" t="s">
        <v>1490</v>
      </c>
      <c r="C34" s="1441" t="s">
        <v>0</v>
      </c>
      <c r="D34" s="2457" t="s">
        <v>22</v>
      </c>
      <c r="E34" s="44"/>
    </row>
    <row r="35" spans="1:5" ht="20.100000000000001" customHeight="1" x14ac:dyDescent="0.25">
      <c r="A35" s="2584">
        <f>A33+1</f>
        <v>13</v>
      </c>
      <c r="B35" s="1442" t="s">
        <v>1491</v>
      </c>
      <c r="C35" s="1441" t="s">
        <v>0</v>
      </c>
      <c r="D35" s="2457" t="s">
        <v>22</v>
      </c>
      <c r="E35" s="44"/>
    </row>
    <row r="36" spans="1:5" ht="20.100000000000001" customHeight="1" x14ac:dyDescent="0.25">
      <c r="A36" s="2585"/>
      <c r="B36" s="1442" t="s">
        <v>1492</v>
      </c>
      <c r="C36" s="1441" t="s">
        <v>0</v>
      </c>
      <c r="D36" s="2479" t="s">
        <v>22</v>
      </c>
      <c r="E36" s="44"/>
    </row>
    <row r="37" spans="1:5" ht="20.100000000000001" customHeight="1" x14ac:dyDescent="0.25">
      <c r="A37" s="2584">
        <f>A35+1</f>
        <v>14</v>
      </c>
      <c r="B37" s="1445" t="s">
        <v>1507</v>
      </c>
      <c r="C37" s="1441" t="s">
        <v>0</v>
      </c>
      <c r="D37" s="2457" t="s">
        <v>22</v>
      </c>
      <c r="E37" s="44"/>
    </row>
    <row r="38" spans="1:5" ht="20.100000000000001" customHeight="1" x14ac:dyDescent="0.25">
      <c r="A38" s="2585"/>
      <c r="B38" s="1445" t="s">
        <v>1508</v>
      </c>
      <c r="C38" s="1441" t="s">
        <v>0</v>
      </c>
      <c r="D38" s="2457" t="s">
        <v>22</v>
      </c>
      <c r="E38" s="44"/>
    </row>
    <row r="39" spans="1:5" ht="20.100000000000001" customHeight="1" x14ac:dyDescent="0.25">
      <c r="A39" s="2584">
        <f>A37+1</f>
        <v>15</v>
      </c>
      <c r="B39" s="1442" t="s">
        <v>1493</v>
      </c>
      <c r="C39" s="1441" t="s">
        <v>0</v>
      </c>
      <c r="D39" s="2457" t="s">
        <v>1763</v>
      </c>
      <c r="E39" s="44"/>
    </row>
    <row r="40" spans="1:5" ht="20.100000000000001" customHeight="1" x14ac:dyDescent="0.3">
      <c r="A40" s="2585"/>
      <c r="B40" s="1442" t="s">
        <v>1494</v>
      </c>
      <c r="C40" s="1441" t="s">
        <v>0</v>
      </c>
      <c r="D40" s="2491" t="s">
        <v>22</v>
      </c>
      <c r="E40" s="44"/>
    </row>
    <row r="41" spans="1:5" ht="20.100000000000001" customHeight="1" x14ac:dyDescent="0.25">
      <c r="A41" s="2584">
        <f>A39+1</f>
        <v>16</v>
      </c>
      <c r="B41" s="1445" t="s">
        <v>1509</v>
      </c>
      <c r="C41" s="1441" t="s">
        <v>0</v>
      </c>
      <c r="D41" s="2457" t="s">
        <v>22</v>
      </c>
      <c r="E41" s="44"/>
    </row>
    <row r="42" spans="1:5" ht="20.100000000000001" customHeight="1" x14ac:dyDescent="0.3">
      <c r="A42" s="2585"/>
      <c r="B42" s="1442" t="s">
        <v>626</v>
      </c>
      <c r="C42" s="1441" t="s">
        <v>0</v>
      </c>
      <c r="D42" s="2492" t="s">
        <v>22</v>
      </c>
      <c r="E42" s="44"/>
    </row>
    <row r="43" spans="1:5" ht="20.100000000000001" customHeight="1" x14ac:dyDescent="0.25">
      <c r="A43" s="1441">
        <f>A41+1</f>
        <v>17</v>
      </c>
      <c r="B43" s="1442" t="s">
        <v>627</v>
      </c>
      <c r="C43" s="1441" t="s">
        <v>0</v>
      </c>
      <c r="D43" s="2480" t="s">
        <v>22</v>
      </c>
      <c r="E43" s="44" t="s">
        <v>628</v>
      </c>
    </row>
    <row r="44" spans="1:5" ht="20.100000000000001" customHeight="1" x14ac:dyDescent="0.25">
      <c r="A44" s="1441">
        <f t="shared" ref="A44:A51" si="0">A43+1</f>
        <v>18</v>
      </c>
      <c r="B44" s="1442" t="s">
        <v>629</v>
      </c>
      <c r="C44" s="1441" t="s">
        <v>0</v>
      </c>
      <c r="D44" s="2478">
        <v>43306</v>
      </c>
      <c r="E44" s="44"/>
    </row>
    <row r="45" spans="1:5" ht="20.100000000000001" customHeight="1" x14ac:dyDescent="0.25">
      <c r="A45" s="1441">
        <f t="shared" si="0"/>
        <v>19</v>
      </c>
      <c r="B45" s="1442" t="s">
        <v>630</v>
      </c>
      <c r="C45" s="1441" t="s">
        <v>0</v>
      </c>
      <c r="D45" s="2478" t="s">
        <v>1744</v>
      </c>
      <c r="E45" s="44"/>
    </row>
    <row r="46" spans="1:5" ht="20.100000000000001" hidden="1" customHeight="1" x14ac:dyDescent="0.25">
      <c r="A46" s="1441">
        <f t="shared" si="0"/>
        <v>20</v>
      </c>
      <c r="B46" s="1442" t="s">
        <v>631</v>
      </c>
      <c r="C46" s="1441" t="s">
        <v>0</v>
      </c>
      <c r="D46" s="2482"/>
      <c r="E46" s="44"/>
    </row>
    <row r="47" spans="1:5" ht="19.5" customHeight="1" x14ac:dyDescent="0.25">
      <c r="A47" s="1441">
        <f t="shared" si="0"/>
        <v>21</v>
      </c>
      <c r="B47" s="1446" t="s">
        <v>1495</v>
      </c>
      <c r="C47" s="1441" t="s">
        <v>0</v>
      </c>
      <c r="D47" s="2457" t="s">
        <v>22</v>
      </c>
      <c r="E47" s="44" t="s">
        <v>632</v>
      </c>
    </row>
    <row r="48" spans="1:5" ht="19.5" customHeight="1" x14ac:dyDescent="0.25">
      <c r="A48" s="1441">
        <f t="shared" si="0"/>
        <v>22</v>
      </c>
      <c r="B48" s="1446" t="s">
        <v>1496</v>
      </c>
      <c r="C48" s="1441" t="s">
        <v>0</v>
      </c>
      <c r="D48" s="2457" t="s">
        <v>22</v>
      </c>
      <c r="E48" s="44"/>
    </row>
    <row r="49" spans="1:5" ht="19.5" customHeight="1" x14ac:dyDescent="0.25">
      <c r="A49" s="1441">
        <f t="shared" si="0"/>
        <v>23</v>
      </c>
      <c r="B49" s="1446" t="s">
        <v>633</v>
      </c>
      <c r="C49" s="1441" t="s">
        <v>0</v>
      </c>
      <c r="D49" s="2457" t="s">
        <v>1745</v>
      </c>
      <c r="E49" s="44" t="s">
        <v>634</v>
      </c>
    </row>
    <row r="50" spans="1:5" ht="19.5" customHeight="1" x14ac:dyDescent="0.25">
      <c r="A50" s="1441">
        <f t="shared" si="0"/>
        <v>24</v>
      </c>
      <c r="B50" s="1442" t="s">
        <v>1497</v>
      </c>
      <c r="C50" s="1441" t="s">
        <v>0</v>
      </c>
      <c r="D50" s="2457" t="s">
        <v>1746</v>
      </c>
      <c r="E50" s="44" t="s">
        <v>635</v>
      </c>
    </row>
    <row r="51" spans="1:5" ht="19.5" customHeight="1" x14ac:dyDescent="0.25">
      <c r="A51" s="1441">
        <f t="shared" si="0"/>
        <v>25</v>
      </c>
      <c r="B51" s="1442" t="s">
        <v>636</v>
      </c>
      <c r="C51" s="1441" t="s">
        <v>0</v>
      </c>
      <c r="D51" s="2457" t="s">
        <v>1747</v>
      </c>
      <c r="E51" s="44" t="s">
        <v>635</v>
      </c>
    </row>
    <row r="52" spans="1:5" ht="19.5" customHeight="1" x14ac:dyDescent="0.25">
      <c r="A52" s="1441">
        <v>26</v>
      </c>
      <c r="B52" s="1442" t="s">
        <v>198</v>
      </c>
      <c r="C52" s="1441" t="s">
        <v>0</v>
      </c>
      <c r="D52" s="2493" t="s">
        <v>1748</v>
      </c>
      <c r="E52" s="44"/>
    </row>
    <row r="53" spans="1:5" ht="30" x14ac:dyDescent="0.25">
      <c r="A53" s="1447"/>
      <c r="B53" s="1448" t="s">
        <v>1553</v>
      </c>
      <c r="C53" s="1447" t="s">
        <v>0</v>
      </c>
      <c r="D53" s="2481">
        <v>42005</v>
      </c>
    </row>
  </sheetData>
  <mergeCells count="20">
    <mergeCell ref="A7:B7"/>
    <mergeCell ref="A9:B9"/>
    <mergeCell ref="A10:B10"/>
    <mergeCell ref="A11:B11"/>
    <mergeCell ref="A1:D1"/>
    <mergeCell ref="A3:B3"/>
    <mergeCell ref="A4:B4"/>
    <mergeCell ref="A5:B5"/>
    <mergeCell ref="A6:B6"/>
    <mergeCell ref="B13:C13"/>
    <mergeCell ref="A17:A18"/>
    <mergeCell ref="A39:A40"/>
    <mergeCell ref="A41:A42"/>
    <mergeCell ref="A27:A28"/>
    <mergeCell ref="A29:A30"/>
    <mergeCell ref="A31:A32"/>
    <mergeCell ref="A33:A34"/>
    <mergeCell ref="A35:A36"/>
    <mergeCell ref="A37:A38"/>
    <mergeCell ref="A21:A25"/>
  </mergeCells>
  <conditionalFormatting sqref="D3:D7 D9:D11 D14:D53">
    <cfRule type="containsBlanks" dxfId="41" priority="13">
      <formula>LEN(TRIM(D3))=0</formula>
    </cfRule>
  </conditionalFormatting>
  <conditionalFormatting sqref="D3:D7 D9:D11 D14:D53">
    <cfRule type="containsBlanks" dxfId="40" priority="12">
      <formula>LEN(TRIM(D3))=0</formula>
    </cfRule>
  </conditionalFormatting>
  <conditionalFormatting sqref="D45">
    <cfRule type="containsBlanks" dxfId="39" priority="11">
      <formula>LEN(TRIM(D45))=0</formula>
    </cfRule>
  </conditionalFormatting>
  <conditionalFormatting sqref="D50:D52">
    <cfRule type="containsBlanks" dxfId="38" priority="10">
      <formula>LEN(TRIM(D50))=0</formula>
    </cfRule>
  </conditionalFormatting>
  <conditionalFormatting sqref="D3:D7">
    <cfRule type="containsBlanks" dxfId="37" priority="9">
      <formula>LEN(TRIM(D3))=0</formula>
    </cfRule>
  </conditionalFormatting>
  <conditionalFormatting sqref="D10:D11">
    <cfRule type="containsBlanks" dxfId="36" priority="8">
      <formula>LEN(TRIM(D10))=0</formula>
    </cfRule>
  </conditionalFormatting>
  <conditionalFormatting sqref="D9">
    <cfRule type="containsBlanks" dxfId="35" priority="7">
      <formula>LEN(TRIM(D9))=0</formula>
    </cfRule>
  </conditionalFormatting>
  <conditionalFormatting sqref="D14:D17 D30:D38 D19:D28 D40:D43 D53">
    <cfRule type="containsBlanks" dxfId="34" priority="6">
      <formula>LEN(TRIM(D14))=0</formula>
    </cfRule>
  </conditionalFormatting>
  <conditionalFormatting sqref="D14:D17 D30:D38 D19:D28 D40:D43 D53">
    <cfRule type="containsBlanks" dxfId="33" priority="5">
      <formula>LEN(TRIM(D14))=0</formula>
    </cfRule>
  </conditionalFormatting>
  <conditionalFormatting sqref="D29">
    <cfRule type="containsBlanks" dxfId="32" priority="4">
      <formula>LEN(TRIM(D29))=0</formula>
    </cfRule>
  </conditionalFormatting>
  <conditionalFormatting sqref="D18">
    <cfRule type="containsBlanks" dxfId="31" priority="3">
      <formula>LEN(TRIM(D18))=0</formula>
    </cfRule>
  </conditionalFormatting>
  <conditionalFormatting sqref="D39">
    <cfRule type="containsBlanks" dxfId="30" priority="2">
      <formula>LEN(TRIM(D39))=0</formula>
    </cfRule>
  </conditionalFormatting>
  <conditionalFormatting sqref="D44:D52">
    <cfRule type="containsBlanks" dxfId="29" priority="1">
      <formula>LEN(TRIM(D44))=0</formula>
    </cfRule>
  </conditionalFormatting>
  <printOptions horizontalCentered="1"/>
  <pageMargins left="0.70866141732283472" right="0.70866141732283472" top="0.32" bottom="0.17" header="0.19" footer="0.17"/>
  <pageSetup paperSize="9" scale="84" orientation="portrait" r:id="rId1"/>
  <colBreaks count="1" manualBreakCount="1">
    <brk id="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232"/>
  <sheetViews>
    <sheetView showGridLines="0" topLeftCell="A19" zoomScale="80" zoomScaleNormal="80" workbookViewId="0">
      <selection activeCell="G23" sqref="G23"/>
    </sheetView>
  </sheetViews>
  <sheetFormatPr defaultRowHeight="14.25" x14ac:dyDescent="0.2"/>
  <cols>
    <col min="1" max="1" width="2.42578125" style="719" customWidth="1"/>
    <col min="2" max="2" width="1" style="719" customWidth="1"/>
    <col min="3" max="3" width="3.42578125" style="719" customWidth="1"/>
    <col min="4" max="4" width="3.5703125" style="719" customWidth="1"/>
    <col min="5" max="5" width="4.42578125" style="719" customWidth="1"/>
    <col min="6" max="6" width="13.5703125" style="719" bestFit="1" customWidth="1"/>
    <col min="7" max="7" width="19.7109375" style="719" customWidth="1"/>
    <col min="8" max="8" width="30.5703125" style="719" customWidth="1"/>
    <col min="9" max="9" width="14.28515625" style="719" hidden="1" customWidth="1"/>
    <col min="10" max="10" width="12.5703125" style="719" bestFit="1" customWidth="1"/>
    <col min="11" max="11" width="23" style="732" customWidth="1"/>
    <col min="12" max="12" width="12.140625" style="719" bestFit="1" customWidth="1"/>
    <col min="13" max="13" width="23.42578125" style="719" bestFit="1" customWidth="1"/>
    <col min="14" max="14" width="13.7109375" style="719" customWidth="1"/>
    <col min="15" max="15" width="24.28515625" style="719" customWidth="1"/>
    <col min="16" max="16" width="1.7109375" style="719" hidden="1" customWidth="1"/>
    <col min="17" max="17" width="2.7109375" style="719" hidden="1" customWidth="1"/>
    <col min="18" max="18" width="1" style="719" customWidth="1"/>
    <col min="19" max="19" width="16.85546875" style="719" bestFit="1" customWidth="1"/>
    <col min="20" max="20" width="13.140625" style="719" bestFit="1" customWidth="1"/>
    <col min="21" max="21" width="23.42578125" style="720" bestFit="1" customWidth="1"/>
    <col min="22" max="22" width="8" style="721" customWidth="1"/>
    <col min="23" max="23" width="22" style="722" customWidth="1"/>
    <col min="24" max="24" width="24.42578125" style="723" customWidth="1"/>
    <col min="25" max="16384" width="9.140625" style="719"/>
  </cols>
  <sheetData>
    <row r="1" spans="1:24" s="1586" customFormat="1" ht="15" thickBot="1" x14ac:dyDescent="0.25">
      <c r="A1" s="1683"/>
      <c r="B1" s="1683"/>
      <c r="C1" s="1683"/>
      <c r="D1" s="1683"/>
      <c r="E1" s="1683"/>
      <c r="F1" s="1683"/>
      <c r="G1" s="1683"/>
      <c r="H1" s="1683"/>
      <c r="I1" s="1683"/>
      <c r="J1" s="1683"/>
      <c r="K1" s="1828"/>
      <c r="L1" s="1683"/>
      <c r="M1" s="1683"/>
      <c r="N1" s="1683"/>
      <c r="O1" s="1683"/>
      <c r="U1" s="1590"/>
      <c r="V1" s="1609"/>
      <c r="W1" s="1612"/>
      <c r="X1" s="1624"/>
    </row>
    <row r="2" spans="1:24" s="1586" customFormat="1" ht="6" customHeight="1" thickTop="1" x14ac:dyDescent="0.2">
      <c r="A2" s="1683"/>
      <c r="B2" s="1829"/>
      <c r="C2" s="1830"/>
      <c r="D2" s="1830"/>
      <c r="E2" s="1830"/>
      <c r="F2" s="1830"/>
      <c r="G2" s="1830"/>
      <c r="H2" s="1830"/>
      <c r="I2" s="1830"/>
      <c r="J2" s="1830"/>
      <c r="K2" s="1831"/>
      <c r="L2" s="1830"/>
      <c r="M2" s="1830"/>
      <c r="N2" s="1830"/>
      <c r="O2" s="1832"/>
      <c r="P2" s="1803"/>
      <c r="Q2" s="1804"/>
      <c r="U2" s="1590"/>
      <c r="V2" s="1609"/>
      <c r="W2" s="1612"/>
      <c r="X2" s="1624"/>
    </row>
    <row r="3" spans="1:24" s="1586" customFormat="1" ht="15" x14ac:dyDescent="0.25">
      <c r="A3" s="1683"/>
      <c r="B3" s="1833"/>
      <c r="C3" s="1834" t="s">
        <v>996</v>
      </c>
      <c r="D3" s="1834"/>
      <c r="E3" s="1834"/>
      <c r="F3" s="1834"/>
      <c r="G3" s="1834"/>
      <c r="H3" s="1684"/>
      <c r="I3" s="1684"/>
      <c r="J3" s="1684"/>
      <c r="K3" s="1687"/>
      <c r="L3" s="1684"/>
      <c r="M3" s="1684"/>
      <c r="N3" s="1684"/>
      <c r="O3" s="1835"/>
      <c r="P3" s="1587"/>
      <c r="Q3" s="1806"/>
      <c r="U3" s="1590"/>
      <c r="V3" s="1609"/>
      <c r="W3" s="1612"/>
      <c r="X3" s="1624"/>
    </row>
    <row r="4" spans="1:24" s="1586" customFormat="1" ht="4.5" customHeight="1" thickBot="1" x14ac:dyDescent="0.25">
      <c r="A4" s="1683"/>
      <c r="B4" s="1833"/>
      <c r="C4" s="1684"/>
      <c r="D4" s="1684"/>
      <c r="E4" s="1684"/>
      <c r="F4" s="1684"/>
      <c r="G4" s="1684"/>
      <c r="H4" s="1684"/>
      <c r="I4" s="1684"/>
      <c r="J4" s="1684"/>
      <c r="K4" s="1687"/>
      <c r="L4" s="1684"/>
      <c r="M4" s="1684"/>
      <c r="N4" s="1684"/>
      <c r="O4" s="1835"/>
      <c r="P4" s="1587"/>
      <c r="Q4" s="1806"/>
      <c r="U4" s="1590"/>
      <c r="V4" s="1609"/>
      <c r="W4" s="1612"/>
      <c r="X4" s="1624"/>
    </row>
    <row r="5" spans="1:24" s="1586" customFormat="1" ht="15.75" x14ac:dyDescent="0.25">
      <c r="A5" s="1683"/>
      <c r="B5" s="1833"/>
      <c r="C5" s="2648" t="s">
        <v>997</v>
      </c>
      <c r="D5" s="2649"/>
      <c r="E5" s="2649"/>
      <c r="F5" s="2649"/>
      <c r="G5" s="2650"/>
      <c r="H5" s="2459" t="str">
        <f>'CEKLIST 002 (BIO DATA)'!D15</f>
        <v>PD. BPR DOMPU</v>
      </c>
      <c r="I5" s="2460"/>
      <c r="J5" s="2460"/>
      <c r="K5" s="2460"/>
      <c r="L5" s="2461"/>
      <c r="M5" s="1684"/>
      <c r="N5" s="1684"/>
      <c r="O5" s="1835"/>
      <c r="P5" s="1587"/>
      <c r="Q5" s="1806"/>
      <c r="U5" s="1590"/>
      <c r="V5" s="1609"/>
      <c r="W5" s="1612"/>
      <c r="X5" s="1624"/>
    </row>
    <row r="6" spans="1:24" s="1646" customFormat="1" ht="30" customHeight="1" x14ac:dyDescent="0.25">
      <c r="A6" s="1758"/>
      <c r="B6" s="1836"/>
      <c r="C6" s="2651" t="s">
        <v>998</v>
      </c>
      <c r="D6" s="2652"/>
      <c r="E6" s="2652"/>
      <c r="F6" s="2652"/>
      <c r="G6" s="2653"/>
      <c r="H6" s="2654" t="str">
        <f>'CEKLIST 002 (BIO DATA)'!D21</f>
        <v xml:space="preserve">Jl. Nusantara No. 04 </v>
      </c>
      <c r="I6" s="2655"/>
      <c r="J6" s="2655"/>
      <c r="K6" s="2655"/>
      <c r="L6" s="2656"/>
      <c r="M6" s="1759"/>
      <c r="N6" s="1759"/>
      <c r="O6" s="1837"/>
      <c r="P6" s="1647"/>
      <c r="Q6" s="1807"/>
      <c r="U6" s="1808"/>
      <c r="V6" s="1651"/>
      <c r="W6" s="1652"/>
      <c r="X6" s="1653"/>
    </row>
    <row r="7" spans="1:24" s="1586" customFormat="1" ht="15" x14ac:dyDescent="0.2">
      <c r="A7" s="1683"/>
      <c r="B7" s="1833"/>
      <c r="C7" s="2639" t="s">
        <v>999</v>
      </c>
      <c r="D7" s="2640"/>
      <c r="E7" s="2640"/>
      <c r="F7" s="2640"/>
      <c r="G7" s="2641"/>
      <c r="H7" s="2657" t="str">
        <f>'CEKLIST 002 (BIO DATA)'!D27</f>
        <v>Jufrin H. Abdullah, S.Sos</v>
      </c>
      <c r="I7" s="2658"/>
      <c r="J7" s="2658"/>
      <c r="K7" s="2658"/>
      <c r="L7" s="2659"/>
      <c r="M7" s="1684"/>
      <c r="N7" s="1684"/>
      <c r="O7" s="1835"/>
      <c r="P7" s="1587"/>
      <c r="Q7" s="1806"/>
      <c r="U7" s="1590"/>
      <c r="V7" s="1609"/>
      <c r="W7" s="1612"/>
      <c r="X7" s="1624"/>
    </row>
    <row r="8" spans="1:24" s="1586" customFormat="1" ht="15" x14ac:dyDescent="0.2">
      <c r="A8" s="1683"/>
      <c r="B8" s="1833"/>
      <c r="C8" s="2639" t="s">
        <v>613</v>
      </c>
      <c r="D8" s="2640"/>
      <c r="E8" s="2640"/>
      <c r="F8" s="2640"/>
      <c r="G8" s="2641"/>
      <c r="H8" s="2462">
        <f>'CEKLIST 002 (BIO DATA)'!D16</f>
        <v>2010</v>
      </c>
      <c r="I8" s="2463"/>
      <c r="J8" s="2463"/>
      <c r="K8" s="2463"/>
      <c r="L8" s="2464"/>
      <c r="M8" s="1684"/>
      <c r="N8" s="1684"/>
      <c r="O8" s="1835"/>
      <c r="P8" s="1587"/>
      <c r="Q8" s="1806"/>
      <c r="U8" s="1590"/>
      <c r="V8" s="1609"/>
      <c r="W8" s="1612"/>
      <c r="X8" s="1624"/>
    </row>
    <row r="9" spans="1:24" s="1586" customFormat="1" ht="16.5" customHeight="1" x14ac:dyDescent="0.2">
      <c r="A9" s="1683"/>
      <c r="B9" s="1833"/>
      <c r="C9" s="1838" t="s">
        <v>1000</v>
      </c>
      <c r="D9" s="1839"/>
      <c r="E9" s="1839"/>
      <c r="F9" s="1839"/>
      <c r="G9" s="1839"/>
      <c r="H9" s="2590">
        <f>'CEKLIST 002 (BIO DATA)'!D19</f>
        <v>7000000000</v>
      </c>
      <c r="I9" s="2591"/>
      <c r="J9" s="2591"/>
      <c r="K9" s="2591"/>
      <c r="L9" s="2592"/>
      <c r="M9" s="1684"/>
      <c r="N9" s="1684"/>
      <c r="O9" s="1835"/>
      <c r="P9" s="1587"/>
      <c r="Q9" s="1806"/>
      <c r="U9" s="1590"/>
      <c r="V9" s="1609"/>
      <c r="W9" s="1612"/>
      <c r="X9" s="1624"/>
    </row>
    <row r="10" spans="1:24" s="1586" customFormat="1" ht="11.25" customHeight="1" x14ac:dyDescent="0.2">
      <c r="A10" s="1683"/>
      <c r="B10" s="1833"/>
      <c r="C10" s="1840" t="s">
        <v>1500</v>
      </c>
      <c r="D10" s="1841"/>
      <c r="E10" s="1841"/>
      <c r="F10" s="1841"/>
      <c r="G10" s="1841"/>
      <c r="H10" s="2593"/>
      <c r="I10" s="2594"/>
      <c r="J10" s="2594"/>
      <c r="K10" s="2594"/>
      <c r="L10" s="2595"/>
      <c r="M10" s="1684"/>
      <c r="N10" s="1684"/>
      <c r="O10" s="1835"/>
      <c r="P10" s="1587"/>
      <c r="Q10" s="1806"/>
      <c r="U10" s="1590"/>
      <c r="V10" s="1609"/>
      <c r="W10" s="1612"/>
      <c r="X10" s="1624"/>
    </row>
    <row r="11" spans="1:24" s="1586" customFormat="1" ht="16.5" customHeight="1" x14ac:dyDescent="0.2">
      <c r="B11" s="1805"/>
      <c r="C11" s="2660" t="s">
        <v>1002</v>
      </c>
      <c r="D11" s="2661"/>
      <c r="E11" s="2661"/>
      <c r="F11" s="2661"/>
      <c r="G11" s="2661"/>
      <c r="H11" s="2596">
        <v>0</v>
      </c>
      <c r="I11" s="2597"/>
      <c r="J11" s="2597"/>
      <c r="K11" s="2597"/>
      <c r="L11" s="2598"/>
      <c r="M11" s="1587"/>
      <c r="N11" s="1600"/>
      <c r="O11" s="1806"/>
      <c r="P11" s="1587"/>
      <c r="Q11" s="1806"/>
      <c r="U11" s="1590"/>
      <c r="V11" s="1609"/>
      <c r="W11" s="1612"/>
      <c r="X11" s="1624"/>
    </row>
    <row r="12" spans="1:24" s="1586" customFormat="1" ht="15" thickBot="1" x14ac:dyDescent="0.25">
      <c r="B12" s="1805"/>
      <c r="C12" s="2624" t="s">
        <v>1001</v>
      </c>
      <c r="D12" s="2625"/>
      <c r="E12" s="2625"/>
      <c r="F12" s="2625"/>
      <c r="G12" s="2626"/>
      <c r="H12" s="2599"/>
      <c r="I12" s="2600"/>
      <c r="J12" s="2600"/>
      <c r="K12" s="2600"/>
      <c r="L12" s="2601"/>
      <c r="M12" s="1587"/>
      <c r="N12" s="1587"/>
      <c r="O12" s="1806"/>
      <c r="P12" s="1587"/>
      <c r="Q12" s="1806"/>
      <c r="U12" s="1590"/>
      <c r="V12" s="1609"/>
      <c r="W12" s="1612"/>
      <c r="X12" s="1624"/>
    </row>
    <row r="13" spans="1:24" s="1586" customFormat="1" x14ac:dyDescent="0.2">
      <c r="B13" s="1805"/>
      <c r="C13" s="1809"/>
      <c r="D13" s="1809"/>
      <c r="E13" s="1809"/>
      <c r="F13" s="1809"/>
      <c r="G13" s="1809"/>
      <c r="H13" s="1587"/>
      <c r="I13" s="1587"/>
      <c r="J13" s="1587"/>
      <c r="K13" s="1589"/>
      <c r="L13" s="1587"/>
      <c r="M13" s="1587"/>
      <c r="N13" s="1587"/>
      <c r="O13" s="1806"/>
      <c r="P13" s="1587"/>
      <c r="Q13" s="1806"/>
      <c r="U13" s="1590"/>
      <c r="V13" s="1609"/>
      <c r="W13" s="1612"/>
      <c r="X13" s="1624"/>
    </row>
    <row r="14" spans="1:24" s="1586" customFormat="1" ht="5.25" customHeight="1" x14ac:dyDescent="0.2">
      <c r="B14" s="1805"/>
      <c r="C14" s="1587"/>
      <c r="D14" s="1587"/>
      <c r="E14" s="1587"/>
      <c r="F14" s="1587"/>
      <c r="G14" s="1587"/>
      <c r="H14" s="1587"/>
      <c r="I14" s="1587"/>
      <c r="J14" s="1587"/>
      <c r="K14" s="1589"/>
      <c r="L14" s="1587"/>
      <c r="M14" s="1587"/>
      <c r="N14" s="1587"/>
      <c r="O14" s="1806"/>
      <c r="P14" s="1587"/>
      <c r="Q14" s="1806"/>
      <c r="U14" s="1590"/>
      <c r="V14" s="1609"/>
      <c r="W14" s="1612"/>
      <c r="X14" s="1624"/>
    </row>
    <row r="15" spans="1:24" s="1586" customFormat="1" x14ac:dyDescent="0.2">
      <c r="B15" s="1805"/>
      <c r="C15" s="1810" t="s">
        <v>1003</v>
      </c>
      <c r="D15" s="1810"/>
      <c r="E15" s="1810"/>
      <c r="F15" s="1810"/>
      <c r="G15" s="1810"/>
      <c r="H15" s="1587"/>
      <c r="I15" s="1587"/>
      <c r="J15" s="1587"/>
      <c r="K15" s="1589"/>
      <c r="L15" s="1587"/>
      <c r="M15" s="1587"/>
      <c r="N15" s="1587"/>
      <c r="O15" s="1806"/>
      <c r="P15" s="1587"/>
      <c r="Q15" s="1806"/>
      <c r="U15" s="1590"/>
      <c r="V15" s="1609"/>
      <c r="W15" s="1612"/>
      <c r="X15" s="1624"/>
    </row>
    <row r="16" spans="1:24" s="1586" customFormat="1" x14ac:dyDescent="0.2">
      <c r="B16" s="1805"/>
      <c r="C16" s="1587"/>
      <c r="D16" s="1587"/>
      <c r="E16" s="1587"/>
      <c r="F16" s="1587"/>
      <c r="G16" s="1587"/>
      <c r="H16" s="1587"/>
      <c r="I16" s="1587"/>
      <c r="J16" s="1587"/>
      <c r="K16" s="1589"/>
      <c r="L16" s="1587"/>
      <c r="M16" s="1587"/>
      <c r="N16" s="1587"/>
      <c r="O16" s="1806"/>
      <c r="P16" s="1587"/>
      <c r="Q16" s="1811" t="e">
        <f>K49/H18</f>
        <v>#DIV/0!</v>
      </c>
      <c r="U16" s="1590"/>
      <c r="V16" s="1609"/>
      <c r="W16" s="1612"/>
      <c r="X16" s="1624"/>
    </row>
    <row r="17" spans="1:34" s="1586" customFormat="1" ht="15" x14ac:dyDescent="0.25">
      <c r="A17" s="1683"/>
      <c r="B17" s="1833"/>
      <c r="C17" s="2665" t="s">
        <v>1004</v>
      </c>
      <c r="D17" s="2666"/>
      <c r="E17" s="2666"/>
      <c r="F17" s="2666"/>
      <c r="G17" s="2666"/>
      <c r="H17" s="1842">
        <f>J39</f>
        <v>43281</v>
      </c>
      <c r="I17" s="1843" t="s">
        <v>941</v>
      </c>
      <c r="J17" s="1844">
        <f>'CEKLIST 002 (BIO DATA)'!D11</f>
        <v>43281</v>
      </c>
      <c r="K17" s="1845" t="s">
        <v>941</v>
      </c>
      <c r="L17" s="1844">
        <f>'CEKLIST 002 (BIO DATA)'!D10</f>
        <v>43100</v>
      </c>
      <c r="M17" s="1844" t="s">
        <v>941</v>
      </c>
      <c r="N17" s="1846">
        <f>'CEKLIST 002 (BIO DATA)'!D9</f>
        <v>42735</v>
      </c>
      <c r="O17" s="1806"/>
      <c r="P17" s="1587"/>
      <c r="Q17" s="1811" t="e">
        <f>M49/J18</f>
        <v>#DIV/0!</v>
      </c>
      <c r="U17" s="1590"/>
      <c r="V17" s="1609"/>
      <c r="W17" s="1612"/>
      <c r="X17" s="1624"/>
    </row>
    <row r="18" spans="1:34" s="1586" customFormat="1" x14ac:dyDescent="0.2">
      <c r="B18" s="1805"/>
      <c r="C18" s="2667" t="s">
        <v>1005</v>
      </c>
      <c r="D18" s="2668"/>
      <c r="E18" s="2668"/>
      <c r="F18" s="2668"/>
      <c r="G18" s="2669"/>
      <c r="H18" s="726"/>
      <c r="I18" s="727"/>
      <c r="J18" s="728"/>
      <c r="K18" s="1827">
        <v>0</v>
      </c>
      <c r="L18" s="728"/>
      <c r="M18" s="729">
        <v>0</v>
      </c>
      <c r="N18" s="730">
        <v>0</v>
      </c>
      <c r="O18" s="1812"/>
      <c r="P18" s="1587"/>
      <c r="Q18" s="1811" t="e">
        <f>O49/L18</f>
        <v>#DIV/0!</v>
      </c>
      <c r="U18" s="1590"/>
      <c r="V18" s="1609"/>
      <c r="W18" s="1612"/>
      <c r="X18" s="1624"/>
    </row>
    <row r="19" spans="1:34" s="1586" customFormat="1" x14ac:dyDescent="0.2">
      <c r="B19" s="1805"/>
      <c r="C19" s="2670" t="s">
        <v>1006</v>
      </c>
      <c r="D19" s="2671"/>
      <c r="E19" s="2671"/>
      <c r="F19" s="2671"/>
      <c r="G19" s="2672"/>
      <c r="H19" s="731"/>
      <c r="I19" s="727" t="e">
        <f>(H19-J19)/J19</f>
        <v>#DIV/0!</v>
      </c>
      <c r="J19" s="728">
        <v>0</v>
      </c>
      <c r="K19" s="1827">
        <v>0</v>
      </c>
      <c r="L19" s="728">
        <v>0</v>
      </c>
      <c r="M19" s="729">
        <v>0</v>
      </c>
      <c r="N19" s="730">
        <v>0</v>
      </c>
      <c r="O19" s="1806"/>
      <c r="P19" s="1587"/>
      <c r="Q19" s="1806"/>
      <c r="U19" s="1590"/>
      <c r="V19" s="1609"/>
      <c r="W19" s="1612"/>
      <c r="X19" s="1624"/>
    </row>
    <row r="20" spans="1:34" s="1586" customFormat="1" x14ac:dyDescent="0.2">
      <c r="B20" s="1805"/>
      <c r="C20" s="2673"/>
      <c r="D20" s="2673"/>
      <c r="E20" s="2673"/>
      <c r="F20" s="2673"/>
      <c r="G20" s="2673"/>
      <c r="H20" s="1587"/>
      <c r="I20" s="1587"/>
      <c r="J20" s="1587"/>
      <c r="K20" s="1589"/>
      <c r="L20" s="1587"/>
      <c r="M20" s="1587"/>
      <c r="N20" s="1587"/>
      <c r="O20" s="1806"/>
      <c r="P20" s="1587"/>
      <c r="Q20" s="1806"/>
      <c r="U20" s="1590"/>
      <c r="V20" s="1609"/>
      <c r="W20" s="1612"/>
      <c r="X20" s="1624"/>
    </row>
    <row r="21" spans="1:34" s="1586" customFormat="1" x14ac:dyDescent="0.2">
      <c r="A21" s="1683"/>
      <c r="B21" s="1833"/>
      <c r="C21" s="1847" t="s">
        <v>1007</v>
      </c>
      <c r="D21" s="1847"/>
      <c r="E21" s="1847"/>
      <c r="F21" s="1847"/>
      <c r="G21" s="1847"/>
      <c r="H21" s="1684"/>
      <c r="I21" s="1684"/>
      <c r="J21" s="1684"/>
      <c r="K21" s="1687"/>
      <c r="L21" s="1684"/>
      <c r="M21" s="1684"/>
      <c r="N21" s="1684"/>
      <c r="O21" s="1835"/>
      <c r="P21" s="1587"/>
      <c r="Q21" s="1806"/>
      <c r="U21" s="1590"/>
      <c r="V21" s="1609"/>
      <c r="W21" s="1612"/>
      <c r="X21" s="1624"/>
    </row>
    <row r="22" spans="1:34" s="1586" customFormat="1" x14ac:dyDescent="0.2">
      <c r="A22" s="1683"/>
      <c r="B22" s="1833"/>
      <c r="C22" s="1778" t="s">
        <v>1008</v>
      </c>
      <c r="D22" s="1684"/>
      <c r="E22" s="1684"/>
      <c r="F22" s="1684"/>
      <c r="G22" s="2465">
        <f>('CEKLIST 004 (RASIO KEUANGAN)'!D34+'CEKLIST 003 (LAPORAN KEUANGAN))'!H9)/'CEKLIST 004 (RASIO KEUANGAN)'!D35</f>
        <v>1.1875009322468084</v>
      </c>
      <c r="H22" s="1684"/>
      <c r="I22" s="1684"/>
      <c r="J22" s="1684"/>
      <c r="K22" s="1687"/>
      <c r="L22" s="1684"/>
      <c r="M22" s="1684"/>
      <c r="N22" s="1684"/>
      <c r="O22" s="1835"/>
      <c r="P22" s="1587"/>
      <c r="Q22" s="1806"/>
      <c r="U22" s="1590"/>
      <c r="V22" s="1609"/>
      <c r="W22" s="1612"/>
      <c r="X22" s="1624"/>
    </row>
    <row r="23" spans="1:34" s="1586" customFormat="1" x14ac:dyDescent="0.2">
      <c r="A23" s="1683"/>
      <c r="B23" s="1833"/>
      <c r="C23" s="1778" t="s">
        <v>1009</v>
      </c>
      <c r="D23" s="1684"/>
      <c r="E23" s="1684"/>
      <c r="F23" s="1684"/>
      <c r="G23" s="2466">
        <f>('CEKLIST 004 (RASIO KEUANGAN)'!D42)/('CEKLIST 004 (RASIO KEUANGAN)'!D43+'CEKLIST 003 (LAPORAN KEUANGAN))'!H9)</f>
        <v>0.52100892935425935</v>
      </c>
      <c r="H23" s="1684"/>
      <c r="I23" s="1684"/>
      <c r="J23" s="1684"/>
      <c r="K23" s="1687"/>
      <c r="L23" s="1684"/>
      <c r="M23" s="1684"/>
      <c r="N23" s="1684"/>
      <c r="O23" s="1835"/>
      <c r="P23" s="1587"/>
      <c r="Q23" s="1806"/>
      <c r="U23" s="1590"/>
      <c r="V23" s="1609"/>
      <c r="W23" s="1612"/>
      <c r="X23" s="1813" t="s">
        <v>1010</v>
      </c>
    </row>
    <row r="24" spans="1:34" s="1586" customFormat="1" ht="15.75" thickBot="1" x14ac:dyDescent="0.3">
      <c r="A24" s="1683"/>
      <c r="B24" s="1848"/>
      <c r="C24" s="1849"/>
      <c r="D24" s="1849"/>
      <c r="E24" s="1849"/>
      <c r="F24" s="1849"/>
      <c r="G24" s="1850"/>
      <c r="H24" s="1849"/>
      <c r="I24" s="1850"/>
      <c r="J24" s="1850"/>
      <c r="K24" s="1851"/>
      <c r="L24" s="1850"/>
      <c r="M24" s="1850"/>
      <c r="N24" s="1850"/>
      <c r="O24" s="1852"/>
      <c r="P24" s="1814"/>
      <c r="Q24" s="1815"/>
      <c r="U24" s="1590"/>
      <c r="V24" s="1609"/>
      <c r="W24" s="1612"/>
      <c r="X24" s="1624"/>
    </row>
    <row r="25" spans="1:34" s="1586" customFormat="1" ht="30" customHeight="1" thickTop="1" x14ac:dyDescent="0.2">
      <c r="A25" s="1683"/>
      <c r="B25" s="1683"/>
      <c r="C25" s="1683"/>
      <c r="D25" s="1683"/>
      <c r="E25" s="1683"/>
      <c r="F25" s="1683"/>
      <c r="G25" s="1683"/>
      <c r="H25" s="1683"/>
      <c r="I25" s="1683"/>
      <c r="J25" s="1683"/>
      <c r="K25" s="1828"/>
      <c r="L25" s="1683"/>
      <c r="M25" s="1683"/>
      <c r="N25" s="1683"/>
      <c r="O25" s="1683"/>
      <c r="U25" s="1590"/>
      <c r="V25" s="1609"/>
      <c r="W25" s="1612"/>
      <c r="X25" s="1624"/>
    </row>
    <row r="26" spans="1:34" s="1586" customFormat="1" ht="15" customHeight="1" x14ac:dyDescent="0.2">
      <c r="B26" s="1587"/>
      <c r="C26" s="1588"/>
      <c r="D26" s="1588"/>
      <c r="E26" s="1588"/>
      <c r="F26" s="1588"/>
      <c r="G26" s="1588"/>
      <c r="H26" s="1588"/>
      <c r="I26" s="1588"/>
      <c r="J26" s="1588"/>
      <c r="K26" s="1589"/>
      <c r="L26" s="1588"/>
      <c r="M26" s="1588"/>
      <c r="N26" s="1588"/>
      <c r="O26" s="1588"/>
      <c r="P26" s="1588"/>
      <c r="Q26" s="1588"/>
      <c r="R26" s="1587"/>
      <c r="S26" s="1587"/>
      <c r="T26" s="1587"/>
      <c r="U26" s="1590"/>
      <c r="V26" s="1591"/>
      <c r="W26" s="1588"/>
      <c r="X26" s="1592"/>
      <c r="Y26" s="1587"/>
      <c r="Z26" s="1587"/>
      <c r="AA26" s="1587"/>
      <c r="AB26" s="1587"/>
      <c r="AC26" s="1587"/>
      <c r="AD26" s="1587"/>
      <c r="AE26" s="1587"/>
      <c r="AF26" s="1587"/>
      <c r="AG26" s="1587"/>
      <c r="AH26" s="1587"/>
    </row>
    <row r="27" spans="1:34" s="1586" customFormat="1" ht="15.75" customHeight="1" x14ac:dyDescent="0.25">
      <c r="B27" s="1587"/>
      <c r="C27" s="1595" t="s">
        <v>1011</v>
      </c>
      <c r="D27" s="1595"/>
      <c r="E27" s="1595"/>
      <c r="F27" s="1595"/>
      <c r="G27" s="1595"/>
      <c r="H27" s="1595"/>
      <c r="I27" s="1588"/>
      <c r="J27" s="1588"/>
      <c r="K27" s="1816"/>
      <c r="L27" s="1588"/>
      <c r="M27" s="1588"/>
      <c r="N27" s="1588"/>
      <c r="O27" s="1588"/>
      <c r="P27" s="1588"/>
      <c r="Q27" s="1588"/>
      <c r="R27" s="1587"/>
      <c r="S27" s="1587"/>
      <c r="T27" s="1587"/>
      <c r="U27" s="1590"/>
      <c r="V27" s="1591"/>
      <c r="W27" s="1588"/>
      <c r="X27" s="1592"/>
      <c r="Y27" s="1587"/>
      <c r="Z27" s="1587"/>
      <c r="AA27" s="1587"/>
      <c r="AB27" s="1587"/>
      <c r="AC27" s="1587"/>
      <c r="AD27" s="1587"/>
      <c r="AE27" s="1587"/>
      <c r="AF27" s="1587"/>
      <c r="AG27" s="1587"/>
      <c r="AH27" s="1587"/>
    </row>
    <row r="28" spans="1:34" s="1586" customFormat="1" ht="15" x14ac:dyDescent="0.25">
      <c r="B28" s="1588"/>
      <c r="C28" s="1618" t="s">
        <v>251</v>
      </c>
      <c r="D28" s="1817" t="s">
        <v>1012</v>
      </c>
      <c r="E28" s="1618" t="s">
        <v>1013</v>
      </c>
      <c r="F28" s="1818" t="s">
        <v>1014</v>
      </c>
      <c r="G28" s="1819"/>
      <c r="H28" s="1819"/>
      <c r="I28" s="1819"/>
      <c r="J28" s="1819"/>
      <c r="K28" s="1820"/>
      <c r="L28" s="1819"/>
      <c r="M28" s="1639"/>
      <c r="N28" s="1639"/>
      <c r="O28" s="1821"/>
      <c r="P28" s="1821"/>
      <c r="Q28" s="1588"/>
      <c r="R28" s="1587"/>
      <c r="S28" s="1587"/>
      <c r="T28" s="1587"/>
      <c r="U28" s="1590"/>
      <c r="V28" s="1591"/>
      <c r="W28" s="1588"/>
      <c r="X28" s="1822">
        <f>10/3</f>
        <v>3.3333333333333335</v>
      </c>
      <c r="Y28" s="1587"/>
      <c r="Z28" s="1587"/>
      <c r="AA28" s="1587"/>
      <c r="AB28" s="1587"/>
      <c r="AC28" s="1587"/>
      <c r="AD28" s="1587"/>
      <c r="AE28" s="1587"/>
      <c r="AF28" s="1587"/>
      <c r="AG28" s="1587"/>
      <c r="AH28" s="1587"/>
    </row>
    <row r="29" spans="1:34" s="1586" customFormat="1" ht="15" x14ac:dyDescent="0.25">
      <c r="B29" s="1588"/>
      <c r="C29" s="1618">
        <v>1</v>
      </c>
      <c r="D29" s="735">
        <v>31</v>
      </c>
      <c r="E29" s="735">
        <v>12</v>
      </c>
      <c r="F29" s="2467">
        <f>'CEKLIST 002 (BIO DATA)'!D11</f>
        <v>43281</v>
      </c>
      <c r="G29" s="1823"/>
      <c r="H29" s="1823"/>
      <c r="I29" s="1823"/>
      <c r="J29" s="1823"/>
      <c r="K29" s="1824"/>
      <c r="L29" s="1823"/>
      <c r="M29" s="1639"/>
      <c r="N29" s="1639"/>
      <c r="O29" s="1588"/>
      <c r="P29" s="1588"/>
      <c r="Q29" s="1825"/>
      <c r="R29" s="1587"/>
      <c r="S29" s="1587"/>
      <c r="T29" s="1587"/>
      <c r="U29" s="1590"/>
      <c r="V29" s="1591"/>
      <c r="W29" s="1588"/>
      <c r="X29" s="1592"/>
      <c r="Y29" s="1587"/>
      <c r="Z29" s="1587"/>
      <c r="AA29" s="1587"/>
      <c r="AB29" s="1587"/>
      <c r="AC29" s="1587"/>
      <c r="AD29" s="1587"/>
      <c r="AE29" s="1587"/>
      <c r="AF29" s="1587"/>
      <c r="AG29" s="1587"/>
      <c r="AH29" s="1587"/>
    </row>
    <row r="30" spans="1:34" s="1586" customFormat="1" ht="15" x14ac:dyDescent="0.25">
      <c r="B30" s="1588"/>
      <c r="C30" s="1618">
        <v>2</v>
      </c>
      <c r="D30" s="735">
        <v>31</v>
      </c>
      <c r="E30" s="735">
        <v>12</v>
      </c>
      <c r="F30" s="2467">
        <f>'CEKLIST 002 (BIO DATA)'!D10</f>
        <v>43100</v>
      </c>
      <c r="G30" s="1823"/>
      <c r="H30" s="1823"/>
      <c r="I30" s="1823"/>
      <c r="J30" s="1823"/>
      <c r="K30" s="1824"/>
      <c r="L30" s="1823"/>
      <c r="M30" s="1588"/>
      <c r="N30" s="1588"/>
      <c r="O30" s="1588"/>
      <c r="P30" s="1588"/>
      <c r="Q30" s="1825"/>
      <c r="R30" s="1587"/>
      <c r="S30" s="1587"/>
      <c r="T30" s="1587"/>
      <c r="U30" s="1590"/>
      <c r="V30" s="1591"/>
      <c r="W30" s="1588"/>
      <c r="X30" s="1592"/>
      <c r="Y30" s="1587"/>
      <c r="Z30" s="1587"/>
      <c r="AA30" s="1587"/>
      <c r="AB30" s="1587"/>
      <c r="AC30" s="1587"/>
      <c r="AD30" s="1587"/>
      <c r="AE30" s="1587"/>
      <c r="AF30" s="1587"/>
      <c r="AG30" s="1587"/>
      <c r="AH30" s="1587"/>
    </row>
    <row r="31" spans="1:34" s="1586" customFormat="1" ht="15" x14ac:dyDescent="0.25">
      <c r="B31" s="1588"/>
      <c r="C31" s="1618">
        <v>3</v>
      </c>
      <c r="D31" s="736">
        <v>31</v>
      </c>
      <c r="E31" s="737">
        <v>12</v>
      </c>
      <c r="F31" s="2468">
        <f>'CEKLIST 002 (BIO DATA)'!D9</f>
        <v>42735</v>
      </c>
      <c r="G31" s="1823"/>
      <c r="H31" s="1823"/>
      <c r="I31" s="1823"/>
      <c r="J31" s="1823"/>
      <c r="K31" s="1824"/>
      <c r="L31" s="1823"/>
      <c r="M31" s="1826"/>
      <c r="N31" s="1826"/>
      <c r="O31" s="1588"/>
      <c r="P31" s="1588"/>
      <c r="Q31" s="1825"/>
      <c r="R31" s="1587"/>
      <c r="S31" s="1587"/>
      <c r="T31" s="1587"/>
      <c r="U31" s="1590"/>
      <c r="V31" s="1591"/>
      <c r="W31" s="1588"/>
      <c r="X31" s="1592"/>
      <c r="Y31" s="1587"/>
      <c r="Z31" s="1587"/>
      <c r="AA31" s="1587"/>
      <c r="AB31" s="1587"/>
      <c r="AC31" s="1587"/>
      <c r="AD31" s="1587"/>
      <c r="AE31" s="1587"/>
      <c r="AF31" s="1587"/>
      <c r="AG31" s="1587"/>
      <c r="AH31" s="1587"/>
    </row>
    <row r="32" spans="1:34" s="1586" customFormat="1" ht="14.25" customHeight="1" x14ac:dyDescent="0.25">
      <c r="B32" s="1588"/>
      <c r="C32" s="1618">
        <v>1</v>
      </c>
      <c r="D32" s="736">
        <v>31</v>
      </c>
      <c r="E32" s="737">
        <v>12</v>
      </c>
      <c r="F32" s="737">
        <v>0</v>
      </c>
      <c r="G32" s="1823"/>
      <c r="H32" s="1823"/>
      <c r="I32" s="1823"/>
      <c r="J32" s="1823"/>
      <c r="K32" s="1824"/>
      <c r="L32" s="1823"/>
      <c r="M32" s="1639"/>
      <c r="N32" s="1639"/>
      <c r="O32" s="1588"/>
      <c r="P32" s="1588"/>
      <c r="Q32" s="1825"/>
      <c r="R32" s="1587"/>
      <c r="S32" s="1587"/>
      <c r="T32" s="1587"/>
      <c r="U32" s="1590"/>
      <c r="V32" s="1591"/>
      <c r="W32" s="1588"/>
      <c r="X32" s="1592"/>
      <c r="Y32" s="1587"/>
      <c r="Z32" s="1587"/>
      <c r="AA32" s="1587"/>
      <c r="AB32" s="1587"/>
      <c r="AC32" s="1587"/>
      <c r="AD32" s="1587"/>
      <c r="AE32" s="1587"/>
      <c r="AF32" s="1587"/>
      <c r="AG32" s="1587"/>
      <c r="AH32" s="1587"/>
    </row>
    <row r="33" spans="1:34" x14ac:dyDescent="0.2">
      <c r="A33" s="1683"/>
      <c r="B33" s="1684"/>
      <c r="C33" s="1685"/>
      <c r="D33" s="1686"/>
      <c r="E33" s="1686"/>
      <c r="F33" s="1686"/>
      <c r="G33" s="1686"/>
      <c r="H33" s="1686"/>
      <c r="I33" s="1686" t="s">
        <v>1015</v>
      </c>
      <c r="J33" s="1686"/>
      <c r="K33" s="1687"/>
      <c r="L33" s="1686"/>
      <c r="M33" s="1686"/>
      <c r="N33" s="1686"/>
      <c r="O33" s="1686"/>
      <c r="P33" s="1686"/>
      <c r="Q33" s="1686"/>
      <c r="R33" s="1587"/>
      <c r="S33" s="1684"/>
      <c r="T33" s="1684"/>
      <c r="U33" s="1768"/>
      <c r="V33" s="1778"/>
      <c r="W33" s="1588"/>
      <c r="X33" s="1592"/>
      <c r="Y33" s="1587"/>
      <c r="Z33" s="724"/>
      <c r="AA33" s="724"/>
      <c r="AB33" s="724"/>
      <c r="AC33" s="724"/>
      <c r="AD33" s="724"/>
      <c r="AE33" s="724"/>
      <c r="AF33" s="724"/>
      <c r="AG33" s="724"/>
      <c r="AH33" s="724"/>
    </row>
    <row r="34" spans="1:34" x14ac:dyDescent="0.2">
      <c r="A34" s="1683"/>
      <c r="B34" s="1684"/>
      <c r="C34" s="1688" t="s">
        <v>1016</v>
      </c>
      <c r="D34" s="1689"/>
      <c r="E34" s="1689"/>
      <c r="F34" s="1689"/>
      <c r="G34" s="1686"/>
      <c r="H34" s="1686"/>
      <c r="I34" s="1686"/>
      <c r="J34" s="1686"/>
      <c r="K34" s="1687"/>
      <c r="L34" s="1686"/>
      <c r="M34" s="1686"/>
      <c r="N34" s="1686"/>
      <c r="O34" s="1686"/>
      <c r="P34" s="1686"/>
      <c r="Q34" s="1686"/>
      <c r="R34" s="1587"/>
      <c r="S34" s="1684"/>
      <c r="T34" s="1684"/>
      <c r="U34" s="1768"/>
      <c r="V34" s="1778"/>
      <c r="W34" s="1588"/>
      <c r="X34" s="1592"/>
      <c r="Y34" s="1587"/>
      <c r="Z34" s="724"/>
      <c r="AA34" s="724"/>
      <c r="AB34" s="724"/>
      <c r="AC34" s="724"/>
      <c r="AD34" s="724"/>
      <c r="AE34" s="724"/>
      <c r="AF34" s="724"/>
      <c r="AG34" s="724"/>
      <c r="AH34" s="724"/>
    </row>
    <row r="35" spans="1:34" x14ac:dyDescent="0.2">
      <c r="A35" s="1683"/>
      <c r="B35" s="1684"/>
      <c r="C35" s="1685"/>
      <c r="D35" s="1686"/>
      <c r="E35" s="1686"/>
      <c r="F35" s="1686"/>
      <c r="G35" s="1686"/>
      <c r="H35" s="1686"/>
      <c r="I35" s="1686"/>
      <c r="J35" s="1686"/>
      <c r="K35" s="1687"/>
      <c r="L35" s="1686"/>
      <c r="M35" s="1686"/>
      <c r="N35" s="1686"/>
      <c r="O35" s="1686"/>
      <c r="P35" s="1686"/>
      <c r="Q35" s="1686"/>
      <c r="R35" s="1587"/>
      <c r="S35" s="1684"/>
      <c r="T35" s="1684"/>
      <c r="U35" s="1768"/>
      <c r="V35" s="1778"/>
      <c r="W35" s="1588"/>
      <c r="X35" s="1592"/>
      <c r="Y35" s="1587"/>
      <c r="Z35" s="724"/>
      <c r="AA35" s="724"/>
      <c r="AB35" s="724"/>
      <c r="AC35" s="724"/>
      <c r="AD35" s="724"/>
      <c r="AE35" s="724"/>
      <c r="AF35" s="724"/>
      <c r="AG35" s="724"/>
      <c r="AH35" s="724"/>
    </row>
    <row r="36" spans="1:34" ht="15" x14ac:dyDescent="0.25">
      <c r="A36" s="1683"/>
      <c r="B36" s="1684"/>
      <c r="C36" s="1690" t="s">
        <v>47</v>
      </c>
      <c r="D36" s="1691" t="s">
        <v>1017</v>
      </c>
      <c r="E36" s="1691"/>
      <c r="F36" s="1691"/>
      <c r="G36" s="1691"/>
      <c r="H36" s="1691"/>
      <c r="I36" s="1692"/>
      <c r="J36" s="1692"/>
      <c r="K36" s="2618" t="str">
        <f>'CEKLIST 002 (BIO DATA)'!D15</f>
        <v>PD. BPR DOMPU</v>
      </c>
      <c r="L36" s="2618"/>
      <c r="M36" s="2618"/>
      <c r="N36" s="2618"/>
      <c r="O36" s="2618"/>
      <c r="P36" s="1693"/>
      <c r="Q36" s="1694"/>
      <c r="R36" s="1587"/>
      <c r="S36" s="2674" t="s">
        <v>589</v>
      </c>
      <c r="T36" s="2674"/>
      <c r="U36" s="2674"/>
      <c r="V36" s="2674"/>
      <c r="W36" s="1593"/>
      <c r="X36" s="1592"/>
      <c r="Y36" s="1587"/>
      <c r="Z36" s="724"/>
      <c r="AA36" s="724"/>
      <c r="AB36" s="724"/>
      <c r="AC36" s="724"/>
      <c r="AD36" s="724"/>
      <c r="AE36" s="724"/>
      <c r="AF36" s="724"/>
      <c r="AG36" s="724"/>
      <c r="AH36" s="724"/>
    </row>
    <row r="37" spans="1:34" ht="18.75" customHeight="1" x14ac:dyDescent="0.2">
      <c r="A37" s="1683"/>
      <c r="B37" s="1684"/>
      <c r="C37" s="1686"/>
      <c r="D37" s="1686"/>
      <c r="E37" s="1686"/>
      <c r="F37" s="1684"/>
      <c r="G37" s="1684"/>
      <c r="H37" s="1684"/>
      <c r="I37" s="1684" t="s">
        <v>298</v>
      </c>
      <c r="J37" s="1684"/>
      <c r="K37" s="1687"/>
      <c r="L37" s="1686"/>
      <c r="M37" s="1686"/>
      <c r="N37" s="1686"/>
      <c r="O37" s="1686"/>
      <c r="P37" s="1686"/>
      <c r="Q37" s="1686"/>
      <c r="R37" s="1587"/>
      <c r="S37" s="2674"/>
      <c r="T37" s="2674"/>
      <c r="U37" s="2674"/>
      <c r="V37" s="2674"/>
      <c r="W37" s="1588"/>
      <c r="X37" s="1592"/>
      <c r="Y37" s="1587"/>
      <c r="Z37" s="724"/>
      <c r="AA37" s="724"/>
      <c r="AB37" s="724"/>
      <c r="AC37" s="724"/>
      <c r="AD37" s="724"/>
      <c r="AE37" s="724"/>
      <c r="AF37" s="724"/>
      <c r="AG37" s="724"/>
      <c r="AH37" s="724"/>
    </row>
    <row r="38" spans="1:34" ht="15" customHeight="1" x14ac:dyDescent="0.25">
      <c r="A38" s="1683"/>
      <c r="B38" s="1684"/>
      <c r="C38" s="1695" t="s">
        <v>339</v>
      </c>
      <c r="D38" s="2608" t="s">
        <v>1018</v>
      </c>
      <c r="E38" s="2609"/>
      <c r="F38" s="2609"/>
      <c r="G38" s="2609"/>
      <c r="H38" s="2610"/>
      <c r="I38" s="2619" t="s">
        <v>1019</v>
      </c>
      <c r="J38" s="2630" t="s">
        <v>1020</v>
      </c>
      <c r="K38" s="2631"/>
      <c r="L38" s="2631"/>
      <c r="M38" s="2631"/>
      <c r="N38" s="2631"/>
      <c r="O38" s="2631"/>
      <c r="P38" s="2631"/>
      <c r="Q38" s="2632"/>
      <c r="R38" s="1587"/>
      <c r="S38" s="2674"/>
      <c r="T38" s="2674"/>
      <c r="U38" s="2674"/>
      <c r="V38" s="2674"/>
      <c r="W38" s="1588"/>
      <c r="X38" s="1592"/>
      <c r="Y38" s="1587"/>
      <c r="Z38" s="724"/>
      <c r="AA38" s="724"/>
      <c r="AB38" s="724"/>
      <c r="AC38" s="724"/>
      <c r="AD38" s="724"/>
      <c r="AE38" s="724"/>
      <c r="AF38" s="724"/>
      <c r="AG38" s="724"/>
      <c r="AH38" s="724"/>
    </row>
    <row r="39" spans="1:34" ht="15.75" thickBot="1" x14ac:dyDescent="0.3">
      <c r="A39" s="1683"/>
      <c r="B39" s="1684"/>
      <c r="C39" s="1696"/>
      <c r="D39" s="1697"/>
      <c r="E39" s="1698"/>
      <c r="F39" s="1698"/>
      <c r="G39" s="1698"/>
      <c r="H39" s="1698"/>
      <c r="I39" s="2620"/>
      <c r="J39" s="2606">
        <f>'CEKLIST 002 (BIO DATA)'!D11</f>
        <v>43281</v>
      </c>
      <c r="K39" s="2607"/>
      <c r="L39" s="2606">
        <f>'CEKLIST 002 (BIO DATA)'!D10</f>
        <v>43100</v>
      </c>
      <c r="M39" s="2607"/>
      <c r="N39" s="2606">
        <f>'CEKLIST 002 (BIO DATA)'!D9</f>
        <v>42735</v>
      </c>
      <c r="O39" s="2607"/>
      <c r="P39" s="2606">
        <f>DATE('CEKLIST 003 (LAPORAN KEUANGAN))'!$F$32,'CEKLIST 003 (LAPORAN KEUANGAN))'!$E$32,'CEKLIST 003 (LAPORAN KEUANGAN))'!$D$32)</f>
        <v>366</v>
      </c>
      <c r="Q39" s="2607"/>
      <c r="R39" s="1594"/>
      <c r="S39" s="1779"/>
      <c r="T39" s="1779"/>
      <c r="U39" s="1768"/>
      <c r="V39" s="1778"/>
      <c r="W39" s="1588"/>
      <c r="X39" s="1592"/>
      <c r="Y39" s="1587"/>
      <c r="Z39" s="724"/>
      <c r="AA39" s="724"/>
      <c r="AB39" s="724"/>
      <c r="AC39" s="724"/>
      <c r="AD39" s="724"/>
      <c r="AE39" s="724"/>
      <c r="AF39" s="724"/>
      <c r="AG39" s="724"/>
      <c r="AH39" s="724"/>
    </row>
    <row r="40" spans="1:34" ht="15.75" thickBot="1" x14ac:dyDescent="0.3">
      <c r="A40" s="1683"/>
      <c r="B40" s="1684"/>
      <c r="C40" s="1699"/>
      <c r="D40" s="1700" t="s">
        <v>1021</v>
      </c>
      <c r="E40" s="1700"/>
      <c r="F40" s="1700"/>
      <c r="G40" s="1700"/>
      <c r="H40" s="1700"/>
      <c r="I40" s="1701"/>
      <c r="J40" s="1701"/>
      <c r="K40" s="1702"/>
      <c r="L40" s="1703"/>
      <c r="M40" s="1704"/>
      <c r="N40" s="1704"/>
      <c r="O40" s="1704"/>
      <c r="P40" s="1704"/>
      <c r="Q40" s="1704"/>
      <c r="R40" s="1587"/>
      <c r="S40" s="2622">
        <f>K49</f>
        <v>52970770845.799995</v>
      </c>
      <c r="T40" s="2623"/>
      <c r="U40" s="1780"/>
      <c r="V40" s="1778"/>
      <c r="W40" s="1588"/>
      <c r="X40" s="1592"/>
      <c r="Y40" s="1587"/>
      <c r="Z40" s="724"/>
      <c r="AA40" s="724"/>
      <c r="AB40" s="724"/>
      <c r="AC40" s="724"/>
      <c r="AD40" s="724"/>
      <c r="AE40" s="724"/>
      <c r="AF40" s="724"/>
      <c r="AG40" s="724"/>
      <c r="AH40" s="724"/>
    </row>
    <row r="41" spans="1:34" ht="15" x14ac:dyDescent="0.25">
      <c r="A41" s="1683"/>
      <c r="B41" s="1684"/>
      <c r="C41" s="1705">
        <v>1</v>
      </c>
      <c r="D41" s="1706" t="s">
        <v>525</v>
      </c>
      <c r="E41" s="1707"/>
      <c r="F41" s="1707"/>
      <c r="G41" s="1707"/>
      <c r="H41" s="1707"/>
      <c r="I41" s="1708" t="s">
        <v>1022</v>
      </c>
      <c r="J41" s="1853">
        <f>K41/$K$62</f>
        <v>1.1322055175536501E-2</v>
      </c>
      <c r="K41" s="741">
        <v>776420000</v>
      </c>
      <c r="L41" s="2494">
        <f>M41/$M$62</f>
        <v>1.2399897731335789E-2</v>
      </c>
      <c r="M41" s="741">
        <v>812934000</v>
      </c>
      <c r="N41" s="2494">
        <f>O41/$O$62</f>
        <v>4.7708900774667629E-3</v>
      </c>
      <c r="O41" s="741">
        <v>286899000</v>
      </c>
      <c r="P41" s="1596" t="e">
        <f>Q41/$Q$62</f>
        <v>#DIV/0!</v>
      </c>
      <c r="Q41" s="742">
        <v>0</v>
      </c>
      <c r="R41" s="1587"/>
      <c r="S41" s="1781">
        <f>J39</f>
        <v>43281</v>
      </c>
      <c r="T41" s="1782"/>
      <c r="U41" s="1783"/>
      <c r="V41" s="1778"/>
      <c r="W41" s="1588"/>
      <c r="X41" s="1592"/>
      <c r="Y41" s="1587"/>
      <c r="Z41" s="724"/>
      <c r="AA41" s="724"/>
      <c r="AB41" s="724"/>
      <c r="AC41" s="724"/>
      <c r="AD41" s="724"/>
      <c r="AE41" s="724"/>
      <c r="AF41" s="724"/>
      <c r="AG41" s="724"/>
      <c r="AH41" s="724"/>
    </row>
    <row r="42" spans="1:34" x14ac:dyDescent="0.2">
      <c r="A42" s="1683"/>
      <c r="B42" s="1684"/>
      <c r="C42" s="1705">
        <v>2</v>
      </c>
      <c r="D42" s="1706" t="s">
        <v>1023</v>
      </c>
      <c r="E42" s="1707"/>
      <c r="F42" s="1707"/>
      <c r="G42" s="1707"/>
      <c r="H42" s="1707"/>
      <c r="I42" s="1708" t="s">
        <v>1024</v>
      </c>
      <c r="J42" s="1853">
        <f t="shared" ref="J42:J61" si="0">K42/$K$62</f>
        <v>0</v>
      </c>
      <c r="K42" s="741">
        <v>0</v>
      </c>
      <c r="L42" s="2495">
        <f t="shared" ref="L42:L61" si="1">M42/$M$62</f>
        <v>0</v>
      </c>
      <c r="M42" s="741">
        <v>0</v>
      </c>
      <c r="N42" s="2495">
        <f t="shared" ref="N42:N61" si="2">O42/$O$62</f>
        <v>0</v>
      </c>
      <c r="O42" s="741">
        <v>0</v>
      </c>
      <c r="P42" s="1596" t="e">
        <f t="shared" ref="P42:P60" si="3">Q42/$Q$62</f>
        <v>#DIV/0!</v>
      </c>
      <c r="Q42" s="742">
        <v>0</v>
      </c>
      <c r="R42" s="1587"/>
      <c r="S42" s="1784" t="s">
        <v>1025</v>
      </c>
      <c r="T42" s="1785">
        <f>U42/S40</f>
        <v>0.93131653925367663</v>
      </c>
      <c r="U42" s="1786">
        <f>K50</f>
        <v>49332554985.709999</v>
      </c>
      <c r="V42" s="1778"/>
      <c r="W42" s="1588"/>
      <c r="X42" s="1592"/>
      <c r="Y42" s="1587"/>
      <c r="Z42" s="724"/>
      <c r="AA42" s="724"/>
      <c r="AB42" s="724"/>
      <c r="AC42" s="724"/>
      <c r="AD42" s="724"/>
      <c r="AE42" s="724"/>
      <c r="AF42" s="724"/>
      <c r="AG42" s="724"/>
      <c r="AH42" s="724"/>
    </row>
    <row r="43" spans="1:34" ht="15" x14ac:dyDescent="0.25">
      <c r="A43" s="1683"/>
      <c r="B43" s="1684"/>
      <c r="C43" s="1709">
        <v>3</v>
      </c>
      <c r="D43" s="1710" t="s">
        <v>1026</v>
      </c>
      <c r="E43" s="1710"/>
      <c r="F43" s="1710"/>
      <c r="G43" s="1710"/>
      <c r="H43" s="1710"/>
      <c r="I43" s="1711" t="s">
        <v>1027</v>
      </c>
      <c r="J43" s="1854">
        <f t="shared" si="0"/>
        <v>0.20628662092960678</v>
      </c>
      <c r="K43" s="1858">
        <f>SUM(K44:K48)</f>
        <v>14146288437.83</v>
      </c>
      <c r="L43" s="2496">
        <f t="shared" si="1"/>
        <v>0.12579349529981643</v>
      </c>
      <c r="M43" s="1858">
        <f>SUM(M44:M48)</f>
        <v>8246988122.3000002</v>
      </c>
      <c r="N43" s="2496">
        <f t="shared" si="2"/>
        <v>0.13765700227564504</v>
      </c>
      <c r="O43" s="1858">
        <f>SUM(O44:O48)</f>
        <v>8278047839</v>
      </c>
      <c r="P43" s="1597" t="e">
        <f t="shared" si="3"/>
        <v>#DIV/0!</v>
      </c>
      <c r="Q43" s="1598">
        <f>SUM(Q44:Q48)</f>
        <v>0</v>
      </c>
      <c r="R43" s="1599"/>
      <c r="S43" s="1784" t="s">
        <v>1028</v>
      </c>
      <c r="T43" s="1785">
        <f>U43/S40</f>
        <v>1.3501436520188117E-2</v>
      </c>
      <c r="U43" s="1786">
        <f>K51</f>
        <v>715181500</v>
      </c>
      <c r="V43" s="1778"/>
      <c r="W43" s="1588"/>
      <c r="X43" s="1592"/>
      <c r="Y43" s="1587"/>
      <c r="Z43" s="724"/>
      <c r="AA43" s="724"/>
      <c r="AB43" s="724"/>
      <c r="AC43" s="724"/>
      <c r="AD43" s="724"/>
      <c r="AE43" s="724"/>
      <c r="AF43" s="724"/>
      <c r="AG43" s="724"/>
      <c r="AH43" s="724"/>
    </row>
    <row r="44" spans="1:34" x14ac:dyDescent="0.2">
      <c r="A44" s="1683"/>
      <c r="B44" s="1684"/>
      <c r="C44" s="1705"/>
      <c r="D44" s="1707" t="s">
        <v>1261</v>
      </c>
      <c r="E44" s="1707"/>
      <c r="F44" s="1707"/>
      <c r="G44" s="1707"/>
      <c r="H44" s="1707"/>
      <c r="I44" s="1708" t="s">
        <v>1029</v>
      </c>
      <c r="J44" s="1853">
        <f t="shared" si="0"/>
        <v>1.8008215662517949E-4</v>
      </c>
      <c r="K44" s="742">
        <v>12349294</v>
      </c>
      <c r="L44" s="2495">
        <f t="shared" si="1"/>
        <v>1.6752348260034154E-4</v>
      </c>
      <c r="M44" s="742">
        <v>10982795</v>
      </c>
      <c r="N44" s="2495">
        <f t="shared" si="2"/>
        <v>1.3331614501640556E-4</v>
      </c>
      <c r="O44" s="742">
        <v>8017009</v>
      </c>
      <c r="P44" s="1596" t="e">
        <f t="shared" si="3"/>
        <v>#DIV/0!</v>
      </c>
      <c r="Q44" s="742">
        <v>0</v>
      </c>
      <c r="R44" s="1587"/>
      <c r="S44" s="1784" t="s">
        <v>1030</v>
      </c>
      <c r="T44" s="1785">
        <f>U44/S40</f>
        <v>1.1395773255164218E-2</v>
      </c>
      <c r="U44" s="1786">
        <f>K52</f>
        <v>603642893.71000004</v>
      </c>
      <c r="V44" s="1778"/>
      <c r="W44" s="1588"/>
      <c r="X44" s="1592"/>
      <c r="Y44" s="1587"/>
      <c r="Z44" s="724"/>
      <c r="AA44" s="724"/>
      <c r="AB44" s="724"/>
      <c r="AC44" s="724"/>
      <c r="AD44" s="724"/>
      <c r="AE44" s="724"/>
      <c r="AF44" s="724"/>
      <c r="AG44" s="724"/>
      <c r="AH44" s="724"/>
    </row>
    <row r="45" spans="1:34" ht="15" customHeight="1" x14ac:dyDescent="0.2">
      <c r="A45" s="1683"/>
      <c r="B45" s="1684"/>
      <c r="C45" s="1705"/>
      <c r="D45" s="1707" t="s">
        <v>1262</v>
      </c>
      <c r="E45" s="1707"/>
      <c r="F45" s="1707"/>
      <c r="G45" s="1707"/>
      <c r="H45" s="1707"/>
      <c r="I45" s="1708" t="s">
        <v>1031</v>
      </c>
      <c r="J45" s="1853">
        <f t="shared" si="0"/>
        <v>0.16494619696255922</v>
      </c>
      <c r="K45" s="742">
        <v>11311332108.889999</v>
      </c>
      <c r="L45" s="2495">
        <f t="shared" si="1"/>
        <v>9.0125335915209812E-2</v>
      </c>
      <c r="M45" s="742">
        <v>5908593071.8400002</v>
      </c>
      <c r="N45" s="2495">
        <f t="shared" si="2"/>
        <v>9.6293261682814546E-2</v>
      </c>
      <c r="O45" s="742">
        <v>5790626075</v>
      </c>
      <c r="P45" s="1596" t="e">
        <f t="shared" si="3"/>
        <v>#DIV/0!</v>
      </c>
      <c r="Q45" s="742">
        <v>0</v>
      </c>
      <c r="R45" s="1587"/>
      <c r="S45" s="1784" t="s">
        <v>1032</v>
      </c>
      <c r="T45" s="1785">
        <f>U45/S40</f>
        <v>4.3786250970971143E-2</v>
      </c>
      <c r="U45" s="1786">
        <f>K53</f>
        <v>2319391466.3800001</v>
      </c>
      <c r="V45" s="1778"/>
      <c r="W45" s="1588"/>
      <c r="X45" s="1592"/>
      <c r="Y45" s="1587"/>
      <c r="Z45" s="724"/>
      <c r="AA45" s="724"/>
      <c r="AB45" s="724"/>
      <c r="AC45" s="724"/>
      <c r="AD45" s="724"/>
      <c r="AE45" s="724"/>
      <c r="AF45" s="724"/>
      <c r="AG45" s="724"/>
      <c r="AH45" s="724"/>
    </row>
    <row r="46" spans="1:34" ht="19.5" customHeight="1" x14ac:dyDescent="0.25">
      <c r="A46" s="1683"/>
      <c r="B46" s="1684"/>
      <c r="C46" s="1705"/>
      <c r="D46" s="1707" t="s">
        <v>1263</v>
      </c>
      <c r="E46" s="1707"/>
      <c r="F46" s="1707"/>
      <c r="G46" s="1707"/>
      <c r="H46" s="1707"/>
      <c r="I46" s="1708" t="s">
        <v>1033</v>
      </c>
      <c r="J46" s="1853">
        <f t="shared" si="0"/>
        <v>1.4582384760228357E-3</v>
      </c>
      <c r="K46" s="742">
        <v>100000000</v>
      </c>
      <c r="L46" s="2495">
        <f t="shared" si="1"/>
        <v>1.5253265002245925E-3</v>
      </c>
      <c r="M46" s="742">
        <v>100000000</v>
      </c>
      <c r="N46" s="2495">
        <f t="shared" si="2"/>
        <v>1.6629162449038732E-3</v>
      </c>
      <c r="O46" s="742">
        <v>100000000</v>
      </c>
      <c r="P46" s="1596" t="e">
        <f t="shared" si="3"/>
        <v>#DIV/0!</v>
      </c>
      <c r="Q46" s="742">
        <v>0</v>
      </c>
      <c r="R46" s="1587"/>
      <c r="S46" s="1787">
        <f>T45</f>
        <v>4.3786250970971143E-2</v>
      </c>
      <c r="T46" s="1788">
        <f>T42+T43+T44+T45</f>
        <v>1</v>
      </c>
      <c r="U46" s="1789">
        <f>SUM(U42:U45)</f>
        <v>52970770845.799995</v>
      </c>
      <c r="V46" s="1778"/>
      <c r="W46" s="1588"/>
      <c r="X46" s="1592"/>
      <c r="Y46" s="1587"/>
      <c r="Z46" s="724"/>
      <c r="AA46" s="724"/>
      <c r="AB46" s="724"/>
      <c r="AC46" s="724"/>
      <c r="AD46" s="724"/>
      <c r="AE46" s="724"/>
      <c r="AF46" s="724"/>
      <c r="AG46" s="724"/>
      <c r="AH46" s="724"/>
    </row>
    <row r="47" spans="1:34" ht="20.25" customHeight="1" thickBot="1" x14ac:dyDescent="0.3">
      <c r="A47" s="1683"/>
      <c r="B47" s="1684"/>
      <c r="C47" s="1705"/>
      <c r="D47" s="1712" t="s">
        <v>1034</v>
      </c>
      <c r="E47" s="1713"/>
      <c r="F47" s="1714"/>
      <c r="G47" s="1714"/>
      <c r="H47" s="1714"/>
      <c r="I47" s="1708" t="s">
        <v>1035</v>
      </c>
      <c r="J47" s="1853">
        <f t="shared" si="0"/>
        <v>4.0534125496216079E-2</v>
      </c>
      <c r="K47" s="743">
        <v>2779663694.4299998</v>
      </c>
      <c r="L47" s="2495">
        <f t="shared" si="1"/>
        <v>3.4432891576769854E-2</v>
      </c>
      <c r="M47" s="742">
        <v>2257411221.25</v>
      </c>
      <c r="N47" s="2495">
        <f t="shared" si="2"/>
        <v>4.005740582303325E-2</v>
      </c>
      <c r="O47" s="743">
        <v>2408864905</v>
      </c>
      <c r="P47" s="1596" t="e">
        <f t="shared" si="3"/>
        <v>#DIV/0!</v>
      </c>
      <c r="Q47" s="744">
        <v>0</v>
      </c>
      <c r="R47" s="1587"/>
      <c r="S47" s="1787">
        <f>T43+T44+T45</f>
        <v>6.8683460746323477E-2</v>
      </c>
      <c r="T47" s="1790">
        <f>U46-S40</f>
        <v>0</v>
      </c>
      <c r="U47" s="1791"/>
      <c r="V47" s="1778"/>
      <c r="W47" s="1601"/>
      <c r="X47" s="1602"/>
      <c r="Y47" s="1601"/>
      <c r="Z47" s="724"/>
      <c r="AA47" s="724"/>
      <c r="AB47" s="724"/>
      <c r="AC47" s="724"/>
      <c r="AD47" s="724"/>
      <c r="AE47" s="724"/>
      <c r="AF47" s="724"/>
      <c r="AG47" s="724"/>
      <c r="AH47" s="724"/>
    </row>
    <row r="48" spans="1:34" ht="15" x14ac:dyDescent="0.25">
      <c r="A48" s="1683"/>
      <c r="B48" s="1684"/>
      <c r="C48" s="1705"/>
      <c r="D48" s="1712" t="s">
        <v>1036</v>
      </c>
      <c r="E48" s="1713"/>
      <c r="F48" s="1714"/>
      <c r="G48" s="1714"/>
      <c r="H48" s="1714"/>
      <c r="I48" s="1708" t="s">
        <v>1037</v>
      </c>
      <c r="J48" s="1853">
        <f t="shared" si="0"/>
        <v>-8.3202216181651469E-4</v>
      </c>
      <c r="K48" s="743">
        <v>-57056659.490000002</v>
      </c>
      <c r="L48" s="2495">
        <f t="shared" si="1"/>
        <v>-4.5758217498817976E-4</v>
      </c>
      <c r="M48" s="742">
        <v>-29998965.789999999</v>
      </c>
      <c r="N48" s="2495">
        <f t="shared" si="2"/>
        <v>-4.8989762012304839E-4</v>
      </c>
      <c r="O48" s="743">
        <v>-29460150</v>
      </c>
      <c r="P48" s="1596" t="e">
        <f t="shared" si="3"/>
        <v>#DIV/0!</v>
      </c>
      <c r="Q48" s="745">
        <v>0</v>
      </c>
      <c r="R48" s="1587"/>
      <c r="S48" s="1684"/>
      <c r="T48" s="1684"/>
      <c r="U48" s="1768"/>
      <c r="V48" s="1778"/>
      <c r="W48" s="1603"/>
      <c r="X48" s="1602"/>
      <c r="Y48" s="1601"/>
      <c r="Z48" s="724"/>
      <c r="AA48" s="724"/>
      <c r="AB48" s="724"/>
      <c r="AC48" s="724"/>
      <c r="AD48" s="724"/>
      <c r="AE48" s="724"/>
      <c r="AF48" s="724"/>
      <c r="AG48" s="724"/>
      <c r="AH48" s="724"/>
    </row>
    <row r="49" spans="1:34" ht="14.25" customHeight="1" x14ac:dyDescent="0.25">
      <c r="A49" s="1683"/>
      <c r="B49" s="1715"/>
      <c r="C49" s="1716">
        <v>4</v>
      </c>
      <c r="D49" s="2633" t="s">
        <v>1038</v>
      </c>
      <c r="E49" s="2634"/>
      <c r="F49" s="2634"/>
      <c r="G49" s="2634"/>
      <c r="H49" s="2635"/>
      <c r="I49" s="1717" t="s">
        <v>1039</v>
      </c>
      <c r="J49" s="1854">
        <f t="shared" si="0"/>
        <v>0.77244016151934236</v>
      </c>
      <c r="K49" s="1859">
        <f>SUM(K50:K53)</f>
        <v>52970770845.799995</v>
      </c>
      <c r="L49" s="2496">
        <f t="shared" si="1"/>
        <v>0.85757265378777936</v>
      </c>
      <c r="M49" s="1859">
        <f>SUM(M50:M53)</f>
        <v>56222235282.839996</v>
      </c>
      <c r="N49" s="2496">
        <f t="shared" si="2"/>
        <v>0.85468600691767704</v>
      </c>
      <c r="O49" s="1859">
        <f>SUM(O50:O53)</f>
        <v>51396816258</v>
      </c>
      <c r="P49" s="1597" t="e">
        <f t="shared" si="3"/>
        <v>#DIV/0!</v>
      </c>
      <c r="Q49" s="1604">
        <f>SUM(Q50:Q53)</f>
        <v>0</v>
      </c>
      <c r="R49" s="1587"/>
      <c r="S49" s="1792"/>
      <c r="T49" s="1684"/>
      <c r="U49" s="1768"/>
      <c r="V49" s="1778"/>
      <c r="W49" s="1603">
        <f>K49-M49</f>
        <v>-3251464437.0400009</v>
      </c>
      <c r="X49" s="1605">
        <f>W49/M49</f>
        <v>-5.783235797514448E-2</v>
      </c>
      <c r="Y49" s="1601"/>
      <c r="Z49" s="724"/>
      <c r="AA49" s="724"/>
      <c r="AB49" s="724"/>
      <c r="AC49" s="724"/>
      <c r="AD49" s="724"/>
      <c r="AE49" s="724"/>
      <c r="AF49" s="724"/>
      <c r="AG49" s="724"/>
      <c r="AH49" s="724"/>
    </row>
    <row r="50" spans="1:34" x14ac:dyDescent="0.2">
      <c r="A50" s="1683"/>
      <c r="B50" s="1684"/>
      <c r="C50" s="1705"/>
      <c r="D50" s="1707" t="s">
        <v>1306</v>
      </c>
      <c r="E50" s="1707"/>
      <c r="F50" s="1707"/>
      <c r="G50" s="1707"/>
      <c r="H50" s="1718">
        <f>K50+H51+H52</f>
        <v>50278039782.565002</v>
      </c>
      <c r="I50" s="2662" t="s">
        <v>1040</v>
      </c>
      <c r="J50" s="1853">
        <f t="shared" si="0"/>
        <v>0.71938629800674492</v>
      </c>
      <c r="K50" s="1606">
        <v>49332554985.709999</v>
      </c>
      <c r="L50" s="2495">
        <f t="shared" si="1"/>
        <v>0.81244079997590191</v>
      </c>
      <c r="M50" s="1606">
        <v>53263402940.699997</v>
      </c>
      <c r="N50" s="2495">
        <f t="shared" si="2"/>
        <v>0.80645470607656733</v>
      </c>
      <c r="O50" s="1606">
        <v>48496411563</v>
      </c>
      <c r="P50" s="1596" t="e">
        <f t="shared" si="3"/>
        <v>#DIV/0!</v>
      </c>
      <c r="Q50" s="742">
        <v>0</v>
      </c>
      <c r="R50" s="1587"/>
      <c r="S50" s="1684"/>
      <c r="T50" s="1684"/>
      <c r="U50" s="1768"/>
      <c r="V50" s="1778"/>
      <c r="W50" s="1603">
        <f>K50-M50</f>
        <v>-3930847954.9899979</v>
      </c>
      <c r="X50" s="1605">
        <f>W50/M50</f>
        <v>-7.3800165553942323E-2</v>
      </c>
      <c r="Y50" s="1601"/>
      <c r="Z50" s="724"/>
      <c r="AA50" s="724"/>
      <c r="AB50" s="724"/>
      <c r="AC50" s="724"/>
      <c r="AD50" s="724"/>
      <c r="AE50" s="724"/>
      <c r="AF50" s="724"/>
      <c r="AG50" s="724"/>
      <c r="AH50" s="724"/>
    </row>
    <row r="51" spans="1:34" ht="15" thickBot="1" x14ac:dyDescent="0.25">
      <c r="A51" s="1683"/>
      <c r="B51" s="1684"/>
      <c r="C51" s="1705"/>
      <c r="D51" s="1707" t="s">
        <v>1265</v>
      </c>
      <c r="E51" s="1707"/>
      <c r="F51" s="1707"/>
      <c r="G51" s="1707"/>
      <c r="H51" s="1718">
        <f>K51*0.9</f>
        <v>643663350</v>
      </c>
      <c r="I51" s="2663"/>
      <c r="J51" s="1853">
        <f t="shared" si="0"/>
        <v>1.0429051806397256E-2</v>
      </c>
      <c r="K51" s="1607">
        <v>715181500</v>
      </c>
      <c r="L51" s="2495">
        <f t="shared" si="1"/>
        <v>6.2372736051283899E-3</v>
      </c>
      <c r="M51" s="1606">
        <v>408914000</v>
      </c>
      <c r="N51" s="2495">
        <f t="shared" si="2"/>
        <v>8.8322365252981108E-3</v>
      </c>
      <c r="O51" s="1607">
        <v>531129367</v>
      </c>
      <c r="P51" s="1596" t="e">
        <f t="shared" si="3"/>
        <v>#DIV/0!</v>
      </c>
      <c r="Q51" s="742">
        <v>0</v>
      </c>
      <c r="R51" s="1587"/>
      <c r="S51" s="1684"/>
      <c r="T51" s="1684"/>
      <c r="U51" s="1793"/>
      <c r="V51" s="1778"/>
      <c r="W51" s="1603"/>
      <c r="X51" s="1602"/>
      <c r="Y51" s="1601"/>
      <c r="Z51" s="724"/>
      <c r="AA51" s="724"/>
      <c r="AB51" s="724"/>
      <c r="AC51" s="724"/>
      <c r="AD51" s="724"/>
      <c r="AE51" s="724"/>
      <c r="AF51" s="724"/>
      <c r="AG51" s="724"/>
      <c r="AH51" s="724"/>
    </row>
    <row r="52" spans="1:34" ht="15" thickBot="1" x14ac:dyDescent="0.25">
      <c r="A52" s="1683"/>
      <c r="B52" s="1684"/>
      <c r="C52" s="1705"/>
      <c r="D52" s="1707" t="s">
        <v>1266</v>
      </c>
      <c r="E52" s="1707"/>
      <c r="F52" s="1707"/>
      <c r="G52" s="1707"/>
      <c r="H52" s="1719">
        <f>K52*0.5</f>
        <v>301821446.85500002</v>
      </c>
      <c r="I52" s="2663"/>
      <c r="J52" s="1853">
        <f>K52/$K$62</f>
        <v>8.8025529338568494E-3</v>
      </c>
      <c r="K52" s="1607">
        <v>603642893.71000004</v>
      </c>
      <c r="L52" s="2495">
        <f t="shared" si="1"/>
        <v>3.4388668986743464E-3</v>
      </c>
      <c r="M52" s="1606">
        <v>225451200</v>
      </c>
      <c r="N52" s="2495">
        <f t="shared" si="2"/>
        <v>3.159539751163475E-3</v>
      </c>
      <c r="O52" s="1607">
        <v>189999933</v>
      </c>
      <c r="P52" s="1596" t="e">
        <f t="shared" si="3"/>
        <v>#DIV/0!</v>
      </c>
      <c r="Q52" s="742">
        <v>0</v>
      </c>
      <c r="R52" s="1587"/>
      <c r="S52" s="2622">
        <f>M49</f>
        <v>56222235282.839996</v>
      </c>
      <c r="T52" s="2623"/>
      <c r="U52" s="1780"/>
      <c r="V52" s="1774"/>
      <c r="W52" s="1610"/>
      <c r="X52" s="1611"/>
      <c r="Y52" s="1610"/>
    </row>
    <row r="53" spans="1:34" s="722" customFormat="1" ht="15" x14ac:dyDescent="0.25">
      <c r="A53" s="1720"/>
      <c r="B53" s="1686"/>
      <c r="C53" s="1705"/>
      <c r="D53" s="1707" t="s">
        <v>1267</v>
      </c>
      <c r="E53" s="1707"/>
      <c r="F53" s="1707"/>
      <c r="G53" s="1707"/>
      <c r="H53" s="1707"/>
      <c r="I53" s="2664"/>
      <c r="J53" s="1853">
        <f t="shared" si="0"/>
        <v>3.3822258772343412E-2</v>
      </c>
      <c r="K53" s="1613">
        <v>2319391466.3800001</v>
      </c>
      <c r="L53" s="2495">
        <f t="shared" si="1"/>
        <v>3.5455713308074663E-2</v>
      </c>
      <c r="M53" s="1606">
        <v>2324467142.1399999</v>
      </c>
      <c r="N53" s="2495">
        <f t="shared" si="2"/>
        <v>3.6239524564648053E-2</v>
      </c>
      <c r="O53" s="1613">
        <v>2179275395</v>
      </c>
      <c r="P53" s="1596" t="e">
        <f t="shared" si="3"/>
        <v>#DIV/0!</v>
      </c>
      <c r="Q53" s="742">
        <v>0</v>
      </c>
      <c r="R53" s="1588"/>
      <c r="S53" s="1794">
        <f>L39</f>
        <v>43100</v>
      </c>
      <c r="T53" s="1795"/>
      <c r="U53" s="1783"/>
      <c r="V53" s="1720"/>
      <c r="W53" s="1614"/>
      <c r="X53" s="1611"/>
      <c r="Y53" s="1610"/>
    </row>
    <row r="54" spans="1:34" s="722" customFormat="1" x14ac:dyDescent="0.2">
      <c r="A54" s="1720"/>
      <c r="B54" s="1686"/>
      <c r="C54" s="1721">
        <v>5</v>
      </c>
      <c r="D54" s="1722" t="s">
        <v>1307</v>
      </c>
      <c r="E54" s="1722"/>
      <c r="F54" s="1722"/>
      <c r="G54" s="1722"/>
      <c r="H54" s="1722"/>
      <c r="I54" s="1723" t="s">
        <v>1041</v>
      </c>
      <c r="J54" s="1853">
        <f t="shared" si="0"/>
        <v>1.5474876092404385E-2</v>
      </c>
      <c r="K54" s="742">
        <v>1061203386.61</v>
      </c>
      <c r="L54" s="2495">
        <f t="shared" si="1"/>
        <v>1.0978093436891738E-2</v>
      </c>
      <c r="M54" s="1606">
        <v>719720888.29999995</v>
      </c>
      <c r="N54" s="2495">
        <f t="shared" si="2"/>
        <v>1.6959615751747221E-2</v>
      </c>
      <c r="O54" s="742">
        <v>1019871915</v>
      </c>
      <c r="P54" s="1596" t="e">
        <f t="shared" si="3"/>
        <v>#DIV/0!</v>
      </c>
      <c r="Q54" s="742">
        <v>0</v>
      </c>
      <c r="R54" s="1588"/>
      <c r="S54" s="1796" t="s">
        <v>1025</v>
      </c>
      <c r="T54" s="1797">
        <f>U54/S52</f>
        <v>0.94737255949972721</v>
      </c>
      <c r="U54" s="1786">
        <f>M50</f>
        <v>53263402940.699997</v>
      </c>
      <c r="V54" s="1720"/>
      <c r="W54" s="1610"/>
      <c r="X54" s="1611"/>
      <c r="Y54" s="1610"/>
    </row>
    <row r="55" spans="1:34" s="722" customFormat="1" x14ac:dyDescent="0.2">
      <c r="A55" s="1720"/>
      <c r="B55" s="1686"/>
      <c r="C55" s="1705">
        <v>6</v>
      </c>
      <c r="D55" s="1722" t="s">
        <v>1308</v>
      </c>
      <c r="E55" s="1707"/>
      <c r="F55" s="1707"/>
      <c r="G55" s="1707"/>
      <c r="H55" s="1707"/>
      <c r="I55" s="1708" t="s">
        <v>1042</v>
      </c>
      <c r="J55" s="1853">
        <f t="shared" si="0"/>
        <v>0</v>
      </c>
      <c r="K55" s="744">
        <v>0</v>
      </c>
      <c r="L55" s="2495">
        <f t="shared" si="1"/>
        <v>0</v>
      </c>
      <c r="M55" s="1606"/>
      <c r="N55" s="2495">
        <f t="shared" si="2"/>
        <v>0</v>
      </c>
      <c r="O55" s="744">
        <v>0</v>
      </c>
      <c r="P55" s="1596" t="e">
        <f t="shared" si="3"/>
        <v>#DIV/0!</v>
      </c>
      <c r="Q55" s="742">
        <v>0</v>
      </c>
      <c r="R55" s="1588"/>
      <c r="S55" s="1796" t="s">
        <v>1028</v>
      </c>
      <c r="T55" s="1797">
        <f>U55/S52</f>
        <v>7.2731722234602733E-3</v>
      </c>
      <c r="U55" s="1786">
        <f>M51</f>
        <v>408914000</v>
      </c>
      <c r="V55" s="1720"/>
      <c r="W55" s="1610"/>
      <c r="X55" s="1611"/>
      <c r="Y55" s="1610"/>
    </row>
    <row r="56" spans="1:34" s="722" customFormat="1" x14ac:dyDescent="0.2">
      <c r="A56" s="1720"/>
      <c r="B56" s="1724"/>
      <c r="C56" s="1705">
        <v>7</v>
      </c>
      <c r="D56" s="1725" t="s">
        <v>1309</v>
      </c>
      <c r="E56" s="1725"/>
      <c r="F56" s="1725"/>
      <c r="G56" s="1725"/>
      <c r="H56" s="1725"/>
      <c r="I56" s="1708" t="s">
        <v>1043</v>
      </c>
      <c r="J56" s="1853">
        <f t="shared" si="0"/>
        <v>1.6151641556260067E-2</v>
      </c>
      <c r="K56" s="742">
        <v>1107613180</v>
      </c>
      <c r="L56" s="2495">
        <f t="shared" si="1"/>
        <v>1.6894717354520316E-2</v>
      </c>
      <c r="M56" s="1606">
        <v>1107613180</v>
      </c>
      <c r="N56" s="2495">
        <f t="shared" si="2"/>
        <v>1.7313089635492038E-2</v>
      </c>
      <c r="O56" s="742">
        <v>1041128180</v>
      </c>
      <c r="P56" s="1596" t="e">
        <f t="shared" si="3"/>
        <v>#DIV/0!</v>
      </c>
      <c r="Q56" s="744">
        <v>0</v>
      </c>
      <c r="R56" s="1588"/>
      <c r="S56" s="1796" t="s">
        <v>1030</v>
      </c>
      <c r="T56" s="1797">
        <f>U56/S52</f>
        <v>4.0100006494905695E-3</v>
      </c>
      <c r="U56" s="1786">
        <f>M52</f>
        <v>225451200</v>
      </c>
      <c r="V56" s="1720"/>
      <c r="W56" s="1610"/>
      <c r="X56" s="1611"/>
      <c r="Y56" s="1610"/>
    </row>
    <row r="57" spans="1:34" s="722" customFormat="1" x14ac:dyDescent="0.2">
      <c r="A57" s="1720"/>
      <c r="B57" s="1724"/>
      <c r="C57" s="1705">
        <v>8</v>
      </c>
      <c r="D57" s="1725" t="s">
        <v>1310</v>
      </c>
      <c r="E57" s="1725"/>
      <c r="F57" s="1725"/>
      <c r="G57" s="1725"/>
      <c r="H57" s="1725"/>
      <c r="I57" s="1708" t="s">
        <v>1044</v>
      </c>
      <c r="J57" s="1853">
        <f t="shared" si="0"/>
        <v>9.2241185113972161E-3</v>
      </c>
      <c r="K57" s="742">
        <v>632552128</v>
      </c>
      <c r="L57" s="2495">
        <f t="shared" si="1"/>
        <v>9.1596046699233998E-3</v>
      </c>
      <c r="M57" s="1606">
        <v>600501248</v>
      </c>
      <c r="N57" s="2495">
        <f t="shared" si="2"/>
        <v>8.9630377589315375E-3</v>
      </c>
      <c r="O57" s="742">
        <v>538995141</v>
      </c>
      <c r="P57" s="1596" t="e">
        <f t="shared" si="3"/>
        <v>#DIV/0!</v>
      </c>
      <c r="Q57" s="744">
        <v>0</v>
      </c>
      <c r="R57" s="1588"/>
      <c r="S57" s="1796" t="s">
        <v>1032</v>
      </c>
      <c r="T57" s="1797">
        <f>U57/S52</f>
        <v>4.1344267627321955E-2</v>
      </c>
      <c r="U57" s="1786">
        <f>M53</f>
        <v>2324467142.1399999</v>
      </c>
      <c r="V57" s="1720"/>
      <c r="W57" s="1610"/>
      <c r="X57" s="1611"/>
      <c r="Y57" s="1610"/>
    </row>
    <row r="58" spans="1:34" s="722" customFormat="1" ht="15.75" x14ac:dyDescent="0.25">
      <c r="A58" s="1720"/>
      <c r="B58" s="1724"/>
      <c r="C58" s="1705">
        <v>9</v>
      </c>
      <c r="D58" s="1725" t="s">
        <v>1311</v>
      </c>
      <c r="E58" s="1725"/>
      <c r="F58" s="1725"/>
      <c r="G58" s="1725"/>
      <c r="H58" s="1725"/>
      <c r="I58" s="1708" t="s">
        <v>1045</v>
      </c>
      <c r="J58" s="1853">
        <f t="shared" si="0"/>
        <v>3.2401112190479232E-2</v>
      </c>
      <c r="K58" s="742">
        <v>2221935076</v>
      </c>
      <c r="L58" s="2495">
        <f t="shared" si="1"/>
        <v>3.5787897904442631E-2</v>
      </c>
      <c r="M58" s="1606">
        <v>2346245076</v>
      </c>
      <c r="N58" s="2495">
        <f t="shared" si="2"/>
        <v>3.6890550969825096E-2</v>
      </c>
      <c r="O58" s="742">
        <v>2218425076</v>
      </c>
      <c r="P58" s="1596" t="e">
        <f t="shared" si="3"/>
        <v>#DIV/0!</v>
      </c>
      <c r="Q58" s="744">
        <v>0</v>
      </c>
      <c r="R58" s="1588"/>
      <c r="S58" s="1798">
        <f>T57</f>
        <v>4.1344267627321955E-2</v>
      </c>
      <c r="T58" s="1799">
        <f>T54+T55+T56+T57</f>
        <v>0.99999999999999989</v>
      </c>
      <c r="U58" s="1789">
        <f>SUM(U54:U57)</f>
        <v>56222235282.839996</v>
      </c>
      <c r="V58" s="1720"/>
      <c r="W58" s="1615"/>
      <c r="X58" s="1611"/>
      <c r="Y58" s="1610"/>
    </row>
    <row r="59" spans="1:34" s="722" customFormat="1" ht="16.5" thickBot="1" x14ac:dyDescent="0.3">
      <c r="A59" s="1720"/>
      <c r="B59" s="1724"/>
      <c r="C59" s="1705">
        <v>10</v>
      </c>
      <c r="D59" s="1725" t="s">
        <v>1312</v>
      </c>
      <c r="E59" s="1725"/>
      <c r="F59" s="1725"/>
      <c r="G59" s="1725"/>
      <c r="H59" s="1725"/>
      <c r="I59" s="1708" t="s">
        <v>1046</v>
      </c>
      <c r="J59" s="1853">
        <f t="shared" si="0"/>
        <v>1.9553715916394768E-2</v>
      </c>
      <c r="K59" s="742">
        <v>1340913454</v>
      </c>
      <c r="L59" s="2495">
        <f t="shared" si="1"/>
        <v>2.1182851759179989E-2</v>
      </c>
      <c r="M59" s="1606">
        <v>1388742132</v>
      </c>
      <c r="N59" s="2495">
        <f t="shared" si="2"/>
        <v>1.9733506817234656E-2</v>
      </c>
      <c r="O59" s="742">
        <v>1186680741</v>
      </c>
      <c r="P59" s="1596" t="e">
        <f t="shared" si="3"/>
        <v>#DIV/0!</v>
      </c>
      <c r="Q59" s="746">
        <v>0</v>
      </c>
      <c r="R59" s="1588"/>
      <c r="S59" s="1800">
        <f>T55+T56+T57</f>
        <v>5.26274405002728E-2</v>
      </c>
      <c r="T59" s="1801">
        <f>U58-S52</f>
        <v>0</v>
      </c>
      <c r="U59" s="1791"/>
      <c r="V59" s="1720"/>
      <c r="W59" s="1615"/>
      <c r="X59" s="1611"/>
      <c r="Y59" s="1610"/>
    </row>
    <row r="60" spans="1:34" ht="18.75" customHeight="1" x14ac:dyDescent="0.2">
      <c r="A60" s="1683"/>
      <c r="B60" s="1726"/>
      <c r="C60" s="1727">
        <v>11</v>
      </c>
      <c r="D60" s="1714" t="s">
        <v>1750</v>
      </c>
      <c r="E60" s="1714"/>
      <c r="F60" s="1714"/>
      <c r="G60" s="1714"/>
      <c r="H60" s="1714"/>
      <c r="I60" s="1728" t="s">
        <v>1047</v>
      </c>
      <c r="J60" s="1855">
        <f t="shared" si="0"/>
        <v>1.7357584632991238E-2</v>
      </c>
      <c r="K60" s="747">
        <f>1190311797.68+1</f>
        <v>1190311798.6800001</v>
      </c>
      <c r="L60" s="2497">
        <f t="shared" si="1"/>
        <v>5.4927202618601807E-3</v>
      </c>
      <c r="M60" s="1606">
        <f>360101279.68+1</f>
        <v>360101280.68000001</v>
      </c>
      <c r="N60" s="2497">
        <f t="shared" si="2"/>
        <v>7.417550905552568E-3</v>
      </c>
      <c r="O60" s="747">
        <f>446056795</f>
        <v>446056795</v>
      </c>
      <c r="P60" s="1596" t="e">
        <f t="shared" si="3"/>
        <v>#DIV/0!</v>
      </c>
      <c r="Q60" s="748">
        <v>0</v>
      </c>
      <c r="R60" s="1587"/>
      <c r="S60" s="1684"/>
      <c r="T60" s="1684"/>
      <c r="U60" s="1768"/>
      <c r="V60" s="1774"/>
      <c r="W60" s="1610"/>
      <c r="X60" s="1611"/>
      <c r="Y60" s="1610"/>
    </row>
    <row r="61" spans="1:34" ht="15" thickBot="1" x14ac:dyDescent="0.25">
      <c r="A61" s="1683"/>
      <c r="B61" s="1684"/>
      <c r="C61" s="1729">
        <v>12</v>
      </c>
      <c r="D61" s="1686" t="s">
        <v>1749</v>
      </c>
      <c r="E61" s="1686"/>
      <c r="F61" s="1686"/>
      <c r="G61" s="1686"/>
      <c r="H61" s="1686"/>
      <c r="I61" s="1730"/>
      <c r="J61" s="1855">
        <f t="shared" si="0"/>
        <v>1.1706465484019865E-2</v>
      </c>
      <c r="K61" s="747">
        <f>671483003.68+131298275</f>
        <v>802781278.67999995</v>
      </c>
      <c r="L61" s="2497">
        <f t="shared" si="1"/>
        <v>1.2620832473759414E-2</v>
      </c>
      <c r="M61" s="1606">
        <f>735748890+91669533</f>
        <v>827418423</v>
      </c>
      <c r="N61" s="2497">
        <f t="shared" si="2"/>
        <v>1.3078930453745074E-2</v>
      </c>
      <c r="O61" s="747">
        <f>678538257+107967407</f>
        <v>786505664</v>
      </c>
      <c r="P61" s="1617"/>
      <c r="Q61" s="1617"/>
      <c r="R61" s="1587"/>
      <c r="S61" s="2636"/>
      <c r="T61" s="2636"/>
      <c r="U61" s="1802"/>
      <c r="V61" s="1774"/>
      <c r="W61" s="1610"/>
      <c r="X61" s="1611"/>
      <c r="Y61" s="1610"/>
    </row>
    <row r="62" spans="1:34" ht="15.75" thickBot="1" x14ac:dyDescent="0.3">
      <c r="A62" s="1683"/>
      <c r="B62" s="1700"/>
      <c r="C62" s="1731"/>
      <c r="D62" s="1732" t="s">
        <v>1048</v>
      </c>
      <c r="E62" s="1733"/>
      <c r="F62" s="1733"/>
      <c r="G62" s="1733"/>
      <c r="H62" s="1733"/>
      <c r="I62" s="1734"/>
      <c r="J62" s="1856"/>
      <c r="K62" s="1857">
        <f>SUM(K41:K42)+K43+K49+K55+K56+K58+K60-K54-K57-K59-K61</f>
        <v>68575889091.019997</v>
      </c>
      <c r="L62" s="1857"/>
      <c r="M62" s="1857">
        <f>SUM(M41:M42)+M43+M49+M55+M56+M58+M60-M54-M57-M59-M61</f>
        <v>65559734250.519989</v>
      </c>
      <c r="N62" s="1857"/>
      <c r="O62" s="1857">
        <f>SUM(O41:O42)+O43+O49+O55+O56+O58+O60-O54-O57-O59-O61</f>
        <v>60135319687</v>
      </c>
      <c r="P62" s="1619"/>
      <c r="Q62" s="1619">
        <f>SUM(Q41:Q42)+Q43+Q49+Q55+Q56+Q58+Q60-Q54-Q57-Q59</f>
        <v>0</v>
      </c>
      <c r="R62" s="1587"/>
      <c r="S62" s="2622">
        <f>O49</f>
        <v>51396816258</v>
      </c>
      <c r="T62" s="2623"/>
      <c r="U62" s="1780"/>
      <c r="V62" s="1774"/>
      <c r="W62" s="1615">
        <f>K62-M62</f>
        <v>3016154840.5000076</v>
      </c>
      <c r="X62" s="1620">
        <f>W62/M62</f>
        <v>4.6006209069953403E-2</v>
      </c>
      <c r="Y62" s="1610"/>
    </row>
    <row r="63" spans="1:34" ht="15" x14ac:dyDescent="0.25">
      <c r="A63" s="1683"/>
      <c r="B63" s="1735"/>
      <c r="C63" s="1699"/>
      <c r="D63" s="1691"/>
      <c r="E63" s="1700"/>
      <c r="F63" s="1700"/>
      <c r="G63" s="1700"/>
      <c r="H63" s="1700"/>
      <c r="I63" s="1736"/>
      <c r="J63" s="1737"/>
      <c r="K63" s="1621"/>
      <c r="L63" s="1622"/>
      <c r="M63" s="1621"/>
      <c r="N63" s="1622"/>
      <c r="O63" s="1622"/>
      <c r="P63" s="1622"/>
      <c r="Q63" s="1622"/>
      <c r="R63" s="1587"/>
      <c r="S63" s="1781">
        <f>N39</f>
        <v>42735</v>
      </c>
      <c r="T63" s="1782"/>
      <c r="U63" s="1783"/>
      <c r="V63" s="1774"/>
      <c r="W63" s="1610"/>
      <c r="X63" s="1611"/>
      <c r="Y63" s="1610"/>
    </row>
    <row r="64" spans="1:34" ht="15" x14ac:dyDescent="0.25">
      <c r="A64" s="1683"/>
      <c r="B64" s="1735"/>
      <c r="C64" s="1699"/>
      <c r="D64" s="1691" t="s">
        <v>1049</v>
      </c>
      <c r="E64" s="1700"/>
      <c r="F64" s="1700"/>
      <c r="G64" s="1700"/>
      <c r="H64" s="1700"/>
      <c r="I64" s="1737"/>
      <c r="J64" s="1737"/>
      <c r="K64" s="1623"/>
      <c r="L64" s="1622"/>
      <c r="M64" s="1622"/>
      <c r="N64" s="1622"/>
      <c r="O64" s="1622"/>
      <c r="P64" s="1622"/>
      <c r="Q64" s="1622"/>
      <c r="R64" s="1587"/>
      <c r="S64" s="1784" t="s">
        <v>1025</v>
      </c>
      <c r="T64" s="1785">
        <f>U64/S62</f>
        <v>0.943568397691393</v>
      </c>
      <c r="U64" s="1786">
        <f>O50</f>
        <v>48496411563</v>
      </c>
      <c r="V64" s="1774"/>
      <c r="W64" s="1615">
        <f>K65+K66</f>
        <v>16538338896.4</v>
      </c>
      <c r="X64" s="1620">
        <f>W66/W65</f>
        <v>-0.12987062693555923</v>
      </c>
      <c r="Y64" s="1610"/>
    </row>
    <row r="65" spans="1:25" ht="15" x14ac:dyDescent="0.25">
      <c r="A65" s="1683"/>
      <c r="B65" s="1735"/>
      <c r="C65" s="1705">
        <v>1</v>
      </c>
      <c r="D65" s="1722" t="s">
        <v>1313</v>
      </c>
      <c r="E65" s="1738"/>
      <c r="F65" s="1738"/>
      <c r="G65" s="1738"/>
      <c r="H65" s="1738"/>
      <c r="I65" s="1708" t="s">
        <v>1050</v>
      </c>
      <c r="J65" s="1853">
        <f t="shared" ref="J65:J78" si="4">K65/$K$95</f>
        <v>5.5306386317004411E-3</v>
      </c>
      <c r="K65" s="742">
        <v>379268461.41000003</v>
      </c>
      <c r="L65" s="2495">
        <f t="shared" ref="L65:L78" si="5">M65/$M$95</f>
        <v>6.2347475119113671E-3</v>
      </c>
      <c r="M65" s="742">
        <f>38953447.17+338046680.58+12601975+19146287.25</f>
        <v>408748390</v>
      </c>
      <c r="N65" s="2495">
        <f t="shared" ref="N65:N78" si="6">O65/$O$95</f>
        <v>8.3700715423121116E-3</v>
      </c>
      <c r="O65" s="742">
        <v>503336928</v>
      </c>
      <c r="P65" s="1596" t="e">
        <f t="shared" ref="P65:P78" si="7">Q65/$Q$95</f>
        <v>#DIV/0!</v>
      </c>
      <c r="Q65" s="742">
        <v>0</v>
      </c>
      <c r="R65" s="1587"/>
      <c r="S65" s="1784" t="s">
        <v>1028</v>
      </c>
      <c r="T65" s="1785">
        <f>U65/S62</f>
        <v>1.0333896254076415E-2</v>
      </c>
      <c r="U65" s="1786">
        <f>O51</f>
        <v>531129367</v>
      </c>
      <c r="V65" s="1774"/>
      <c r="W65" s="1615">
        <f>M65+M66</f>
        <v>19006758544.599998</v>
      </c>
      <c r="X65" s="1611"/>
      <c r="Y65" s="1610"/>
    </row>
    <row r="66" spans="1:25" x14ac:dyDescent="0.2">
      <c r="A66" s="1683"/>
      <c r="B66" s="1684"/>
      <c r="C66" s="1705">
        <v>2</v>
      </c>
      <c r="D66" s="1707" t="s">
        <v>1119</v>
      </c>
      <c r="E66" s="1707"/>
      <c r="F66" s="1707"/>
      <c r="G66" s="1707"/>
      <c r="H66" s="1707"/>
      <c r="I66" s="1708" t="s">
        <v>1051</v>
      </c>
      <c r="J66" s="1853">
        <f t="shared" si="4"/>
        <v>0.23563778245065478</v>
      </c>
      <c r="K66" s="742">
        <v>16159070434.99</v>
      </c>
      <c r="L66" s="2495">
        <f t="shared" si="5"/>
        <v>0.28368037740257446</v>
      </c>
      <c r="M66" s="742">
        <v>18598010154.599998</v>
      </c>
      <c r="N66" s="2495">
        <f t="shared" si="6"/>
        <v>0.25566048929350893</v>
      </c>
      <c r="O66" s="742">
        <v>15374225255</v>
      </c>
      <c r="P66" s="1596" t="e">
        <f t="shared" si="7"/>
        <v>#DIV/0!</v>
      </c>
      <c r="Q66" s="742">
        <v>0</v>
      </c>
      <c r="R66" s="1587"/>
      <c r="S66" s="1784" t="s">
        <v>1030</v>
      </c>
      <c r="T66" s="1785">
        <f>U66/S62</f>
        <v>3.6967257280342961E-3</v>
      </c>
      <c r="U66" s="1786">
        <f>O52</f>
        <v>189999933</v>
      </c>
      <c r="V66" s="1774"/>
      <c r="W66" s="1615">
        <f>W64-W65</f>
        <v>-2468419648.1999989</v>
      </c>
      <c r="X66" s="1611"/>
      <c r="Y66" s="1610"/>
    </row>
    <row r="67" spans="1:25" x14ac:dyDescent="0.2">
      <c r="A67" s="1683"/>
      <c r="B67" s="1684"/>
      <c r="C67" s="1705">
        <v>3</v>
      </c>
      <c r="D67" s="1707" t="s">
        <v>1121</v>
      </c>
      <c r="E67" s="1707"/>
      <c r="F67" s="1707"/>
      <c r="G67" s="1707"/>
      <c r="H67" s="1707"/>
      <c r="I67" s="1708" t="s">
        <v>1052</v>
      </c>
      <c r="J67" s="1853">
        <f t="shared" si="4"/>
        <v>0.1792233416571106</v>
      </c>
      <c r="K67" s="742">
        <v>12290400000</v>
      </c>
      <c r="L67" s="2495">
        <f t="shared" si="5"/>
        <v>0.13858201385140512</v>
      </c>
      <c r="M67" s="742">
        <v>9085400000</v>
      </c>
      <c r="N67" s="2495">
        <f t="shared" si="6"/>
        <v>0.13683306321191521</v>
      </c>
      <c r="O67" s="742">
        <v>8228500000</v>
      </c>
      <c r="P67" s="1596" t="e">
        <f t="shared" si="7"/>
        <v>#DIV/0!</v>
      </c>
      <c r="Q67" s="742">
        <v>0</v>
      </c>
      <c r="R67" s="1587"/>
      <c r="S67" s="1784" t="s">
        <v>1032</v>
      </c>
      <c r="T67" s="1785">
        <f>U67/S62</f>
        <v>4.2400980326496238E-2</v>
      </c>
      <c r="U67" s="1786">
        <f>O53</f>
        <v>2179275395</v>
      </c>
      <c r="V67" s="1774"/>
      <c r="W67" s="1610"/>
      <c r="X67" s="1611"/>
      <c r="Y67" s="1610"/>
    </row>
    <row r="68" spans="1:25" ht="15.75" x14ac:dyDescent="0.25">
      <c r="A68" s="1683"/>
      <c r="B68" s="1684"/>
      <c r="C68" s="1705">
        <v>4</v>
      </c>
      <c r="D68" s="1707" t="s">
        <v>1751</v>
      </c>
      <c r="E68" s="1707"/>
      <c r="F68" s="1707"/>
      <c r="G68" s="1707"/>
      <c r="H68" s="1707"/>
      <c r="I68" s="1708" t="s">
        <v>1053</v>
      </c>
      <c r="J68" s="1853">
        <f t="shared" si="4"/>
        <v>7.5001994101211278E-2</v>
      </c>
      <c r="K68" s="742">
        <f>2524820916+2618507513.09</f>
        <v>5143328429.0900002</v>
      </c>
      <c r="L68" s="2495">
        <f t="shared" si="5"/>
        <v>7.0427659690877678E-2</v>
      </c>
      <c r="M68" s="742">
        <f>2524820916+2092397737.22</f>
        <v>4617218653.2200003</v>
      </c>
      <c r="N68" s="2495">
        <f t="shared" si="6"/>
        <v>0.12725630096973331</v>
      </c>
      <c r="O68" s="742">
        <f>6305754642+1346843699</f>
        <v>7652598341</v>
      </c>
      <c r="P68" s="1596" t="e">
        <f t="shared" si="7"/>
        <v>#DIV/0!</v>
      </c>
      <c r="Q68" s="742">
        <v>0</v>
      </c>
      <c r="R68" s="1587"/>
      <c r="S68" s="1798">
        <f>T67</f>
        <v>4.2400980326496238E-2</v>
      </c>
      <c r="T68" s="1788">
        <f>T64+T65+T66+T67</f>
        <v>0.99999999999999989</v>
      </c>
      <c r="U68" s="1789">
        <f>SUM(U64:U67)</f>
        <v>51396816258</v>
      </c>
      <c r="V68" s="1774"/>
      <c r="W68" s="1610"/>
      <c r="X68" s="1611"/>
      <c r="Y68" s="1610"/>
    </row>
    <row r="69" spans="1:25" ht="16.5" thickBot="1" x14ac:dyDescent="0.3">
      <c r="A69" s="1683"/>
      <c r="B69" s="1684"/>
      <c r="C69" s="1709">
        <v>5</v>
      </c>
      <c r="D69" s="1710" t="s">
        <v>1054</v>
      </c>
      <c r="E69" s="1710"/>
      <c r="F69" s="1710"/>
      <c r="G69" s="1710"/>
      <c r="H69" s="1710"/>
      <c r="I69" s="1739" t="s">
        <v>1055</v>
      </c>
      <c r="J69" s="1854">
        <f t="shared" si="4"/>
        <v>7.9996949083936447E-4</v>
      </c>
      <c r="K69" s="1858">
        <f>SUM(K70:K73)</f>
        <v>54858619.079999998</v>
      </c>
      <c r="L69" s="2496">
        <f t="shared" si="5"/>
        <v>2.7996132131750395E-3</v>
      </c>
      <c r="M69" s="1858">
        <f>SUM(M70:M73)</f>
        <v>183541898.25999999</v>
      </c>
      <c r="N69" s="2496">
        <f t="shared" si="6"/>
        <v>4.2946736850195998E-3</v>
      </c>
      <c r="O69" s="1858">
        <f>SUM(O70:O73)</f>
        <v>258261575</v>
      </c>
      <c r="P69" s="1597" t="e">
        <f t="shared" si="7"/>
        <v>#DIV/0!</v>
      </c>
      <c r="Q69" s="1598">
        <f>SUM(Q70:Q73)</f>
        <v>0</v>
      </c>
      <c r="R69" s="1587"/>
      <c r="S69" s="1800">
        <f>T65+T66+T67</f>
        <v>5.643160230860695E-2</v>
      </c>
      <c r="T69" s="1790">
        <f>U68-S62</f>
        <v>0</v>
      </c>
      <c r="U69" s="1791"/>
      <c r="V69" s="1774"/>
      <c r="W69" s="1610"/>
      <c r="X69" s="1611"/>
      <c r="Y69" s="1610"/>
    </row>
    <row r="70" spans="1:25" x14ac:dyDescent="0.2">
      <c r="A70" s="1683"/>
      <c r="B70" s="1684"/>
      <c r="C70" s="1705"/>
      <c r="D70" s="1722" t="s">
        <v>1314</v>
      </c>
      <c r="E70" s="1722"/>
      <c r="F70" s="1722"/>
      <c r="G70" s="1722"/>
      <c r="H70" s="1722"/>
      <c r="I70" s="1708" t="s">
        <v>1056</v>
      </c>
      <c r="J70" s="1853">
        <f t="shared" si="4"/>
        <v>0</v>
      </c>
      <c r="K70" s="742"/>
      <c r="L70" s="2495">
        <f t="shared" si="5"/>
        <v>0</v>
      </c>
      <c r="M70" s="742">
        <v>0</v>
      </c>
      <c r="N70" s="2495">
        <f t="shared" si="6"/>
        <v>0</v>
      </c>
      <c r="O70" s="742"/>
      <c r="P70" s="1596" t="e">
        <f t="shared" si="7"/>
        <v>#DIV/0!</v>
      </c>
      <c r="Q70" s="742">
        <v>0</v>
      </c>
      <c r="R70" s="1587"/>
      <c r="S70" s="1587"/>
      <c r="T70" s="1587"/>
      <c r="U70" s="1590"/>
      <c r="V70" s="1609"/>
      <c r="W70" s="1610"/>
      <c r="X70" s="1611"/>
      <c r="Y70" s="1610"/>
    </row>
    <row r="71" spans="1:25" x14ac:dyDescent="0.2">
      <c r="A71" s="1683"/>
      <c r="B71" s="1684"/>
      <c r="C71" s="1705"/>
      <c r="D71" s="1722" t="s">
        <v>1273</v>
      </c>
      <c r="E71" s="1722"/>
      <c r="F71" s="1722"/>
      <c r="G71" s="1722"/>
      <c r="H71" s="1722"/>
      <c r="I71" s="1708" t="s">
        <v>1057</v>
      </c>
      <c r="J71" s="1853">
        <f t="shared" si="4"/>
        <v>0</v>
      </c>
      <c r="K71" s="742">
        <v>0</v>
      </c>
      <c r="L71" s="2495">
        <f t="shared" si="5"/>
        <v>0</v>
      </c>
      <c r="M71" s="742">
        <v>0</v>
      </c>
      <c r="N71" s="2495">
        <f t="shared" si="6"/>
        <v>0</v>
      </c>
      <c r="O71" s="742">
        <v>0</v>
      </c>
      <c r="P71" s="1596" t="e">
        <f t="shared" si="7"/>
        <v>#DIV/0!</v>
      </c>
      <c r="Q71" s="742">
        <v>0</v>
      </c>
      <c r="R71" s="1587"/>
      <c r="S71" s="1587"/>
      <c r="T71" s="1587"/>
      <c r="U71" s="1590"/>
      <c r="V71" s="1609"/>
      <c r="W71" s="1612"/>
      <c r="X71" s="1624"/>
      <c r="Y71" s="1586"/>
    </row>
    <row r="72" spans="1:25" ht="14.25" customHeight="1" x14ac:dyDescent="0.2">
      <c r="A72" s="1683"/>
      <c r="B72" s="1684"/>
      <c r="C72" s="1705"/>
      <c r="D72" s="1722" t="s">
        <v>1759</v>
      </c>
      <c r="E72" s="1722"/>
      <c r="F72" s="1722"/>
      <c r="G72" s="1722"/>
      <c r="H72" s="1722"/>
      <c r="I72" s="1740" t="s">
        <v>1058</v>
      </c>
      <c r="J72" s="1853">
        <f t="shared" si="4"/>
        <v>7.9996949083936447E-4</v>
      </c>
      <c r="K72" s="742">
        <v>54858619.079999998</v>
      </c>
      <c r="L72" s="2495">
        <f t="shared" si="5"/>
        <v>2.7996132131750395E-3</v>
      </c>
      <c r="M72" s="742">
        <f>3461095.01+31782289.77+5512707.5+142785805.98</f>
        <v>183541898.25999999</v>
      </c>
      <c r="N72" s="2495">
        <f t="shared" si="6"/>
        <v>4.2946736850195998E-3</v>
      </c>
      <c r="O72" s="742">
        <f>33329802+218481583+6450190</f>
        <v>258261575</v>
      </c>
      <c r="P72" s="1596" t="e">
        <f t="shared" si="7"/>
        <v>#DIV/0!</v>
      </c>
      <c r="Q72" s="742">
        <v>0</v>
      </c>
      <c r="R72" s="1587"/>
      <c r="S72" s="1601"/>
      <c r="T72" s="1601"/>
      <c r="U72" s="1611"/>
      <c r="V72" s="1611"/>
      <c r="W72" s="1610"/>
      <c r="X72" s="1611"/>
      <c r="Y72" s="1586"/>
    </row>
    <row r="73" spans="1:25" x14ac:dyDescent="0.2">
      <c r="A73" s="1683"/>
      <c r="B73" s="1684"/>
      <c r="C73" s="1705"/>
      <c r="D73" s="1722" t="s">
        <v>1758</v>
      </c>
      <c r="E73" s="1722"/>
      <c r="F73" s="1722"/>
      <c r="G73" s="1722"/>
      <c r="H73" s="1722"/>
      <c r="I73" s="1708" t="s">
        <v>1059</v>
      </c>
      <c r="J73" s="1853">
        <f t="shared" si="4"/>
        <v>0</v>
      </c>
      <c r="K73" s="742">
        <v>0</v>
      </c>
      <c r="L73" s="2495">
        <f t="shared" si="5"/>
        <v>0</v>
      </c>
      <c r="M73" s="742">
        <v>0</v>
      </c>
      <c r="N73" s="2495">
        <f t="shared" si="6"/>
        <v>0</v>
      </c>
      <c r="O73" s="742">
        <v>0</v>
      </c>
      <c r="P73" s="1596" t="e">
        <f t="shared" si="7"/>
        <v>#DIV/0!</v>
      </c>
      <c r="Q73" s="742">
        <v>0</v>
      </c>
      <c r="R73" s="1587"/>
      <c r="S73" s="1601"/>
      <c r="T73" s="1601"/>
      <c r="U73" s="1611"/>
      <c r="V73" s="1611"/>
      <c r="W73" s="1610"/>
      <c r="X73" s="1611"/>
      <c r="Y73" s="1586"/>
    </row>
    <row r="74" spans="1:25" ht="15" x14ac:dyDescent="0.25">
      <c r="A74" s="1683"/>
      <c r="B74" s="1684"/>
      <c r="C74" s="1709">
        <v>6</v>
      </c>
      <c r="D74" s="1710" t="s">
        <v>1060</v>
      </c>
      <c r="E74" s="1710"/>
      <c r="F74" s="1710"/>
      <c r="G74" s="1710"/>
      <c r="H74" s="1710"/>
      <c r="I74" s="1739"/>
      <c r="J74" s="1854">
        <f t="shared" si="4"/>
        <v>0</v>
      </c>
      <c r="K74" s="1858">
        <f>SUM(K75:K77)</f>
        <v>0</v>
      </c>
      <c r="L74" s="2496">
        <f t="shared" si="5"/>
        <v>0</v>
      </c>
      <c r="M74" s="1858">
        <f>SUM(M75:M77)</f>
        <v>0</v>
      </c>
      <c r="N74" s="2496">
        <f t="shared" si="6"/>
        <v>0</v>
      </c>
      <c r="O74" s="1858">
        <f>SUM(O75:O77)</f>
        <v>0</v>
      </c>
      <c r="P74" s="1597" t="e">
        <f t="shared" si="7"/>
        <v>#DIV/0!</v>
      </c>
      <c r="Q74" s="1598">
        <f>SUM(Q75:Q76)</f>
        <v>0</v>
      </c>
      <c r="R74" s="1587"/>
      <c r="S74" s="1601"/>
      <c r="T74" s="1601"/>
      <c r="U74" s="1611"/>
      <c r="V74" s="1611"/>
      <c r="W74" s="1610"/>
      <c r="X74" s="1611"/>
      <c r="Y74" s="1586"/>
    </row>
    <row r="75" spans="1:25" x14ac:dyDescent="0.2">
      <c r="A75" s="1683"/>
      <c r="B75" s="1684"/>
      <c r="C75" s="1705"/>
      <c r="D75" s="1722" t="s">
        <v>1305</v>
      </c>
      <c r="E75" s="1722"/>
      <c r="F75" s="1722"/>
      <c r="G75" s="1722"/>
      <c r="H75" s="1722"/>
      <c r="I75" s="1708" t="s">
        <v>1061</v>
      </c>
      <c r="J75" s="1853">
        <f t="shared" si="4"/>
        <v>0</v>
      </c>
      <c r="K75" s="742">
        <v>0</v>
      </c>
      <c r="L75" s="2495">
        <f t="shared" si="5"/>
        <v>0</v>
      </c>
      <c r="M75" s="742">
        <v>0</v>
      </c>
      <c r="N75" s="2495">
        <f t="shared" si="6"/>
        <v>0</v>
      </c>
      <c r="O75" s="742">
        <v>0</v>
      </c>
      <c r="P75" s="1596" t="e">
        <f t="shared" si="7"/>
        <v>#DIV/0!</v>
      </c>
      <c r="Q75" s="742">
        <v>0</v>
      </c>
      <c r="R75" s="1587"/>
      <c r="S75" s="1601"/>
      <c r="T75" s="1601"/>
      <c r="U75" s="1611"/>
      <c r="V75" s="1611"/>
      <c r="W75" s="1615">
        <f>K75-M75</f>
        <v>0</v>
      </c>
      <c r="X75" s="1625" t="e">
        <f>W75/M75</f>
        <v>#DIV/0!</v>
      </c>
      <c r="Y75" s="1586"/>
    </row>
    <row r="76" spans="1:25" x14ac:dyDescent="0.2">
      <c r="A76" s="1683"/>
      <c r="B76" s="1684"/>
      <c r="C76" s="1705"/>
      <c r="D76" s="2637" t="s">
        <v>1281</v>
      </c>
      <c r="E76" s="2638"/>
      <c r="F76" s="2638"/>
      <c r="G76" s="1722"/>
      <c r="H76" s="1722"/>
      <c r="I76" s="1708" t="s">
        <v>1062</v>
      </c>
      <c r="J76" s="1853">
        <f t="shared" si="4"/>
        <v>0</v>
      </c>
      <c r="K76" s="742">
        <v>0</v>
      </c>
      <c r="L76" s="2495">
        <f t="shared" si="5"/>
        <v>0</v>
      </c>
      <c r="M76" s="742">
        <v>0</v>
      </c>
      <c r="N76" s="2495">
        <f t="shared" si="6"/>
        <v>0</v>
      </c>
      <c r="O76" s="742">
        <v>0</v>
      </c>
      <c r="P76" s="1596" t="e">
        <f t="shared" si="7"/>
        <v>#DIV/0!</v>
      </c>
      <c r="Q76" s="742">
        <v>0</v>
      </c>
      <c r="R76" s="1587"/>
      <c r="S76" s="1601"/>
      <c r="T76" s="1601"/>
      <c r="U76" s="1626"/>
      <c r="V76" s="1611"/>
      <c r="W76" s="1610"/>
      <c r="X76" s="1611"/>
      <c r="Y76" s="1586"/>
    </row>
    <row r="77" spans="1:25" x14ac:dyDescent="0.2">
      <c r="A77" s="1683"/>
      <c r="B77" s="1684"/>
      <c r="C77" s="1705">
        <v>7</v>
      </c>
      <c r="D77" s="1722" t="s">
        <v>1278</v>
      </c>
      <c r="E77" s="1722"/>
      <c r="F77" s="1722"/>
      <c r="G77" s="1722"/>
      <c r="H77" s="1722"/>
      <c r="I77" s="1708" t="s">
        <v>1063</v>
      </c>
      <c r="J77" s="1853">
        <f t="shared" si="4"/>
        <v>0</v>
      </c>
      <c r="K77" s="742">
        <v>0</v>
      </c>
      <c r="L77" s="2495">
        <f t="shared" si="5"/>
        <v>0</v>
      </c>
      <c r="M77" s="742">
        <v>0</v>
      </c>
      <c r="N77" s="2495">
        <f t="shared" si="6"/>
        <v>0</v>
      </c>
      <c r="O77" s="742">
        <v>0</v>
      </c>
      <c r="P77" s="1596" t="e">
        <f t="shared" si="7"/>
        <v>#DIV/0!</v>
      </c>
      <c r="Q77" s="742">
        <v>0</v>
      </c>
      <c r="R77" s="1587"/>
      <c r="S77" s="1601"/>
      <c r="T77" s="1601"/>
      <c r="U77" s="1611"/>
      <c r="V77" s="1611"/>
      <c r="W77" s="1610"/>
      <c r="X77" s="1611"/>
      <c r="Y77" s="1586"/>
    </row>
    <row r="78" spans="1:25" ht="15" x14ac:dyDescent="0.25">
      <c r="A78" s="1683"/>
      <c r="B78" s="1684"/>
      <c r="C78" s="1709">
        <v>8</v>
      </c>
      <c r="D78" s="1710" t="s">
        <v>1064</v>
      </c>
      <c r="E78" s="1710"/>
      <c r="F78" s="1710"/>
      <c r="G78" s="1710"/>
      <c r="H78" s="1710"/>
      <c r="I78" s="1739"/>
      <c r="J78" s="1854">
        <f t="shared" si="4"/>
        <v>0.50380627366848352</v>
      </c>
      <c r="K78" s="1858">
        <f>+K84+K79-K80+K81-K82+K83+K85+K86+K87+K88+K89+K90+K91+K92+K93</f>
        <v>34548963146.449997</v>
      </c>
      <c r="L78" s="2498">
        <f t="shared" si="5"/>
        <v>0.49827558833005636</v>
      </c>
      <c r="M78" s="1858">
        <f>+M84+M79-M80+M81-M82+M83+M85+M86+M87+M88+M89+M90+M91+M92+M93</f>
        <v>32666815154.439999</v>
      </c>
      <c r="N78" s="2498">
        <f t="shared" si="6"/>
        <v>0.46758540129751086</v>
      </c>
      <c r="O78" s="1858">
        <f>+O84+O79-O80+O81-O82+O83+O85+O86+O87+O88+O89+O90+O91+O92+O93</f>
        <v>28118397588</v>
      </c>
      <c r="P78" s="1627" t="e">
        <f t="shared" si="7"/>
        <v>#DIV/0!</v>
      </c>
      <c r="Q78" s="1598">
        <f>+Q84+Q79-Q80+Q81-Q82+Q83+Q85+Q86+Q87+Q88+Q89+Q90-Q91+Q92+Q93</f>
        <v>0</v>
      </c>
      <c r="R78" s="1587"/>
      <c r="S78" s="1601"/>
      <c r="T78" s="1605"/>
      <c r="U78" s="1611"/>
      <c r="V78" s="1611"/>
      <c r="W78" s="1615">
        <f>K78-M78</f>
        <v>1882147992.0099983</v>
      </c>
      <c r="X78" s="1620">
        <f>W78/M78</f>
        <v>5.7616513367210853E-2</v>
      </c>
      <c r="Y78" s="1586"/>
    </row>
    <row r="79" spans="1:25" x14ac:dyDescent="0.2">
      <c r="A79" s="1683"/>
      <c r="B79" s="1684"/>
      <c r="C79" s="1705"/>
      <c r="D79" s="1722" t="s">
        <v>1315</v>
      </c>
      <c r="E79" s="1722"/>
      <c r="F79" s="1722"/>
      <c r="G79" s="1722"/>
      <c r="H79" s="1722"/>
      <c r="I79" s="1708" t="s">
        <v>1065</v>
      </c>
      <c r="J79" s="1853">
        <v>0</v>
      </c>
      <c r="K79" s="742">
        <v>20000000000</v>
      </c>
      <c r="L79" s="2495">
        <v>0</v>
      </c>
      <c r="M79" s="742">
        <v>20000000000</v>
      </c>
      <c r="N79" s="2495">
        <v>0</v>
      </c>
      <c r="O79" s="742">
        <v>20000000000</v>
      </c>
      <c r="P79" s="1596">
        <v>0</v>
      </c>
      <c r="Q79" s="742">
        <v>0</v>
      </c>
      <c r="R79" s="1587"/>
      <c r="S79" s="1603"/>
      <c r="T79" s="1601"/>
      <c r="U79" s="1611"/>
      <c r="V79" s="1611"/>
      <c r="W79" s="1610"/>
      <c r="X79" s="1611"/>
      <c r="Y79" s="1586"/>
    </row>
    <row r="80" spans="1:25" x14ac:dyDescent="0.2">
      <c r="A80" s="1683"/>
      <c r="B80" s="1684"/>
      <c r="C80" s="1705"/>
      <c r="D80" s="1722" t="s">
        <v>1316</v>
      </c>
      <c r="E80" s="1722"/>
      <c r="F80" s="1722"/>
      <c r="G80" s="1722"/>
      <c r="H80" s="1722"/>
      <c r="I80" s="1708" t="s">
        <v>1066</v>
      </c>
      <c r="J80" s="1853">
        <v>0</v>
      </c>
      <c r="K80" s="752">
        <v>85515277</v>
      </c>
      <c r="L80" s="2495">
        <v>0</v>
      </c>
      <c r="M80" s="752">
        <v>85515277</v>
      </c>
      <c r="N80" s="2495">
        <v>0</v>
      </c>
      <c r="O80" s="752">
        <v>3866449003</v>
      </c>
      <c r="P80" s="1596">
        <v>0</v>
      </c>
      <c r="Q80" s="752">
        <v>0</v>
      </c>
      <c r="R80" s="1587"/>
      <c r="S80" s="1601"/>
      <c r="T80" s="1601"/>
      <c r="U80" s="1611"/>
      <c r="V80" s="1611"/>
      <c r="W80" s="1610"/>
      <c r="X80" s="1611"/>
      <c r="Y80" s="1586"/>
    </row>
    <row r="81" spans="1:25" x14ac:dyDescent="0.2">
      <c r="A81" s="1683"/>
      <c r="B81" s="1684"/>
      <c r="C81" s="1705"/>
      <c r="D81" s="1722" t="s">
        <v>1067</v>
      </c>
      <c r="E81" s="1722"/>
      <c r="F81" s="1722"/>
      <c r="G81" s="1722"/>
      <c r="H81" s="1722"/>
      <c r="I81" s="1708" t="s">
        <v>1068</v>
      </c>
      <c r="J81" s="1853">
        <f t="shared" ref="J81:J93" si="8">K81/$K$95</f>
        <v>0</v>
      </c>
      <c r="K81" s="741"/>
      <c r="L81" s="2495">
        <f t="shared" ref="L81:L90" si="9">M81/$M$95</f>
        <v>0</v>
      </c>
      <c r="M81" s="741">
        <v>0</v>
      </c>
      <c r="N81" s="2495">
        <f t="shared" ref="N81:N92" si="10">O81/$O$95</f>
        <v>0</v>
      </c>
      <c r="O81" s="741"/>
      <c r="P81" s="1596" t="e">
        <f t="shared" ref="P81:P93" si="11">Q81/$Q$95</f>
        <v>#DIV/0!</v>
      </c>
      <c r="Q81" s="742">
        <v>0</v>
      </c>
      <c r="R81" s="1587"/>
      <c r="S81" s="1601"/>
      <c r="T81" s="1601"/>
      <c r="U81" s="1611"/>
      <c r="V81" s="1611"/>
      <c r="W81" s="1610"/>
      <c r="X81" s="1611"/>
      <c r="Y81" s="1586"/>
    </row>
    <row r="82" spans="1:25" x14ac:dyDescent="0.2">
      <c r="A82" s="1683"/>
      <c r="B82" s="1684"/>
      <c r="C82" s="1705"/>
      <c r="D82" s="1722" t="s">
        <v>1069</v>
      </c>
      <c r="E82" s="1722"/>
      <c r="F82" s="1722"/>
      <c r="G82" s="1722"/>
      <c r="H82" s="1722"/>
      <c r="I82" s="1708" t="s">
        <v>1070</v>
      </c>
      <c r="J82" s="1853">
        <f t="shared" si="8"/>
        <v>0</v>
      </c>
      <c r="K82" s="741"/>
      <c r="L82" s="2495">
        <f t="shared" si="9"/>
        <v>0</v>
      </c>
      <c r="M82" s="741">
        <v>0</v>
      </c>
      <c r="N82" s="2495">
        <f t="shared" si="10"/>
        <v>0</v>
      </c>
      <c r="O82" s="741"/>
      <c r="P82" s="1596" t="e">
        <f t="shared" si="11"/>
        <v>#DIV/0!</v>
      </c>
      <c r="Q82" s="752">
        <v>0</v>
      </c>
      <c r="R82" s="1587"/>
      <c r="S82" s="1601"/>
      <c r="T82" s="1601"/>
      <c r="U82" s="1611"/>
      <c r="V82" s="1611"/>
      <c r="W82" s="1610"/>
      <c r="X82" s="1611"/>
      <c r="Y82" s="1586"/>
    </row>
    <row r="83" spans="1:25" x14ac:dyDescent="0.2">
      <c r="A83" s="1683"/>
      <c r="B83" s="1684"/>
      <c r="C83" s="1705"/>
      <c r="D83" s="1722" t="s">
        <v>1317</v>
      </c>
      <c r="E83" s="1722"/>
      <c r="F83" s="1722"/>
      <c r="G83" s="1722"/>
      <c r="H83" s="1722"/>
      <c r="I83" s="1708" t="s">
        <v>1071</v>
      </c>
      <c r="J83" s="1853">
        <f t="shared" si="8"/>
        <v>0</v>
      </c>
      <c r="K83" s="741"/>
      <c r="L83" s="2495">
        <f t="shared" si="9"/>
        <v>0</v>
      </c>
      <c r="M83" s="741">
        <v>0</v>
      </c>
      <c r="N83" s="2495">
        <f t="shared" si="10"/>
        <v>0</v>
      </c>
      <c r="O83" s="741"/>
      <c r="P83" s="1596" t="e">
        <f t="shared" si="11"/>
        <v>#DIV/0!</v>
      </c>
      <c r="Q83" s="742">
        <v>0</v>
      </c>
      <c r="R83" s="1587"/>
      <c r="S83" s="1601"/>
      <c r="T83" s="1601"/>
      <c r="U83" s="1620"/>
      <c r="V83" s="1611"/>
      <c r="W83" s="1610"/>
      <c r="X83" s="1611"/>
      <c r="Y83" s="1586"/>
    </row>
    <row r="84" spans="1:25" x14ac:dyDescent="0.2">
      <c r="A84" s="1683"/>
      <c r="B84" s="1684"/>
      <c r="C84" s="1705"/>
      <c r="D84" s="1722" t="s">
        <v>1284</v>
      </c>
      <c r="E84" s="1722"/>
      <c r="F84" s="1722"/>
      <c r="G84" s="1722"/>
      <c r="H84" s="1722"/>
      <c r="I84" s="1708" t="s">
        <v>1072</v>
      </c>
      <c r="J84" s="1853">
        <f t="shared" si="8"/>
        <v>0</v>
      </c>
      <c r="K84" s="741"/>
      <c r="L84" s="2495">
        <f t="shared" si="9"/>
        <v>0</v>
      </c>
      <c r="M84" s="741">
        <v>0</v>
      </c>
      <c r="N84" s="2495">
        <f t="shared" si="10"/>
        <v>0</v>
      </c>
      <c r="O84" s="741"/>
      <c r="P84" s="1596" t="e">
        <f t="shared" si="11"/>
        <v>#DIV/0!</v>
      </c>
      <c r="Q84" s="742">
        <v>0</v>
      </c>
      <c r="R84" s="1587"/>
      <c r="S84" s="1601"/>
      <c r="T84" s="1601"/>
      <c r="U84" s="1611"/>
      <c r="V84" s="1611"/>
      <c r="W84" s="1610"/>
      <c r="X84" s="1611"/>
      <c r="Y84" s="1586"/>
    </row>
    <row r="85" spans="1:25" x14ac:dyDescent="0.2">
      <c r="A85" s="1683"/>
      <c r="B85" s="1684"/>
      <c r="C85" s="1705"/>
      <c r="D85" s="1722" t="s">
        <v>1073</v>
      </c>
      <c r="E85" s="1722"/>
      <c r="F85" s="1722"/>
      <c r="G85" s="1722"/>
      <c r="H85" s="1722"/>
      <c r="I85" s="1708" t="s">
        <v>1074</v>
      </c>
      <c r="J85" s="1853">
        <f t="shared" si="8"/>
        <v>0</v>
      </c>
      <c r="K85" s="741"/>
      <c r="L85" s="2495">
        <f t="shared" si="9"/>
        <v>0</v>
      </c>
      <c r="M85" s="741">
        <v>0</v>
      </c>
      <c r="N85" s="2495">
        <f t="shared" si="10"/>
        <v>0</v>
      </c>
      <c r="O85" s="741"/>
      <c r="P85" s="1596" t="e">
        <f t="shared" si="11"/>
        <v>#DIV/0!</v>
      </c>
      <c r="Q85" s="742">
        <v>0</v>
      </c>
      <c r="R85" s="1587"/>
      <c r="S85" s="1601"/>
      <c r="T85" s="1601"/>
      <c r="U85" s="1611"/>
      <c r="V85" s="1611"/>
      <c r="W85" s="1610"/>
      <c r="X85" s="1611"/>
      <c r="Y85" s="1586"/>
    </row>
    <row r="86" spans="1:25" x14ac:dyDescent="0.2">
      <c r="A86" s="1683"/>
      <c r="B86" s="1684"/>
      <c r="C86" s="1705"/>
      <c r="D86" s="1722" t="s">
        <v>1075</v>
      </c>
      <c r="E86" s="1722"/>
      <c r="F86" s="1722"/>
      <c r="G86" s="1722"/>
      <c r="H86" s="1722"/>
      <c r="I86" s="1708" t="s">
        <v>1076</v>
      </c>
      <c r="J86" s="1853">
        <f t="shared" si="8"/>
        <v>0</v>
      </c>
      <c r="K86" s="741"/>
      <c r="L86" s="2495">
        <f t="shared" si="9"/>
        <v>0</v>
      </c>
      <c r="M86" s="741">
        <v>0</v>
      </c>
      <c r="N86" s="2495">
        <f t="shared" si="10"/>
        <v>0</v>
      </c>
      <c r="O86" s="741"/>
      <c r="P86" s="1596" t="e">
        <f t="shared" si="11"/>
        <v>#DIV/0!</v>
      </c>
      <c r="Q86" s="742">
        <v>0</v>
      </c>
      <c r="R86" s="1587"/>
      <c r="S86" s="1601"/>
      <c r="T86" s="1601"/>
      <c r="U86" s="1620"/>
      <c r="V86" s="1611"/>
      <c r="W86" s="1610"/>
      <c r="X86" s="1611"/>
      <c r="Y86" s="1586"/>
    </row>
    <row r="87" spans="1:25" x14ac:dyDescent="0.2">
      <c r="A87" s="1683"/>
      <c r="B87" s="1684"/>
      <c r="C87" s="1705"/>
      <c r="D87" s="1722" t="s">
        <v>1077</v>
      </c>
      <c r="E87" s="1722"/>
      <c r="F87" s="1722"/>
      <c r="G87" s="1722"/>
      <c r="H87" s="1722"/>
      <c r="I87" s="1708" t="s">
        <v>1078</v>
      </c>
      <c r="J87" s="1853">
        <f t="shared" si="8"/>
        <v>5.7070266413979186E-2</v>
      </c>
      <c r="K87" s="741">
        <v>3913644260</v>
      </c>
      <c r="L87" s="2495">
        <f t="shared" si="9"/>
        <v>5.9695853022298642E-2</v>
      </c>
      <c r="M87" s="741">
        <v>3913644260</v>
      </c>
      <c r="N87" s="2495">
        <f t="shared" si="10"/>
        <v>5.6252941758806151E-2</v>
      </c>
      <c r="O87" s="741">
        <v>3382788636</v>
      </c>
      <c r="P87" s="1596" t="e">
        <f t="shared" si="11"/>
        <v>#DIV/0!</v>
      </c>
      <c r="Q87" s="742">
        <v>0</v>
      </c>
      <c r="R87" s="1587"/>
      <c r="S87" s="1601"/>
      <c r="T87" s="1601"/>
      <c r="U87" s="1611"/>
      <c r="V87" s="1611"/>
      <c r="W87" s="1614"/>
      <c r="X87" s="1611"/>
      <c r="Y87" s="1586"/>
    </row>
    <row r="88" spans="1:25" x14ac:dyDescent="0.2">
      <c r="A88" s="1683"/>
      <c r="B88" s="1684"/>
      <c r="C88" s="1705"/>
      <c r="D88" s="1722" t="s">
        <v>1079</v>
      </c>
      <c r="E88" s="1722"/>
      <c r="F88" s="1722"/>
      <c r="G88" s="1722"/>
      <c r="H88" s="1722"/>
      <c r="I88" s="1708" t="s">
        <v>1080</v>
      </c>
      <c r="J88" s="1853">
        <f t="shared" si="8"/>
        <v>5.5768250090406764E-2</v>
      </c>
      <c r="K88" s="741">
        <v>3824357333</v>
      </c>
      <c r="L88" s="2495">
        <f t="shared" si="9"/>
        <v>5.8333935863531458E-2</v>
      </c>
      <c r="M88" s="741">
        <v>3824357333</v>
      </c>
      <c r="N88" s="2495">
        <f t="shared" si="10"/>
        <v>5.4768174945147692E-2</v>
      </c>
      <c r="O88" s="741">
        <v>3293501709</v>
      </c>
      <c r="P88" s="1596" t="e">
        <f t="shared" si="11"/>
        <v>#DIV/0!</v>
      </c>
      <c r="Q88" s="742">
        <v>0</v>
      </c>
      <c r="R88" s="1587"/>
      <c r="S88" s="1601"/>
      <c r="T88" s="1601"/>
      <c r="U88" s="1611"/>
      <c r="V88" s="1611"/>
      <c r="W88" s="1614"/>
      <c r="X88" s="1611"/>
      <c r="Y88" s="1586"/>
    </row>
    <row r="89" spans="1:25" x14ac:dyDescent="0.2">
      <c r="A89" s="1683"/>
      <c r="B89" s="1684"/>
      <c r="C89" s="1705"/>
      <c r="D89" s="1722" t="s">
        <v>1081</v>
      </c>
      <c r="E89" s="1722"/>
      <c r="F89" s="1722"/>
      <c r="G89" s="1722"/>
      <c r="H89" s="1722"/>
      <c r="I89" s="1708" t="s">
        <v>1082</v>
      </c>
      <c r="J89" s="1853">
        <f t="shared" si="8"/>
        <v>0</v>
      </c>
      <c r="K89" s="753">
        <v>0</v>
      </c>
      <c r="L89" s="2495">
        <f t="shared" si="9"/>
        <v>0</v>
      </c>
      <c r="M89" s="753">
        <v>0</v>
      </c>
      <c r="N89" s="2495">
        <f t="shared" si="10"/>
        <v>0</v>
      </c>
      <c r="O89" s="753">
        <v>0</v>
      </c>
      <c r="P89" s="1596" t="e">
        <f t="shared" si="11"/>
        <v>#DIV/0!</v>
      </c>
      <c r="Q89" s="742">
        <v>0</v>
      </c>
      <c r="R89" s="1587"/>
      <c r="S89" s="1601"/>
      <c r="T89" s="1601"/>
      <c r="U89" s="1611"/>
      <c r="V89" s="1611"/>
      <c r="W89" s="1614"/>
      <c r="X89" s="1611"/>
      <c r="Y89" s="1586"/>
    </row>
    <row r="90" spans="1:25" x14ac:dyDescent="0.2">
      <c r="A90" s="1683"/>
      <c r="B90" s="1684"/>
      <c r="C90" s="1705"/>
      <c r="D90" s="1722" t="s">
        <v>1083</v>
      </c>
      <c r="E90" s="1722"/>
      <c r="F90" s="1722"/>
      <c r="G90" s="1722"/>
      <c r="H90" s="1722"/>
      <c r="I90" s="1708" t="s">
        <v>1084</v>
      </c>
      <c r="J90" s="1853">
        <f t="shared" si="8"/>
        <v>0</v>
      </c>
      <c r="K90" s="753">
        <v>0</v>
      </c>
      <c r="L90" s="2495">
        <f t="shared" si="9"/>
        <v>0</v>
      </c>
      <c r="M90" s="753">
        <v>0</v>
      </c>
      <c r="N90" s="2495">
        <f t="shared" si="10"/>
        <v>0</v>
      </c>
      <c r="O90" s="753">
        <v>0</v>
      </c>
      <c r="P90" s="1596" t="e">
        <f t="shared" si="11"/>
        <v>#DIV/0!</v>
      </c>
      <c r="Q90" s="742">
        <v>0</v>
      </c>
      <c r="R90" s="1587"/>
      <c r="S90" s="1601"/>
      <c r="T90" s="1601"/>
      <c r="U90" s="1611"/>
      <c r="V90" s="1611"/>
      <c r="W90" s="1614"/>
      <c r="X90" s="1611"/>
      <c r="Y90" s="1586"/>
    </row>
    <row r="91" spans="1:25" x14ac:dyDescent="0.2">
      <c r="A91" s="1683"/>
      <c r="B91" s="1684"/>
      <c r="C91" s="1705"/>
      <c r="D91" s="1722" t="s">
        <v>1085</v>
      </c>
      <c r="E91" s="1722"/>
      <c r="F91" s="1722"/>
      <c r="G91" s="1722"/>
      <c r="H91" s="1722"/>
      <c r="I91" s="1708" t="s">
        <v>1086</v>
      </c>
      <c r="J91" s="1853">
        <f t="shared" si="8"/>
        <v>6.4629562899832294E-2</v>
      </c>
      <c r="K91" s="741">
        <v>4432029737.4200001</v>
      </c>
      <c r="L91" s="2495">
        <v>0</v>
      </c>
      <c r="M91" s="741">
        <v>0</v>
      </c>
      <c r="N91" s="2495">
        <f t="shared" si="10"/>
        <v>0</v>
      </c>
      <c r="O91" s="741">
        <v>0</v>
      </c>
      <c r="P91" s="1596" t="e">
        <f t="shared" si="11"/>
        <v>#DIV/0!</v>
      </c>
      <c r="Q91" s="752">
        <v>0</v>
      </c>
      <c r="R91" s="1587"/>
      <c r="S91" s="1601"/>
      <c r="T91" s="1601"/>
      <c r="U91" s="1611"/>
      <c r="V91" s="1611"/>
      <c r="W91" s="1614"/>
      <c r="X91" s="1611"/>
      <c r="Y91" s="1586"/>
    </row>
    <row r="92" spans="1:25" x14ac:dyDescent="0.2">
      <c r="A92" s="1683"/>
      <c r="B92" s="1684"/>
      <c r="C92" s="1705"/>
      <c r="D92" s="1722" t="s">
        <v>1087</v>
      </c>
      <c r="E92" s="1722"/>
      <c r="F92" s="1722"/>
      <c r="G92" s="1722"/>
      <c r="H92" s="1722"/>
      <c r="I92" s="1708" t="s">
        <v>1088</v>
      </c>
      <c r="J92" s="1853">
        <f t="shared" si="8"/>
        <v>3.593751573178975E-2</v>
      </c>
      <c r="K92" s="741">
        <v>2464447093.0300002</v>
      </c>
      <c r="L92" s="2495">
        <f>M92/$M$95</f>
        <v>7.6484886581129299E-2</v>
      </c>
      <c r="M92" s="741">
        <f>5014328838.44</f>
        <v>5014328838.4399996</v>
      </c>
      <c r="N92" s="2495">
        <f t="shared" si="10"/>
        <v>8.8276844184593223E-2</v>
      </c>
      <c r="O92" s="741">
        <v>5308556246</v>
      </c>
      <c r="P92" s="1596" t="e">
        <f t="shared" si="11"/>
        <v>#DIV/0!</v>
      </c>
      <c r="Q92" s="742">
        <v>0</v>
      </c>
      <c r="R92" s="1587"/>
      <c r="S92" s="1601"/>
      <c r="T92" s="1601"/>
      <c r="U92" s="1611">
        <v>5000000000</v>
      </c>
      <c r="V92" s="1611"/>
      <c r="W92" s="1614"/>
      <c r="X92" s="1611"/>
      <c r="Y92" s="1586"/>
    </row>
    <row r="93" spans="1:25" x14ac:dyDescent="0.2">
      <c r="A93" s="1683"/>
      <c r="B93" s="1684"/>
      <c r="C93" s="1705"/>
      <c r="D93" s="1722" t="s">
        <v>1089</v>
      </c>
      <c r="E93" s="1722"/>
      <c r="F93" s="1722"/>
      <c r="G93" s="1722"/>
      <c r="H93" s="1722"/>
      <c r="I93" s="1708" t="s">
        <v>1090</v>
      </c>
      <c r="J93" s="1853">
        <f t="shared" si="8"/>
        <v>0</v>
      </c>
      <c r="K93" s="741"/>
      <c r="L93" s="1596">
        <f>M93/$M$95</f>
        <v>0</v>
      </c>
      <c r="M93" s="741">
        <v>0</v>
      </c>
      <c r="N93" s="1596">
        <f t="shared" ref="N93" si="12">O93/$O$95</f>
        <v>0</v>
      </c>
      <c r="O93" s="741">
        <v>0</v>
      </c>
      <c r="P93" s="1596" t="e">
        <f t="shared" si="11"/>
        <v>#DIV/0!</v>
      </c>
      <c r="Q93" s="752">
        <f>IF(Q178&lt;0,Q178,0)</f>
        <v>0</v>
      </c>
      <c r="R93" s="1587"/>
      <c r="S93" s="1601"/>
      <c r="T93" s="1601"/>
      <c r="U93" s="1611">
        <f>U92/2</f>
        <v>2500000000</v>
      </c>
      <c r="V93" s="1611"/>
      <c r="W93" s="1614"/>
      <c r="X93" s="1611"/>
      <c r="Y93" s="1586"/>
    </row>
    <row r="94" spans="1:25" x14ac:dyDescent="0.2">
      <c r="A94" s="1683"/>
      <c r="B94" s="1684"/>
      <c r="C94" s="1729"/>
      <c r="D94" s="1686"/>
      <c r="E94" s="1686"/>
      <c r="F94" s="1686"/>
      <c r="G94" s="1686"/>
      <c r="H94" s="1686"/>
      <c r="I94" s="1701"/>
      <c r="J94" s="1701"/>
      <c r="K94" s="1616"/>
      <c r="L94" s="1617"/>
      <c r="M94" s="1617"/>
      <c r="N94" s="1617"/>
      <c r="O94" s="1617"/>
      <c r="P94" s="1617"/>
      <c r="Q94" s="1617"/>
      <c r="R94" s="1587"/>
      <c r="S94" s="1601"/>
      <c r="T94" s="1601"/>
      <c r="U94" s="1611">
        <f>U93/3</f>
        <v>833333333.33333337</v>
      </c>
      <c r="V94" s="1611"/>
      <c r="W94" s="1614"/>
      <c r="X94" s="1611"/>
      <c r="Y94" s="1586"/>
    </row>
    <row r="95" spans="1:25" ht="15" x14ac:dyDescent="0.25">
      <c r="A95" s="1683"/>
      <c r="B95" s="1700"/>
      <c r="C95" s="1731"/>
      <c r="D95" s="2627" t="s">
        <v>1091</v>
      </c>
      <c r="E95" s="2628"/>
      <c r="F95" s="2628"/>
      <c r="G95" s="2628"/>
      <c r="H95" s="2628"/>
      <c r="I95" s="2629"/>
      <c r="J95" s="1734"/>
      <c r="K95" s="1857">
        <f>SUM(K66:K68)+K69+K65+K74+K78</f>
        <v>68575889091.019997</v>
      </c>
      <c r="L95" s="1857"/>
      <c r="M95" s="1857">
        <f>SUM(M66:M68)+M69+M65+M74+M78</f>
        <v>65559734250.519997</v>
      </c>
      <c r="N95" s="1857"/>
      <c r="O95" s="1857">
        <f>SUM(O66:O68)+O69+O65+O74+O77+O78</f>
        <v>60135319687</v>
      </c>
      <c r="P95" s="1619"/>
      <c r="Q95" s="1619">
        <f>SUM(Q66:Q68)+Q69+Q65+Q74+Q77+Q78</f>
        <v>0</v>
      </c>
      <c r="R95" s="1587"/>
      <c r="S95" s="1601"/>
      <c r="T95" s="1601"/>
      <c r="U95" s="1614"/>
      <c r="V95" s="1620"/>
      <c r="W95" s="1614"/>
      <c r="X95" s="1611"/>
      <c r="Y95" s="1586"/>
    </row>
    <row r="96" spans="1:25" x14ac:dyDescent="0.2">
      <c r="A96" s="1683"/>
      <c r="B96" s="1684"/>
      <c r="C96" s="1685"/>
      <c r="D96" s="1686"/>
      <c r="E96" s="1686"/>
      <c r="F96" s="1686"/>
      <c r="G96" s="1686"/>
      <c r="H96" s="1686"/>
      <c r="I96" s="1686"/>
      <c r="J96" s="1686"/>
      <c r="K96" s="1860"/>
      <c r="L96" s="1861"/>
      <c r="M96" s="1861"/>
      <c r="N96" s="1861"/>
      <c r="O96" s="1861"/>
      <c r="P96" s="1861"/>
      <c r="Q96" s="1861"/>
      <c r="R96" s="1587"/>
      <c r="S96" s="1587"/>
      <c r="T96" s="1587"/>
      <c r="U96" s="1590"/>
      <c r="V96" s="1609"/>
      <c r="W96" s="1612"/>
      <c r="X96" s="1624"/>
      <c r="Y96" s="1586"/>
    </row>
    <row r="97" spans="1:34" s="1179" customFormat="1" ht="15" x14ac:dyDescent="0.25">
      <c r="A97" s="1741"/>
      <c r="B97" s="1742"/>
      <c r="C97" s="1743"/>
      <c r="D97" s="1744" t="s">
        <v>1501</v>
      </c>
      <c r="E97" s="1744"/>
      <c r="F97" s="1744"/>
      <c r="G97" s="1744"/>
      <c r="H97" s="1744"/>
      <c r="I97" s="1744"/>
      <c r="J97" s="1744"/>
      <c r="K97" s="1862">
        <f>+K95-K62</f>
        <v>0</v>
      </c>
      <c r="L97" s="1862"/>
      <c r="M97" s="1862">
        <f>+M95-M62</f>
        <v>0</v>
      </c>
      <c r="N97" s="1862"/>
      <c r="O97" s="1862">
        <f>+O95-O62</f>
        <v>0</v>
      </c>
      <c r="P97" s="1863"/>
      <c r="Q97" s="1863">
        <f>+Q95-Q62</f>
        <v>0</v>
      </c>
      <c r="R97" s="1629"/>
      <c r="S97" s="1629"/>
      <c r="T97" s="1629"/>
      <c r="U97" s="1630">
        <f>O95-U72</f>
        <v>60135319687</v>
      </c>
      <c r="V97" s="1628"/>
      <c r="W97" s="1628"/>
      <c r="X97" s="1631"/>
      <c r="Y97" s="1628"/>
    </row>
    <row r="98" spans="1:34" s="754" customFormat="1" x14ac:dyDescent="0.2">
      <c r="A98" s="1745"/>
      <c r="B98" s="1746"/>
      <c r="C98" s="1747"/>
      <c r="D98" s="1748"/>
      <c r="E98" s="1748"/>
      <c r="F98" s="1748"/>
      <c r="G98" s="1748"/>
      <c r="H98" s="1748"/>
      <c r="I98" s="1748"/>
      <c r="J98" s="1748"/>
      <c r="K98" s="1864"/>
      <c r="L98" s="1865"/>
      <c r="M98" s="1866"/>
      <c r="N98" s="1867"/>
      <c r="O98" s="1865"/>
      <c r="P98" s="1865"/>
      <c r="Q98" s="1865"/>
      <c r="R98" s="1633"/>
      <c r="S98" s="1633"/>
      <c r="T98" s="1633"/>
      <c r="U98" s="1634"/>
      <c r="V98" s="1635"/>
      <c r="W98" s="1636"/>
      <c r="X98" s="1637"/>
      <c r="Y98" s="1632"/>
    </row>
    <row r="99" spans="1:34" ht="15" hidden="1" x14ac:dyDescent="0.25">
      <c r="A99" s="1683"/>
      <c r="B99" s="1684"/>
      <c r="C99" s="1692" t="s">
        <v>1092</v>
      </c>
      <c r="D99" s="1691" t="s">
        <v>1093</v>
      </c>
      <c r="E99" s="1749"/>
      <c r="F99" s="1749"/>
      <c r="G99" s="1749"/>
      <c r="H99" s="1749"/>
      <c r="I99" s="1692"/>
      <c r="J99" s="1692"/>
      <c r="K99" s="2618"/>
      <c r="L99" s="2618"/>
      <c r="M99" s="2618"/>
      <c r="N99" s="2618"/>
      <c r="O99" s="2618"/>
      <c r="P99" s="1693"/>
      <c r="Q99" s="1861"/>
      <c r="R99" s="1587"/>
      <c r="S99" s="1587"/>
      <c r="T99" s="1587"/>
      <c r="U99" s="1590"/>
      <c r="V99" s="1609"/>
      <c r="W99" s="1612"/>
      <c r="X99" s="1624"/>
      <c r="Y99" s="1586"/>
    </row>
    <row r="100" spans="1:34" ht="5.25" hidden="1" customHeight="1" x14ac:dyDescent="0.2">
      <c r="A100" s="1683"/>
      <c r="B100" s="1684"/>
      <c r="C100" s="1750"/>
      <c r="D100" s="1686"/>
      <c r="E100" s="1686"/>
      <c r="F100" s="1686"/>
      <c r="G100" s="1686"/>
      <c r="H100" s="1686"/>
      <c r="I100" s="1686"/>
      <c r="J100" s="1686"/>
      <c r="K100" s="1860"/>
      <c r="L100" s="1861"/>
      <c r="M100" s="1861"/>
      <c r="N100" s="1861"/>
      <c r="O100" s="1861"/>
      <c r="P100" s="1861"/>
      <c r="Q100" s="1861"/>
      <c r="R100" s="1587"/>
      <c r="S100" s="1587"/>
      <c r="T100" s="1587"/>
      <c r="U100" s="1590"/>
      <c r="V100" s="1609"/>
      <c r="W100" s="1612"/>
      <c r="X100" s="1624"/>
      <c r="Y100" s="1586"/>
    </row>
    <row r="101" spans="1:34" ht="15" hidden="1" customHeight="1" x14ac:dyDescent="0.25">
      <c r="A101" s="1683"/>
      <c r="B101" s="1684"/>
      <c r="C101" s="1695" t="s">
        <v>339</v>
      </c>
      <c r="D101" s="2608" t="s">
        <v>1094</v>
      </c>
      <c r="E101" s="2609"/>
      <c r="F101" s="2609"/>
      <c r="G101" s="2609"/>
      <c r="H101" s="2610"/>
      <c r="I101" s="2619" t="s">
        <v>1019</v>
      </c>
      <c r="J101" s="1868"/>
      <c r="K101" s="2621"/>
      <c r="L101" s="2621"/>
      <c r="M101" s="2621"/>
      <c r="N101" s="2621"/>
      <c r="O101" s="2621"/>
      <c r="P101" s="2621"/>
      <c r="Q101" s="2607"/>
      <c r="R101" s="1587"/>
      <c r="S101" s="1587"/>
      <c r="T101" s="1587"/>
      <c r="U101" s="1590"/>
      <c r="V101" s="1609"/>
      <c r="W101" s="1612"/>
      <c r="X101" s="1624"/>
      <c r="Y101" s="1586"/>
    </row>
    <row r="102" spans="1:34" ht="15" hidden="1" x14ac:dyDescent="0.25">
      <c r="A102" s="1683"/>
      <c r="B102" s="1684"/>
      <c r="C102" s="1696"/>
      <c r="D102" s="1751"/>
      <c r="E102" s="1752"/>
      <c r="F102" s="1752"/>
      <c r="G102" s="1752"/>
      <c r="H102" s="1752"/>
      <c r="I102" s="2620"/>
      <c r="J102" s="2606"/>
      <c r="K102" s="2607"/>
      <c r="L102" s="2606"/>
      <c r="M102" s="2607"/>
      <c r="N102" s="2606"/>
      <c r="O102" s="2607"/>
      <c r="P102" s="2606"/>
      <c r="Q102" s="2607"/>
      <c r="R102" s="1587"/>
      <c r="S102" s="1587"/>
      <c r="T102" s="1587"/>
      <c r="U102" s="1590"/>
      <c r="V102" s="1609"/>
      <c r="W102" s="1612"/>
      <c r="X102" s="1624"/>
      <c r="Y102" s="1586"/>
    </row>
    <row r="103" spans="1:34" ht="15" hidden="1" x14ac:dyDescent="0.25">
      <c r="A103" s="1683"/>
      <c r="B103" s="1684"/>
      <c r="C103" s="1699"/>
      <c r="D103" s="1700"/>
      <c r="E103" s="1700"/>
      <c r="F103" s="1700"/>
      <c r="G103" s="1700"/>
      <c r="H103" s="1700"/>
      <c r="I103" s="1729"/>
      <c r="J103" s="1729"/>
      <c r="K103" s="1702"/>
      <c r="L103" s="1703"/>
      <c r="M103" s="1704"/>
      <c r="N103" s="1704"/>
      <c r="O103" s="1704"/>
      <c r="P103" s="1704"/>
      <c r="Q103" s="1704"/>
      <c r="R103" s="1587"/>
      <c r="S103" s="1587"/>
      <c r="T103" s="1587"/>
      <c r="U103" s="1590"/>
      <c r="V103" s="1609"/>
      <c r="W103" s="1612"/>
      <c r="X103" s="1624"/>
      <c r="Y103" s="1586"/>
    </row>
    <row r="104" spans="1:34" ht="29.25" hidden="1" customHeight="1" x14ac:dyDescent="0.2">
      <c r="A104" s="1683"/>
      <c r="B104" s="1684"/>
      <c r="C104" s="1727">
        <v>1</v>
      </c>
      <c r="D104" s="2615" t="s">
        <v>1095</v>
      </c>
      <c r="E104" s="2616"/>
      <c r="F104" s="2616"/>
      <c r="G104" s="2616"/>
      <c r="H104" s="2617"/>
      <c r="I104" s="1705">
        <v>320</v>
      </c>
      <c r="J104" s="1705"/>
      <c r="K104" s="1869"/>
      <c r="L104" s="1870"/>
      <c r="M104" s="1870"/>
      <c r="N104" s="1870"/>
      <c r="O104" s="1870"/>
      <c r="P104" s="1870"/>
      <c r="Q104" s="1870"/>
      <c r="R104" s="1587"/>
      <c r="S104" s="1587"/>
      <c r="T104" s="1587"/>
      <c r="U104" s="1590"/>
      <c r="V104" s="1609"/>
      <c r="W104" s="1612"/>
      <c r="X104" s="1624"/>
      <c r="Y104" s="1586"/>
    </row>
    <row r="105" spans="1:34" hidden="1" x14ac:dyDescent="0.2">
      <c r="A105" s="1683"/>
      <c r="B105" s="1684"/>
      <c r="C105" s="1705">
        <v>2</v>
      </c>
      <c r="D105" s="1706" t="s">
        <v>1096</v>
      </c>
      <c r="E105" s="1707"/>
      <c r="F105" s="1707"/>
      <c r="G105" s="1707"/>
      <c r="H105" s="1707"/>
      <c r="I105" s="1705"/>
      <c r="J105" s="1705"/>
      <c r="K105" s="1869"/>
      <c r="L105" s="1870"/>
      <c r="M105" s="1870"/>
      <c r="N105" s="1870"/>
      <c r="O105" s="1870"/>
      <c r="P105" s="1870"/>
      <c r="Q105" s="1870"/>
      <c r="R105" s="1587"/>
      <c r="S105" s="1587"/>
      <c r="T105" s="1587"/>
      <c r="U105" s="1590"/>
      <c r="V105" s="1609"/>
      <c r="W105" s="1612"/>
      <c r="X105" s="1624"/>
      <c r="Y105" s="1586"/>
    </row>
    <row r="106" spans="1:34" hidden="1" x14ac:dyDescent="0.2">
      <c r="A106" s="1683"/>
      <c r="B106" s="1684"/>
      <c r="C106" s="1705"/>
      <c r="D106" s="1706" t="s">
        <v>1097</v>
      </c>
      <c r="E106" s="1707"/>
      <c r="F106" s="1707"/>
      <c r="G106" s="1707"/>
      <c r="H106" s="1707"/>
      <c r="I106" s="1705">
        <v>331</v>
      </c>
      <c r="J106" s="1705"/>
      <c r="K106" s="1869"/>
      <c r="L106" s="1870"/>
      <c r="M106" s="1870"/>
      <c r="N106" s="1870"/>
      <c r="O106" s="1870"/>
      <c r="P106" s="1870"/>
      <c r="Q106" s="1870"/>
      <c r="R106" s="1587"/>
      <c r="S106" s="1587"/>
      <c r="T106" s="1587"/>
      <c r="U106" s="1590"/>
      <c r="V106" s="1609"/>
      <c r="W106" s="1612"/>
      <c r="X106" s="1624"/>
      <c r="Y106" s="1586"/>
    </row>
    <row r="107" spans="1:34" hidden="1" x14ac:dyDescent="0.2">
      <c r="A107" s="1683"/>
      <c r="B107" s="1684"/>
      <c r="C107" s="1705"/>
      <c r="D107" s="1706" t="s">
        <v>1098</v>
      </c>
      <c r="E107" s="1707"/>
      <c r="F107" s="1707"/>
      <c r="G107" s="1707"/>
      <c r="H107" s="1707"/>
      <c r="I107" s="1705">
        <v>339</v>
      </c>
      <c r="J107" s="1705"/>
      <c r="K107" s="1869"/>
      <c r="L107" s="1870"/>
      <c r="M107" s="1870"/>
      <c r="N107" s="1870"/>
      <c r="O107" s="1870"/>
      <c r="P107" s="1870"/>
      <c r="Q107" s="1870"/>
      <c r="R107" s="1587"/>
      <c r="S107" s="1587"/>
      <c r="T107" s="1587"/>
      <c r="U107" s="1590"/>
      <c r="V107" s="1609"/>
      <c r="W107" s="1612"/>
      <c r="X107" s="1624"/>
      <c r="Y107" s="1586"/>
    </row>
    <row r="108" spans="1:34" s="723" customFormat="1" hidden="1" x14ac:dyDescent="0.2">
      <c r="A108" s="1753"/>
      <c r="B108" s="1684"/>
      <c r="C108" s="1705">
        <v>3</v>
      </c>
      <c r="D108" s="1722" t="s">
        <v>1099</v>
      </c>
      <c r="E108" s="1722"/>
      <c r="F108" s="1722"/>
      <c r="G108" s="1722"/>
      <c r="H108" s="1722"/>
      <c r="I108" s="1721">
        <v>340</v>
      </c>
      <c r="J108" s="1721"/>
      <c r="K108" s="1869"/>
      <c r="L108" s="1870"/>
      <c r="M108" s="1870"/>
      <c r="N108" s="1870"/>
      <c r="O108" s="1870"/>
      <c r="P108" s="1870"/>
      <c r="Q108" s="1870"/>
      <c r="R108" s="1587"/>
      <c r="S108" s="1587"/>
      <c r="T108" s="1587"/>
      <c r="U108" s="1590"/>
      <c r="V108" s="1609"/>
      <c r="W108" s="1612"/>
      <c r="X108" s="1624"/>
      <c r="Y108" s="1586"/>
      <c r="Z108" s="719"/>
      <c r="AA108" s="719"/>
      <c r="AB108" s="719"/>
      <c r="AC108" s="719"/>
      <c r="AD108" s="719"/>
      <c r="AE108" s="719"/>
      <c r="AF108" s="719"/>
      <c r="AG108" s="719"/>
      <c r="AH108" s="719"/>
    </row>
    <row r="109" spans="1:34" s="723" customFormat="1" hidden="1" x14ac:dyDescent="0.2">
      <c r="A109" s="1753"/>
      <c r="B109" s="1684"/>
      <c r="C109" s="1705">
        <v>4</v>
      </c>
      <c r="D109" s="1707" t="s">
        <v>1100</v>
      </c>
      <c r="E109" s="1707"/>
      <c r="F109" s="1707"/>
      <c r="G109" s="1707"/>
      <c r="H109" s="1707"/>
      <c r="I109" s="1705">
        <v>350</v>
      </c>
      <c r="J109" s="1705"/>
      <c r="K109" s="1869"/>
      <c r="L109" s="1870"/>
      <c r="M109" s="1870"/>
      <c r="N109" s="1870"/>
      <c r="O109" s="1870"/>
      <c r="P109" s="1870"/>
      <c r="Q109" s="1870"/>
      <c r="R109" s="1587"/>
      <c r="S109" s="1587"/>
      <c r="T109" s="1587"/>
      <c r="U109" s="1590"/>
      <c r="V109" s="1609"/>
      <c r="W109" s="1612"/>
      <c r="X109" s="1624"/>
      <c r="Y109" s="1586"/>
      <c r="Z109" s="719"/>
      <c r="AA109" s="719"/>
      <c r="AB109" s="719"/>
      <c r="AC109" s="719"/>
      <c r="AD109" s="719"/>
      <c r="AE109" s="719"/>
      <c r="AF109" s="719"/>
      <c r="AG109" s="719"/>
      <c r="AH109" s="719"/>
    </row>
    <row r="110" spans="1:34" s="723" customFormat="1" hidden="1" x14ac:dyDescent="0.2">
      <c r="A110" s="1753"/>
      <c r="B110" s="1684"/>
      <c r="C110" s="1705">
        <v>5</v>
      </c>
      <c r="D110" s="1707" t="s">
        <v>1101</v>
      </c>
      <c r="E110" s="1707"/>
      <c r="F110" s="1707"/>
      <c r="G110" s="1707"/>
      <c r="H110" s="1707"/>
      <c r="I110" s="1705">
        <v>360</v>
      </c>
      <c r="J110" s="1705"/>
      <c r="K110" s="1869"/>
      <c r="L110" s="1870"/>
      <c r="M110" s="1870"/>
      <c r="N110" s="1870"/>
      <c r="O110" s="1870"/>
      <c r="P110" s="1870"/>
      <c r="Q110" s="1870"/>
      <c r="R110" s="1587"/>
      <c r="S110" s="1587"/>
      <c r="T110" s="1587"/>
      <c r="U110" s="1590"/>
      <c r="V110" s="1609"/>
      <c r="W110" s="1612"/>
      <c r="X110" s="1624"/>
      <c r="Y110" s="1586"/>
      <c r="Z110" s="719"/>
      <c r="AA110" s="719"/>
      <c r="AB110" s="719"/>
      <c r="AC110" s="719"/>
      <c r="AD110" s="719"/>
      <c r="AE110" s="719"/>
      <c r="AF110" s="719"/>
      <c r="AG110" s="719"/>
      <c r="AH110" s="719"/>
    </row>
    <row r="111" spans="1:34" s="723" customFormat="1" hidden="1" x14ac:dyDescent="0.2">
      <c r="A111" s="1753"/>
      <c r="B111" s="1684"/>
      <c r="C111" s="1705">
        <v>6</v>
      </c>
      <c r="D111" s="1707" t="s">
        <v>1102</v>
      </c>
      <c r="E111" s="1707"/>
      <c r="F111" s="1707"/>
      <c r="G111" s="1707"/>
      <c r="H111" s="1707"/>
      <c r="I111" s="1705">
        <v>390</v>
      </c>
      <c r="J111" s="1705"/>
      <c r="K111" s="1869"/>
      <c r="L111" s="1870"/>
      <c r="M111" s="1870"/>
      <c r="N111" s="1870"/>
      <c r="O111" s="1870"/>
      <c r="P111" s="1870"/>
      <c r="Q111" s="1870"/>
      <c r="R111" s="1587"/>
      <c r="S111" s="1587"/>
      <c r="T111" s="1587"/>
      <c r="U111" s="1590"/>
      <c r="V111" s="1609"/>
      <c r="W111" s="1638"/>
      <c r="X111" s="1624"/>
      <c r="Y111" s="1586"/>
      <c r="Z111" s="719"/>
      <c r="AA111" s="719"/>
      <c r="AB111" s="719"/>
      <c r="AC111" s="719"/>
      <c r="AD111" s="719"/>
      <c r="AE111" s="719"/>
      <c r="AF111" s="719"/>
      <c r="AG111" s="719"/>
      <c r="AH111" s="719"/>
    </row>
    <row r="112" spans="1:34" s="723" customFormat="1" hidden="1" x14ac:dyDescent="0.2">
      <c r="A112" s="1753"/>
      <c r="B112" s="1684"/>
      <c r="C112" s="1705"/>
      <c r="D112" s="1725"/>
      <c r="E112" s="1714"/>
      <c r="F112" s="1714"/>
      <c r="G112" s="1714"/>
      <c r="H112" s="1714"/>
      <c r="I112" s="1705"/>
      <c r="J112" s="1705"/>
      <c r="K112" s="1871"/>
      <c r="L112" s="1872"/>
      <c r="M112" s="1872"/>
      <c r="N112" s="1872"/>
      <c r="O112" s="1870"/>
      <c r="P112" s="1870"/>
      <c r="Q112" s="1872"/>
      <c r="R112" s="1587"/>
      <c r="S112" s="1587"/>
      <c r="T112" s="1587"/>
      <c r="U112" s="1590"/>
      <c r="V112" s="1609"/>
      <c r="W112" s="1590"/>
      <c r="X112" s="1624"/>
      <c r="Y112" s="1586"/>
      <c r="Z112" s="719"/>
      <c r="AA112" s="719"/>
      <c r="AB112" s="719"/>
      <c r="AC112" s="719"/>
      <c r="AD112" s="719"/>
      <c r="AE112" s="719"/>
      <c r="AF112" s="719"/>
      <c r="AG112" s="719"/>
      <c r="AH112" s="719"/>
    </row>
    <row r="113" spans="1:34" s="723" customFormat="1" hidden="1" x14ac:dyDescent="0.2">
      <c r="A113" s="1753"/>
      <c r="B113" s="1684"/>
      <c r="C113" s="1705"/>
      <c r="D113" s="1725"/>
      <c r="E113" s="1714"/>
      <c r="F113" s="1714"/>
      <c r="G113" s="1714"/>
      <c r="H113" s="1714"/>
      <c r="I113" s="1705"/>
      <c r="J113" s="1705"/>
      <c r="K113" s="1871"/>
      <c r="L113" s="1872"/>
      <c r="M113" s="1872"/>
      <c r="N113" s="1872"/>
      <c r="O113" s="1870"/>
      <c r="P113" s="1870"/>
      <c r="Q113" s="1872"/>
      <c r="R113" s="1587"/>
      <c r="S113" s="1587"/>
      <c r="T113" s="1587"/>
      <c r="U113" s="1590"/>
      <c r="V113" s="1609"/>
      <c r="W113" s="1638"/>
      <c r="X113" s="1624"/>
      <c r="Y113" s="1586"/>
      <c r="Z113" s="719"/>
      <c r="AA113" s="719"/>
      <c r="AB113" s="719"/>
      <c r="AC113" s="719"/>
      <c r="AD113" s="719"/>
      <c r="AE113" s="719"/>
      <c r="AF113" s="719"/>
      <c r="AG113" s="719"/>
      <c r="AH113" s="719"/>
    </row>
    <row r="114" spans="1:34" s="723" customFormat="1" hidden="1" x14ac:dyDescent="0.2">
      <c r="A114" s="1753"/>
      <c r="B114" s="1684"/>
      <c r="C114" s="1754"/>
      <c r="D114" s="1755"/>
      <c r="E114" s="1756"/>
      <c r="F114" s="1756"/>
      <c r="G114" s="1756"/>
      <c r="H114" s="1756"/>
      <c r="I114" s="1754"/>
      <c r="J114" s="1754"/>
      <c r="K114" s="1873"/>
      <c r="L114" s="1874"/>
      <c r="M114" s="1874"/>
      <c r="N114" s="1874"/>
      <c r="O114" s="1875"/>
      <c r="P114" s="1875"/>
      <c r="Q114" s="1875"/>
      <c r="R114" s="1587"/>
      <c r="S114" s="1587"/>
      <c r="T114" s="1587"/>
      <c r="U114" s="1590"/>
      <c r="V114" s="1609"/>
      <c r="W114" s="1612"/>
      <c r="X114" s="1624"/>
      <c r="Y114" s="1586"/>
      <c r="Z114" s="719"/>
      <c r="AA114" s="719"/>
      <c r="AB114" s="719"/>
      <c r="AC114" s="719"/>
      <c r="AD114" s="719"/>
      <c r="AE114" s="719"/>
      <c r="AF114" s="719"/>
      <c r="AG114" s="719"/>
      <c r="AH114" s="719"/>
    </row>
    <row r="115" spans="1:34" s="723" customFormat="1" hidden="1" x14ac:dyDescent="0.2">
      <c r="A115" s="1753"/>
      <c r="B115" s="1684"/>
      <c r="C115" s="1685"/>
      <c r="D115" s="1686"/>
      <c r="E115" s="1686"/>
      <c r="F115" s="1686"/>
      <c r="G115" s="1686"/>
      <c r="H115" s="1686"/>
      <c r="I115" s="1686"/>
      <c r="J115" s="1686"/>
      <c r="K115" s="1860"/>
      <c r="L115" s="1861"/>
      <c r="M115" s="1861"/>
      <c r="N115" s="1861"/>
      <c r="O115" s="1861"/>
      <c r="P115" s="1861"/>
      <c r="Q115" s="1861"/>
      <c r="R115" s="1587"/>
      <c r="S115" s="1587"/>
      <c r="T115" s="1587"/>
      <c r="U115" s="1590"/>
      <c r="V115" s="1609"/>
      <c r="W115" s="1612"/>
      <c r="X115" s="1624"/>
      <c r="Y115" s="1586"/>
      <c r="Z115" s="719"/>
      <c r="AA115" s="719"/>
      <c r="AB115" s="719"/>
      <c r="AC115" s="719"/>
      <c r="AD115" s="719"/>
      <c r="AE115" s="719"/>
      <c r="AF115" s="719"/>
      <c r="AG115" s="719"/>
      <c r="AH115" s="719"/>
    </row>
    <row r="116" spans="1:34" s="723" customFormat="1" x14ac:dyDescent="0.2">
      <c r="A116" s="1753"/>
      <c r="B116" s="1684"/>
      <c r="C116" s="1685"/>
      <c r="D116" s="1686"/>
      <c r="E116" s="1686"/>
      <c r="F116" s="1686"/>
      <c r="G116" s="1686"/>
      <c r="H116" s="1686"/>
      <c r="I116" s="1686"/>
      <c r="J116" s="1686"/>
      <c r="K116" s="1876"/>
      <c r="L116" s="1877"/>
      <c r="M116" s="1686"/>
      <c r="N116" s="1686"/>
      <c r="O116" s="1686"/>
      <c r="P116" s="1686"/>
      <c r="Q116" s="1686"/>
      <c r="R116" s="1587"/>
      <c r="S116" s="1587"/>
      <c r="T116" s="1587"/>
      <c r="U116" s="1590"/>
      <c r="V116" s="1609"/>
      <c r="W116" s="1612"/>
      <c r="X116" s="1624"/>
      <c r="Y116" s="1586"/>
      <c r="Z116" s="719"/>
      <c r="AA116" s="719"/>
      <c r="AB116" s="719"/>
      <c r="AC116" s="719"/>
      <c r="AD116" s="719"/>
      <c r="AE116" s="719"/>
      <c r="AF116" s="719"/>
      <c r="AG116" s="719"/>
      <c r="AH116" s="719"/>
    </row>
    <row r="117" spans="1:34" s="723" customFormat="1" ht="15" x14ac:dyDescent="0.25">
      <c r="A117" s="1753"/>
      <c r="B117" s="1700"/>
      <c r="C117" s="1692" t="s">
        <v>48</v>
      </c>
      <c r="D117" s="1691" t="s">
        <v>1103</v>
      </c>
      <c r="E117" s="1691"/>
      <c r="F117" s="1691"/>
      <c r="G117" s="1691"/>
      <c r="H117" s="1691"/>
      <c r="I117" s="1692"/>
      <c r="J117" s="1692"/>
      <c r="K117" s="2618" t="str">
        <f>H5</f>
        <v>PD. BPR DOMPU</v>
      </c>
      <c r="L117" s="2618"/>
      <c r="M117" s="2618"/>
      <c r="N117" s="2618"/>
      <c r="O117" s="2618"/>
      <c r="P117" s="1693"/>
      <c r="Q117" s="1694"/>
      <c r="R117" s="1587"/>
      <c r="S117" s="1587"/>
      <c r="T117" s="1587"/>
      <c r="U117" s="1590"/>
      <c r="V117" s="1609"/>
      <c r="W117" s="1612"/>
      <c r="X117" s="1624"/>
      <c r="Y117" s="1586"/>
      <c r="Z117" s="719"/>
      <c r="AA117" s="719"/>
      <c r="AB117" s="719"/>
      <c r="AC117" s="719"/>
      <c r="AD117" s="719"/>
      <c r="AE117" s="719"/>
      <c r="AF117" s="719"/>
      <c r="AG117" s="719"/>
      <c r="AH117" s="719"/>
    </row>
    <row r="118" spans="1:34" s="723" customFormat="1" ht="4.5" customHeight="1" x14ac:dyDescent="0.2">
      <c r="A118" s="1753"/>
      <c r="B118" s="1684"/>
      <c r="C118" s="1686"/>
      <c r="D118" s="1686"/>
      <c r="E118" s="1686"/>
      <c r="F118" s="1686"/>
      <c r="G118" s="1686"/>
      <c r="H118" s="1686"/>
      <c r="I118" s="1686"/>
      <c r="J118" s="1686"/>
      <c r="K118" s="1687"/>
      <c r="L118" s="1686"/>
      <c r="M118" s="1686"/>
      <c r="N118" s="1686"/>
      <c r="O118" s="1686"/>
      <c r="P118" s="1686"/>
      <c r="Q118" s="1686"/>
      <c r="R118" s="1587"/>
      <c r="S118" s="1587"/>
      <c r="T118" s="1587"/>
      <c r="U118" s="1590"/>
      <c r="V118" s="1609"/>
      <c r="W118" s="1612"/>
      <c r="X118" s="1624"/>
      <c r="Y118" s="1586"/>
      <c r="Z118" s="719"/>
      <c r="AA118" s="719"/>
      <c r="AB118" s="719"/>
      <c r="AC118" s="719"/>
      <c r="AD118" s="719"/>
      <c r="AE118" s="719"/>
      <c r="AF118" s="719"/>
      <c r="AG118" s="719"/>
      <c r="AH118" s="719"/>
    </row>
    <row r="119" spans="1:34" s="723" customFormat="1" ht="15" customHeight="1" x14ac:dyDescent="0.25">
      <c r="A119" s="1753"/>
      <c r="B119" s="1684"/>
      <c r="C119" s="1695" t="s">
        <v>339</v>
      </c>
      <c r="D119" s="2608" t="s">
        <v>1094</v>
      </c>
      <c r="E119" s="2609"/>
      <c r="F119" s="2609"/>
      <c r="G119" s="2609"/>
      <c r="H119" s="2610"/>
      <c r="I119" s="2611" t="s">
        <v>1019</v>
      </c>
      <c r="J119" s="1878"/>
      <c r="K119" s="1879"/>
      <c r="L119" s="1880"/>
      <c r="M119" s="1880"/>
      <c r="N119" s="1880"/>
      <c r="O119" s="1880"/>
      <c r="P119" s="1880"/>
      <c r="Q119" s="1881"/>
      <c r="R119" s="1587"/>
      <c r="S119" s="1684"/>
      <c r="T119" s="1684"/>
      <c r="U119" s="1768"/>
      <c r="V119" s="1609"/>
      <c r="W119" s="1612"/>
      <c r="X119" s="1624"/>
      <c r="Y119" s="1586"/>
      <c r="Z119" s="719"/>
      <c r="AA119" s="719"/>
      <c r="AB119" s="719"/>
      <c r="AC119" s="719"/>
      <c r="AD119" s="719"/>
      <c r="AE119" s="719"/>
      <c r="AF119" s="719"/>
      <c r="AG119" s="719"/>
      <c r="AH119" s="719"/>
    </row>
    <row r="120" spans="1:34" s="723" customFormat="1" ht="15" x14ac:dyDescent="0.25">
      <c r="A120" s="1753"/>
      <c r="B120" s="1684"/>
      <c r="C120" s="1696"/>
      <c r="D120" s="1752"/>
      <c r="E120" s="1752"/>
      <c r="F120" s="1752"/>
      <c r="G120" s="1752"/>
      <c r="H120" s="1752"/>
      <c r="I120" s="2612"/>
      <c r="J120" s="2606">
        <f>'CEKLIST 002 (BIO DATA)'!D11</f>
        <v>43281</v>
      </c>
      <c r="K120" s="2607"/>
      <c r="L120" s="2606">
        <f>'CEKLIST 002 (BIO DATA)'!D10</f>
        <v>43100</v>
      </c>
      <c r="M120" s="2607"/>
      <c r="N120" s="2606">
        <f>'CEKLIST 002 (BIO DATA)'!D9</f>
        <v>42735</v>
      </c>
      <c r="O120" s="2607"/>
      <c r="P120" s="2606">
        <f>DATE($F$32,$E$32,$D$32)</f>
        <v>366</v>
      </c>
      <c r="Q120" s="2607"/>
      <c r="R120" s="1587"/>
      <c r="S120" s="2642" t="s">
        <v>1502</v>
      </c>
      <c r="T120" s="2643"/>
      <c r="U120" s="2644"/>
      <c r="V120" s="1609"/>
      <c r="W120" s="1612"/>
      <c r="X120" s="1624"/>
      <c r="Y120" s="1586"/>
      <c r="Z120" s="719"/>
      <c r="AA120" s="719"/>
      <c r="AB120" s="719"/>
      <c r="AC120" s="719"/>
      <c r="AD120" s="719"/>
      <c r="AE120" s="719"/>
      <c r="AF120" s="719"/>
      <c r="AG120" s="719"/>
      <c r="AH120" s="719"/>
    </row>
    <row r="121" spans="1:34" s="723" customFormat="1" ht="14.25" customHeight="1" x14ac:dyDescent="0.2">
      <c r="A121" s="1753"/>
      <c r="B121" s="1684"/>
      <c r="C121" s="1729"/>
      <c r="D121" s="1686"/>
      <c r="E121" s="1686"/>
      <c r="F121" s="1686"/>
      <c r="G121" s="1686"/>
      <c r="H121" s="1686"/>
      <c r="I121" s="1701"/>
      <c r="J121" s="1701"/>
      <c r="K121" s="1882"/>
      <c r="L121" s="1701"/>
      <c r="M121" s="1701"/>
      <c r="N121" s="1701"/>
      <c r="O121" s="1701"/>
      <c r="P121" s="1701"/>
      <c r="Q121" s="1701"/>
      <c r="R121" s="1587"/>
      <c r="S121" s="2645"/>
      <c r="T121" s="2646"/>
      <c r="U121" s="2647"/>
      <c r="V121" s="1609"/>
      <c r="W121" s="1612"/>
      <c r="X121" s="1624"/>
      <c r="Y121" s="1586"/>
      <c r="Z121" s="719"/>
      <c r="AA121" s="719"/>
      <c r="AB121" s="719"/>
      <c r="AC121" s="719"/>
      <c r="AD121" s="719"/>
      <c r="AE121" s="719"/>
      <c r="AF121" s="719"/>
      <c r="AG121" s="719"/>
      <c r="AH121" s="719"/>
    </row>
    <row r="122" spans="1:34" s="723" customFormat="1" ht="15" x14ac:dyDescent="0.25">
      <c r="A122" s="1753"/>
      <c r="B122" s="1700"/>
      <c r="C122" s="1699"/>
      <c r="D122" s="1700" t="s">
        <v>1104</v>
      </c>
      <c r="E122" s="1700"/>
      <c r="F122" s="1700"/>
      <c r="G122" s="1700"/>
      <c r="H122" s="1700"/>
      <c r="I122" s="1757"/>
      <c r="J122" s="1757"/>
      <c r="K122" s="1883"/>
      <c r="L122" s="1757"/>
      <c r="M122" s="1757"/>
      <c r="N122" s="1757"/>
      <c r="O122" s="1757"/>
      <c r="P122" s="1757"/>
      <c r="Q122" s="1757"/>
      <c r="R122" s="1587"/>
      <c r="S122" s="2675" t="str">
        <f>'CEKLIST 002 (BIO DATA)'!A3</f>
        <v>AO Penjaminan I</v>
      </c>
      <c r="T122" s="2676"/>
      <c r="U122" s="2677"/>
      <c r="V122" s="1609"/>
      <c r="W122" s="1612"/>
      <c r="X122" s="1624"/>
      <c r="Y122" s="1586"/>
      <c r="Z122" s="719"/>
      <c r="AA122" s="719"/>
      <c r="AB122" s="719"/>
      <c r="AC122" s="719"/>
      <c r="AD122" s="719"/>
      <c r="AE122" s="719"/>
      <c r="AF122" s="719"/>
      <c r="AG122" s="719"/>
      <c r="AH122" s="719"/>
    </row>
    <row r="123" spans="1:34" s="723" customFormat="1" x14ac:dyDescent="0.2">
      <c r="A123" s="1753"/>
      <c r="B123" s="1684"/>
      <c r="C123" s="1729"/>
      <c r="D123" s="1686"/>
      <c r="E123" s="1686"/>
      <c r="F123" s="1686"/>
      <c r="G123" s="1686"/>
      <c r="H123" s="1686"/>
      <c r="I123" s="1701"/>
      <c r="J123" s="1701"/>
      <c r="K123" s="1882"/>
      <c r="L123" s="1701"/>
      <c r="M123" s="1701"/>
      <c r="N123" s="1701"/>
      <c r="O123" s="1701"/>
      <c r="P123" s="1701"/>
      <c r="Q123" s="1701"/>
      <c r="R123" s="1587"/>
      <c r="S123" s="2678"/>
      <c r="T123" s="2679"/>
      <c r="U123" s="2680"/>
      <c r="V123" s="1609"/>
      <c r="W123" s="1612"/>
      <c r="X123" s="1624"/>
      <c r="Y123" s="1586"/>
      <c r="Z123" s="719"/>
      <c r="AA123" s="719"/>
      <c r="AB123" s="719"/>
      <c r="AC123" s="719"/>
      <c r="AD123" s="719"/>
      <c r="AE123" s="719"/>
      <c r="AF123" s="719"/>
      <c r="AG123" s="719"/>
      <c r="AH123" s="719"/>
    </row>
    <row r="124" spans="1:34" ht="15" x14ac:dyDescent="0.25">
      <c r="A124" s="1683"/>
      <c r="B124" s="1684"/>
      <c r="C124" s="1709" t="s">
        <v>59</v>
      </c>
      <c r="D124" s="1710" t="s">
        <v>1105</v>
      </c>
      <c r="E124" s="1710"/>
      <c r="F124" s="1710"/>
      <c r="G124" s="1710"/>
      <c r="H124" s="1710"/>
      <c r="I124" s="1711"/>
      <c r="J124" s="1884">
        <f t="shared" ref="J124:J129" si="13">K124/$K$132</f>
        <v>0.89323301322545479</v>
      </c>
      <c r="K124" s="1944">
        <f>SUM(K125:K127)</f>
        <v>7561194462.5900002</v>
      </c>
      <c r="L124" s="1884">
        <f t="shared" ref="L124:L129" si="14">M124/$M$132</f>
        <v>0.8733822135062721</v>
      </c>
      <c r="M124" s="1858">
        <f>SUM(M125:M127)</f>
        <v>14399963302.66</v>
      </c>
      <c r="N124" s="1884">
        <f t="shared" ref="N124:N129" si="15">O124/$O$132</f>
        <v>0.87148118859569912</v>
      </c>
      <c r="O124" s="1858">
        <f>SUM(O125:O127)</f>
        <v>13652781453</v>
      </c>
      <c r="P124" s="757" t="e">
        <f t="shared" ref="P124:P129" si="16">Q124/$Q$132</f>
        <v>#DIV/0!</v>
      </c>
      <c r="Q124" s="1598">
        <f>SUM(Q125:Q127)</f>
        <v>0</v>
      </c>
      <c r="R124" s="1587"/>
      <c r="S124" s="1643"/>
      <c r="T124" s="1644"/>
      <c r="U124" s="1645"/>
      <c r="V124" s="1609"/>
      <c r="W124" s="1612"/>
      <c r="X124" s="1624"/>
      <c r="Y124" s="1586"/>
    </row>
    <row r="125" spans="1:34" s="725" customFormat="1" ht="28.5" x14ac:dyDescent="0.25">
      <c r="A125" s="1758"/>
      <c r="B125" s="1759"/>
      <c r="C125" s="1760"/>
      <c r="D125" s="1761" t="s">
        <v>1106</v>
      </c>
      <c r="E125" s="1761" t="s">
        <v>1752</v>
      </c>
      <c r="F125" s="1761"/>
      <c r="G125" s="1761"/>
      <c r="H125" s="1761"/>
      <c r="I125" s="1762" t="s">
        <v>1107</v>
      </c>
      <c r="J125" s="1855">
        <f t="shared" si="13"/>
        <v>8.5001001555585695E-3</v>
      </c>
      <c r="K125" s="759">
        <v>71953129</v>
      </c>
      <c r="L125" s="2499">
        <f t="shared" si="14"/>
        <v>8.1166219111481128E-3</v>
      </c>
      <c r="M125" s="759">
        <v>133823492</v>
      </c>
      <c r="N125" s="2499">
        <f t="shared" si="15"/>
        <v>7.9831236703226584E-3</v>
      </c>
      <c r="O125" s="759">
        <v>125065055</v>
      </c>
      <c r="P125" s="758" t="e">
        <f t="shared" si="16"/>
        <v>#DIV/0!</v>
      </c>
      <c r="Q125" s="759">
        <v>0</v>
      </c>
      <c r="R125" s="1647"/>
      <c r="S125" s="1648"/>
      <c r="T125" s="1649"/>
      <c r="U125" s="1650"/>
      <c r="V125" s="1651"/>
      <c r="W125" s="1652"/>
      <c r="X125" s="1653"/>
      <c r="Y125" s="1646"/>
    </row>
    <row r="126" spans="1:34" ht="15" x14ac:dyDescent="0.25">
      <c r="A126" s="1683"/>
      <c r="B126" s="1684"/>
      <c r="C126" s="1705"/>
      <c r="D126" s="1763" t="s">
        <v>1108</v>
      </c>
      <c r="E126" s="1763" t="s">
        <v>1323</v>
      </c>
      <c r="F126" s="1763"/>
      <c r="G126" s="1722"/>
      <c r="H126" s="1722"/>
      <c r="I126" s="1764" t="s">
        <v>1109</v>
      </c>
      <c r="J126" s="1885">
        <f t="shared" si="13"/>
        <v>0.88473291306989621</v>
      </c>
      <c r="K126" s="743">
        <v>7489241333.5900002</v>
      </c>
      <c r="L126" s="2500">
        <f t="shared" si="14"/>
        <v>0.86526559159512395</v>
      </c>
      <c r="M126" s="744">
        <v>14266139810.66</v>
      </c>
      <c r="N126" s="2500">
        <f t="shared" si="15"/>
        <v>0.86349806492537651</v>
      </c>
      <c r="O126" s="744">
        <v>13527716398</v>
      </c>
      <c r="P126" s="760" t="e">
        <f t="shared" si="16"/>
        <v>#DIV/0!</v>
      </c>
      <c r="Q126" s="744">
        <v>0</v>
      </c>
      <c r="R126" s="1587"/>
      <c r="S126" s="1643"/>
      <c r="T126" s="1644"/>
      <c r="U126" s="1645"/>
      <c r="V126" s="1609"/>
      <c r="W126" s="1612"/>
      <c r="X126" s="1624"/>
      <c r="Y126" s="1586"/>
    </row>
    <row r="127" spans="1:34" ht="15" x14ac:dyDescent="0.25">
      <c r="A127" s="1683"/>
      <c r="B127" s="1684"/>
      <c r="C127" s="1705"/>
      <c r="D127" s="1722" t="s">
        <v>1110</v>
      </c>
      <c r="E127" s="1763" t="s">
        <v>1111</v>
      </c>
      <c r="F127" s="1763"/>
      <c r="G127" s="1763"/>
      <c r="H127" s="1763"/>
      <c r="I127" s="1764" t="s">
        <v>1112</v>
      </c>
      <c r="J127" s="1885">
        <f t="shared" si="13"/>
        <v>0</v>
      </c>
      <c r="K127" s="744">
        <v>0</v>
      </c>
      <c r="L127" s="2500">
        <f t="shared" si="14"/>
        <v>0</v>
      </c>
      <c r="M127" s="744">
        <v>0</v>
      </c>
      <c r="N127" s="2500">
        <f t="shared" si="15"/>
        <v>0</v>
      </c>
      <c r="O127" s="744">
        <v>0</v>
      </c>
      <c r="P127" s="760" t="e">
        <f t="shared" si="16"/>
        <v>#DIV/0!</v>
      </c>
      <c r="Q127" s="744"/>
      <c r="R127" s="1587"/>
      <c r="S127" s="1643"/>
      <c r="T127" s="1644"/>
      <c r="U127" s="1645"/>
      <c r="V127" s="1609"/>
      <c r="W127" s="1612"/>
      <c r="X127" s="1624"/>
      <c r="Y127" s="1586"/>
    </row>
    <row r="128" spans="1:34" s="725" customFormat="1" ht="28.5" x14ac:dyDescent="0.25">
      <c r="A128" s="1758"/>
      <c r="B128" s="1759"/>
      <c r="C128" s="1765" t="s">
        <v>60</v>
      </c>
      <c r="D128" s="1766" t="s">
        <v>1113</v>
      </c>
      <c r="E128" s="1766"/>
      <c r="F128" s="1766"/>
      <c r="G128" s="1766"/>
      <c r="H128" s="1761"/>
      <c r="I128" s="1767" t="s">
        <v>1114</v>
      </c>
      <c r="J128" s="1855">
        <f t="shared" si="13"/>
        <v>5.5503374499119226E-2</v>
      </c>
      <c r="K128" s="744">
        <v>469834636.31999999</v>
      </c>
      <c r="L128" s="2499">
        <f t="shared" si="14"/>
        <v>4.8971218472169079E-2</v>
      </c>
      <c r="M128" s="759">
        <v>807417117.01999998</v>
      </c>
      <c r="N128" s="2499">
        <f t="shared" si="15"/>
        <v>4.4571197023182893E-2</v>
      </c>
      <c r="O128" s="759">
        <v>698260410</v>
      </c>
      <c r="P128" s="758" t="e">
        <f t="shared" si="16"/>
        <v>#DIV/0!</v>
      </c>
      <c r="Q128" s="761">
        <v>0</v>
      </c>
      <c r="R128" s="1647"/>
      <c r="S128" s="1648"/>
      <c r="T128" s="1649"/>
      <c r="U128" s="1650"/>
      <c r="V128" s="1651"/>
      <c r="W128" s="1652"/>
      <c r="X128" s="1653"/>
      <c r="Y128" s="1646"/>
    </row>
    <row r="129" spans="1:34" ht="15" x14ac:dyDescent="0.25">
      <c r="A129" s="1683"/>
      <c r="B129" s="1684"/>
      <c r="C129" s="1705" t="s">
        <v>640</v>
      </c>
      <c r="D129" s="1722" t="s">
        <v>1324</v>
      </c>
      <c r="E129" s="1722"/>
      <c r="F129" s="1722"/>
      <c r="G129" s="1722"/>
      <c r="H129" s="1722"/>
      <c r="I129" s="1764" t="s">
        <v>1115</v>
      </c>
      <c r="J129" s="1885">
        <f t="shared" si="13"/>
        <v>5.1263612275426022E-2</v>
      </c>
      <c r="K129" s="743">
        <v>433945158.24000001</v>
      </c>
      <c r="L129" s="2500">
        <f t="shared" si="14"/>
        <v>7.7646568021558907E-2</v>
      </c>
      <c r="M129" s="744">
        <v>1280204374.21</v>
      </c>
      <c r="N129" s="2500">
        <f t="shared" si="15"/>
        <v>8.394761438111796E-2</v>
      </c>
      <c r="O129" s="744">
        <v>1315138465</v>
      </c>
      <c r="P129" s="760" t="e">
        <f t="shared" si="16"/>
        <v>#DIV/0!</v>
      </c>
      <c r="Q129" s="744">
        <v>0</v>
      </c>
      <c r="R129" s="1587"/>
      <c r="S129" s="1643"/>
      <c r="T129" s="1644"/>
      <c r="U129" s="1645"/>
      <c r="V129" s="1609"/>
      <c r="W129" s="1612"/>
      <c r="X129" s="1624"/>
      <c r="Y129" s="1586"/>
    </row>
    <row r="130" spans="1:34" x14ac:dyDescent="0.2">
      <c r="A130" s="1683"/>
      <c r="B130" s="1684"/>
      <c r="C130" s="1729"/>
      <c r="D130" s="1686"/>
      <c r="E130" s="1686"/>
      <c r="F130" s="1686"/>
      <c r="G130" s="1686"/>
      <c r="H130" s="1686"/>
      <c r="I130" s="1737"/>
      <c r="J130" s="1737"/>
      <c r="K130" s="1616"/>
      <c r="L130" s="1889"/>
      <c r="M130" s="1617"/>
      <c r="N130" s="1889"/>
      <c r="O130" s="1617"/>
      <c r="P130" s="1617"/>
      <c r="Q130" s="1617"/>
      <c r="R130" s="1587"/>
      <c r="S130" s="2681" t="str">
        <f>'CEKLIST 002 (BIO DATA)'!D3</f>
        <v>Adi irawan saputra</v>
      </c>
      <c r="T130" s="2682"/>
      <c r="U130" s="2683"/>
      <c r="V130" s="1609"/>
      <c r="W130" s="1612"/>
      <c r="X130" s="1624"/>
      <c r="Y130" s="1586"/>
    </row>
    <row r="131" spans="1:34" x14ac:dyDescent="0.2">
      <c r="A131" s="1683"/>
      <c r="B131" s="1684"/>
      <c r="C131" s="1729"/>
      <c r="D131" s="1686"/>
      <c r="E131" s="1686"/>
      <c r="F131" s="1686"/>
      <c r="G131" s="1686"/>
      <c r="H131" s="1686"/>
      <c r="I131" s="1737"/>
      <c r="J131" s="1737"/>
      <c r="K131" s="1616"/>
      <c r="L131" s="1889"/>
      <c r="M131" s="1617"/>
      <c r="N131" s="1889"/>
      <c r="O131" s="1617"/>
      <c r="P131" s="1617"/>
      <c r="Q131" s="1617"/>
      <c r="R131" s="1587"/>
      <c r="S131" s="2684"/>
      <c r="T131" s="2685"/>
      <c r="U131" s="2686"/>
      <c r="V131" s="1609"/>
      <c r="W131" s="1612"/>
      <c r="X131" s="1624"/>
      <c r="Y131" s="1586"/>
    </row>
    <row r="132" spans="1:34" ht="15" x14ac:dyDescent="0.25">
      <c r="A132" s="1683"/>
      <c r="B132" s="1684"/>
      <c r="C132" s="1709" t="s">
        <v>659</v>
      </c>
      <c r="D132" s="1710" t="s">
        <v>1116</v>
      </c>
      <c r="E132" s="1710"/>
      <c r="F132" s="1710"/>
      <c r="G132" s="1710"/>
      <c r="H132" s="1710"/>
      <c r="I132" s="1711"/>
      <c r="J132" s="1711"/>
      <c r="K132" s="1945">
        <f>+K129+K124+K128</f>
        <v>8464974257.1499996</v>
      </c>
      <c r="L132" s="1858"/>
      <c r="M132" s="1858">
        <f>+M129+M124+M128</f>
        <v>16487584793.889999</v>
      </c>
      <c r="N132" s="1858"/>
      <c r="O132" s="1858">
        <f>+O129+O124+O128</f>
        <v>15666180328</v>
      </c>
      <c r="P132" s="1598"/>
      <c r="Q132" s="1598">
        <f>+Q129+Q124+Q128</f>
        <v>0</v>
      </c>
      <c r="R132" s="1587"/>
      <c r="S132" s="1587"/>
      <c r="T132" s="1587"/>
      <c r="U132" s="1590"/>
      <c r="V132" s="1609"/>
      <c r="W132" s="1612"/>
      <c r="X132" s="1624"/>
      <c r="Y132" s="1586"/>
    </row>
    <row r="133" spans="1:34" ht="15" x14ac:dyDescent="0.25">
      <c r="A133" s="1683"/>
      <c r="B133" s="1700"/>
      <c r="C133" s="1729"/>
      <c r="D133" s="1686"/>
      <c r="E133" s="1686"/>
      <c r="F133" s="1686"/>
      <c r="G133" s="1686"/>
      <c r="H133" s="1686"/>
      <c r="I133" s="1701"/>
      <c r="J133" s="1701"/>
      <c r="K133" s="1616"/>
      <c r="L133" s="1889"/>
      <c r="M133" s="1617"/>
      <c r="N133" s="1889"/>
      <c r="O133" s="1617"/>
      <c r="P133" s="1617"/>
      <c r="Q133" s="1617"/>
      <c r="R133" s="1587"/>
      <c r="S133" s="1587"/>
      <c r="T133" s="1587"/>
      <c r="U133" s="1590"/>
      <c r="V133" s="1609"/>
      <c r="W133" s="1612"/>
      <c r="X133" s="1624"/>
      <c r="Y133" s="1586"/>
    </row>
    <row r="134" spans="1:34" ht="15" x14ac:dyDescent="0.25">
      <c r="A134" s="1683"/>
      <c r="B134" s="1684"/>
      <c r="C134" s="1729"/>
      <c r="D134" s="1700" t="s">
        <v>1117</v>
      </c>
      <c r="E134" s="1686"/>
      <c r="F134" s="1686"/>
      <c r="G134" s="1686"/>
      <c r="H134" s="1686"/>
      <c r="I134" s="1701"/>
      <c r="J134" s="1701"/>
      <c r="K134" s="1616"/>
      <c r="L134" s="1889"/>
      <c r="M134" s="1617"/>
      <c r="N134" s="1889"/>
      <c r="O134" s="1617"/>
      <c r="P134" s="1617"/>
      <c r="Q134" s="1617"/>
      <c r="R134" s="1587"/>
      <c r="S134" s="1684"/>
      <c r="T134" s="1684"/>
      <c r="U134" s="1768"/>
      <c r="V134" s="1609"/>
      <c r="W134" s="1612"/>
      <c r="X134" s="1624"/>
      <c r="Y134" s="1586"/>
    </row>
    <row r="135" spans="1:34" x14ac:dyDescent="0.2">
      <c r="A135" s="1683"/>
      <c r="B135" s="1684"/>
      <c r="C135" s="1729"/>
      <c r="D135" s="1686"/>
      <c r="E135" s="1686"/>
      <c r="F135" s="1686"/>
      <c r="G135" s="1686"/>
      <c r="H135" s="1686"/>
      <c r="I135" s="1701"/>
      <c r="J135" s="1701"/>
      <c r="K135" s="1616"/>
      <c r="L135" s="1889"/>
      <c r="M135" s="1617"/>
      <c r="N135" s="1892"/>
      <c r="O135" s="1617"/>
      <c r="P135" s="1617"/>
      <c r="Q135" s="1617"/>
      <c r="R135" s="1587"/>
      <c r="S135" s="2642" t="str">
        <f>S120</f>
        <v>Disiapkan dan Diverifikasi Oleh,</v>
      </c>
      <c r="T135" s="2643"/>
      <c r="U135" s="2644"/>
      <c r="V135" s="1609"/>
      <c r="W135" s="1612"/>
      <c r="X135" s="1624"/>
      <c r="Y135" s="1586"/>
    </row>
    <row r="136" spans="1:34" ht="15" x14ac:dyDescent="0.25">
      <c r="A136" s="1683"/>
      <c r="B136" s="1684"/>
      <c r="C136" s="1709" t="s">
        <v>59</v>
      </c>
      <c r="D136" s="1710" t="s">
        <v>1118</v>
      </c>
      <c r="E136" s="1710"/>
      <c r="F136" s="1710"/>
      <c r="G136" s="1710"/>
      <c r="H136" s="1710"/>
      <c r="I136" s="1711"/>
      <c r="J136" s="1886">
        <f t="shared" ref="J136:J146" si="17">K136/$K$148</f>
        <v>1</v>
      </c>
      <c r="K136" s="1642">
        <f>SUM(K137:K140)</f>
        <v>1001519402.88</v>
      </c>
      <c r="L136" s="2501">
        <f t="shared" ref="L136:L147" si="18">M136/$M$148</f>
        <v>1</v>
      </c>
      <c r="M136" s="1598">
        <f>SUM(M137:M140)</f>
        <v>1747705437.1500001</v>
      </c>
      <c r="N136" s="2501">
        <f t="shared" ref="N136:N147" si="19">O136/$O$148</f>
        <v>1</v>
      </c>
      <c r="O136" s="1598">
        <f>SUM(O137:O140)</f>
        <v>1546697282</v>
      </c>
      <c r="P136" s="1654" t="e">
        <f t="shared" ref="P136:P146" si="20">Q136/$Q$148</f>
        <v>#DIV/0!</v>
      </c>
      <c r="Q136" s="1598">
        <f>SUM(Q137:Q140)</f>
        <v>0</v>
      </c>
      <c r="R136" s="1587"/>
      <c r="S136" s="2645"/>
      <c r="T136" s="2646"/>
      <c r="U136" s="2647"/>
      <c r="V136" s="1609"/>
      <c r="W136" s="1612"/>
      <c r="X136" s="1624"/>
      <c r="Y136" s="1586"/>
    </row>
    <row r="137" spans="1:34" x14ac:dyDescent="0.2">
      <c r="A137" s="1683"/>
      <c r="B137" s="1684"/>
      <c r="C137" s="1727"/>
      <c r="D137" s="1763" t="s">
        <v>1106</v>
      </c>
      <c r="E137" s="1763" t="s">
        <v>1119</v>
      </c>
      <c r="F137" s="1763"/>
      <c r="G137" s="1763"/>
      <c r="H137" s="1763"/>
      <c r="I137" s="1723" t="s">
        <v>1120</v>
      </c>
      <c r="J137" s="1887">
        <f>K137/$K$148</f>
        <v>0.46633828146209222</v>
      </c>
      <c r="K137" s="741">
        <v>467046837.19</v>
      </c>
      <c r="L137" s="2502">
        <f t="shared" si="18"/>
        <v>0.56709108764701766</v>
      </c>
      <c r="M137" s="742">
        <v>991108177.24000001</v>
      </c>
      <c r="N137" s="2502">
        <f t="shared" si="19"/>
        <v>0.61964750384813827</v>
      </c>
      <c r="O137" s="742">
        <v>958407110</v>
      </c>
      <c r="P137" s="1655" t="e">
        <f t="shared" si="20"/>
        <v>#DIV/0!</v>
      </c>
      <c r="Q137" s="742">
        <v>0</v>
      </c>
      <c r="R137" s="1587"/>
      <c r="S137" s="2642" t="str">
        <f>'CEKLIST 002 (BIO DATA)'!A4</f>
        <v>AO Penjaminan II</v>
      </c>
      <c r="T137" s="2643"/>
      <c r="U137" s="2644"/>
      <c r="V137" s="1609"/>
      <c r="W137" s="1612"/>
      <c r="X137" s="1624"/>
      <c r="Y137" s="1586"/>
    </row>
    <row r="138" spans="1:34" x14ac:dyDescent="0.2">
      <c r="A138" s="1683"/>
      <c r="B138" s="1715"/>
      <c r="C138" s="1727"/>
      <c r="D138" s="1763" t="s">
        <v>1108</v>
      </c>
      <c r="E138" s="1763" t="s">
        <v>1121</v>
      </c>
      <c r="F138" s="1763"/>
      <c r="G138" s="1763"/>
      <c r="H138" s="1763"/>
      <c r="I138" s="1723" t="s">
        <v>1122</v>
      </c>
      <c r="J138" s="1887">
        <f t="shared" si="17"/>
        <v>0.50750505305078009</v>
      </c>
      <c r="K138" s="741">
        <v>508276157.69</v>
      </c>
      <c r="L138" s="2502">
        <f t="shared" si="18"/>
        <v>0.40326336860249201</v>
      </c>
      <c r="M138" s="742">
        <v>704785581.90999997</v>
      </c>
      <c r="N138" s="2502">
        <f t="shared" si="19"/>
        <v>0.3503906706936335</v>
      </c>
      <c r="O138" s="742">
        <v>541948298</v>
      </c>
      <c r="P138" s="1655" t="e">
        <f t="shared" si="20"/>
        <v>#DIV/0!</v>
      </c>
      <c r="Q138" s="742">
        <v>0</v>
      </c>
      <c r="R138" s="1587"/>
      <c r="S138" s="2687"/>
      <c r="T138" s="2688"/>
      <c r="U138" s="2689"/>
      <c r="V138" s="1609"/>
      <c r="W138" s="1612"/>
      <c r="X138" s="1624"/>
      <c r="Y138" s="1586"/>
    </row>
    <row r="139" spans="1:34" x14ac:dyDescent="0.2">
      <c r="A139" s="1683"/>
      <c r="B139" s="1715"/>
      <c r="C139" s="1727"/>
      <c r="D139" s="1763" t="s">
        <v>1110</v>
      </c>
      <c r="E139" s="1763" t="s">
        <v>1123</v>
      </c>
      <c r="F139" s="1763"/>
      <c r="G139" s="1763"/>
      <c r="H139" s="1763"/>
      <c r="I139" s="1723" t="s">
        <v>1124</v>
      </c>
      <c r="J139" s="1887">
        <f t="shared" si="17"/>
        <v>0</v>
      </c>
      <c r="K139" s="743">
        <v>0</v>
      </c>
      <c r="L139" s="2502">
        <f t="shared" si="18"/>
        <v>0</v>
      </c>
      <c r="M139" s="744">
        <v>0</v>
      </c>
      <c r="N139" s="2502">
        <f t="shared" si="19"/>
        <v>0</v>
      </c>
      <c r="O139" s="744">
        <v>0</v>
      </c>
      <c r="P139" s="1655" t="e">
        <f t="shared" si="20"/>
        <v>#DIV/0!</v>
      </c>
      <c r="Q139" s="742">
        <v>0</v>
      </c>
      <c r="R139" s="1587"/>
      <c r="S139" s="1656"/>
      <c r="T139" s="1587"/>
      <c r="U139" s="1657"/>
      <c r="V139" s="1609"/>
      <c r="W139" s="1612"/>
      <c r="X139" s="1624"/>
      <c r="Y139" s="1586"/>
    </row>
    <row r="140" spans="1:34" s="720" customFormat="1" x14ac:dyDescent="0.2">
      <c r="A140" s="1768"/>
      <c r="B140" s="1715"/>
      <c r="C140" s="1727"/>
      <c r="D140" s="1763" t="s">
        <v>1125</v>
      </c>
      <c r="E140" s="1763" t="s">
        <v>1753</v>
      </c>
      <c r="F140" s="1763"/>
      <c r="G140" s="1763"/>
      <c r="H140" s="1763"/>
      <c r="I140" s="1723" t="s">
        <v>1126</v>
      </c>
      <c r="J140" s="1887">
        <f t="shared" si="17"/>
        <v>2.615666548712766E-2</v>
      </c>
      <c r="K140" s="741">
        <v>26196408</v>
      </c>
      <c r="L140" s="2502">
        <f t="shared" si="18"/>
        <v>2.9645543750490239E-2</v>
      </c>
      <c r="M140" s="742">
        <v>51811678</v>
      </c>
      <c r="N140" s="2502">
        <f t="shared" si="19"/>
        <v>2.9961825458228224E-2</v>
      </c>
      <c r="O140" s="742">
        <v>46341874</v>
      </c>
      <c r="P140" s="1655" t="e">
        <f t="shared" si="20"/>
        <v>#DIV/0!</v>
      </c>
      <c r="Q140" s="744">
        <v>0</v>
      </c>
      <c r="R140" s="1587"/>
      <c r="S140" s="1656"/>
      <c r="T140" s="1587"/>
      <c r="U140" s="1657"/>
      <c r="V140" s="1609"/>
      <c r="W140" s="1612"/>
      <c r="X140" s="1624"/>
      <c r="Y140" s="1586"/>
      <c r="Z140" s="719"/>
      <c r="AA140" s="719"/>
      <c r="AB140" s="719"/>
      <c r="AC140" s="719"/>
      <c r="AD140" s="719"/>
      <c r="AE140" s="719"/>
      <c r="AF140" s="719"/>
      <c r="AG140" s="719"/>
      <c r="AH140" s="719"/>
    </row>
    <row r="141" spans="1:34" s="720" customFormat="1" ht="15" x14ac:dyDescent="0.2">
      <c r="A141" s="1768"/>
      <c r="B141" s="1715"/>
      <c r="C141" s="1769" t="s">
        <v>60</v>
      </c>
      <c r="D141" s="1770" t="s">
        <v>1127</v>
      </c>
      <c r="E141" s="1763"/>
      <c r="F141" s="1763"/>
      <c r="G141" s="1763"/>
      <c r="H141" s="1763"/>
      <c r="I141" s="1771" t="s">
        <v>1128</v>
      </c>
      <c r="J141" s="1887">
        <f t="shared" si="17"/>
        <v>0</v>
      </c>
      <c r="K141" s="743"/>
      <c r="L141" s="2502">
        <f t="shared" si="18"/>
        <v>0</v>
      </c>
      <c r="M141" s="744">
        <v>0</v>
      </c>
      <c r="N141" s="2502">
        <f t="shared" si="19"/>
        <v>0</v>
      </c>
      <c r="O141" s="744">
        <v>0</v>
      </c>
      <c r="P141" s="1655" t="e">
        <f t="shared" si="20"/>
        <v>#DIV/0!</v>
      </c>
      <c r="Q141" s="744">
        <v>0</v>
      </c>
      <c r="R141" s="1587"/>
      <c r="S141" s="1656"/>
      <c r="T141" s="1587"/>
      <c r="U141" s="1657"/>
      <c r="V141" s="1609"/>
      <c r="W141" s="1612"/>
      <c r="X141" s="1624"/>
      <c r="Y141" s="1586"/>
      <c r="Z141" s="719"/>
      <c r="AA141" s="719"/>
      <c r="AB141" s="719"/>
      <c r="AC141" s="719"/>
      <c r="AD141" s="719"/>
      <c r="AE141" s="719"/>
      <c r="AF141" s="719"/>
      <c r="AG141" s="719"/>
      <c r="AH141" s="719"/>
    </row>
    <row r="142" spans="1:34" s="720" customFormat="1" ht="15" x14ac:dyDescent="0.25">
      <c r="A142" s="1768"/>
      <c r="B142" s="1715"/>
      <c r="C142" s="1709" t="s">
        <v>640</v>
      </c>
      <c r="D142" s="1710" t="s">
        <v>1129</v>
      </c>
      <c r="E142" s="1710"/>
      <c r="F142" s="1710"/>
      <c r="G142" s="1710"/>
      <c r="H142" s="1710"/>
      <c r="I142" s="1711"/>
      <c r="J142" s="1886">
        <f t="shared" si="17"/>
        <v>0</v>
      </c>
      <c r="K142" s="1642">
        <f>SUM(K143:K146)</f>
        <v>0</v>
      </c>
      <c r="L142" s="2503">
        <f t="shared" si="18"/>
        <v>0</v>
      </c>
      <c r="M142" s="1598">
        <f>SUM(M143:M146)</f>
        <v>0</v>
      </c>
      <c r="N142" s="2503">
        <f t="shared" si="19"/>
        <v>0</v>
      </c>
      <c r="O142" s="1598">
        <f>SUM(O143:O146)</f>
        <v>0</v>
      </c>
      <c r="P142" s="1658" t="e">
        <f t="shared" si="20"/>
        <v>#DIV/0!</v>
      </c>
      <c r="Q142" s="1598">
        <f>SUM(Q143:Q146)</f>
        <v>0</v>
      </c>
      <c r="R142" s="1587"/>
      <c r="S142" s="1656"/>
      <c r="T142" s="1587"/>
      <c r="U142" s="1657"/>
      <c r="V142" s="1609"/>
      <c r="W142" s="1612"/>
      <c r="X142" s="1624"/>
      <c r="Y142" s="1586"/>
      <c r="Z142" s="719"/>
      <c r="AA142" s="719"/>
      <c r="AB142" s="719"/>
      <c r="AC142" s="719"/>
      <c r="AD142" s="719"/>
      <c r="AE142" s="719"/>
      <c r="AF142" s="719"/>
      <c r="AG142" s="719"/>
      <c r="AH142" s="719"/>
    </row>
    <row r="143" spans="1:34" s="720" customFormat="1" x14ac:dyDescent="0.2">
      <c r="A143" s="1768"/>
      <c r="B143" s="1684"/>
      <c r="C143" s="1705"/>
      <c r="D143" s="1763" t="s">
        <v>1130</v>
      </c>
      <c r="E143" s="1722" t="s">
        <v>1119</v>
      </c>
      <c r="F143" s="1722"/>
      <c r="G143" s="1722"/>
      <c r="H143" s="1722"/>
      <c r="I143" s="1723" t="s">
        <v>1131</v>
      </c>
      <c r="J143" s="1887">
        <f t="shared" si="17"/>
        <v>0</v>
      </c>
      <c r="K143" s="742"/>
      <c r="L143" s="2502">
        <f t="shared" si="18"/>
        <v>0</v>
      </c>
      <c r="M143" s="742">
        <v>0</v>
      </c>
      <c r="N143" s="2502">
        <f t="shared" si="19"/>
        <v>0</v>
      </c>
      <c r="O143" s="742">
        <v>0</v>
      </c>
      <c r="P143" s="1655" t="e">
        <f t="shared" si="20"/>
        <v>#DIV/0!</v>
      </c>
      <c r="Q143" s="742">
        <v>0</v>
      </c>
      <c r="R143" s="1587"/>
      <c r="S143" s="1659"/>
      <c r="T143" s="1587"/>
      <c r="U143" s="1657"/>
      <c r="V143" s="1609"/>
      <c r="W143" s="1612"/>
      <c r="X143" s="1624"/>
      <c r="Y143" s="1586"/>
      <c r="Z143" s="719"/>
      <c r="AA143" s="719"/>
      <c r="AB143" s="719"/>
      <c r="AC143" s="719"/>
      <c r="AD143" s="719"/>
      <c r="AE143" s="719"/>
      <c r="AF143" s="719"/>
      <c r="AG143" s="719"/>
      <c r="AH143" s="719"/>
    </row>
    <row r="144" spans="1:34" s="720" customFormat="1" x14ac:dyDescent="0.2">
      <c r="A144" s="1768"/>
      <c r="B144" s="1684"/>
      <c r="C144" s="1705"/>
      <c r="D144" s="1763" t="s">
        <v>1132</v>
      </c>
      <c r="E144" s="1722" t="s">
        <v>1121</v>
      </c>
      <c r="F144" s="1722"/>
      <c r="G144" s="1722"/>
      <c r="H144" s="1722"/>
      <c r="I144" s="1723" t="s">
        <v>1133</v>
      </c>
      <c r="J144" s="1887">
        <f t="shared" si="17"/>
        <v>0</v>
      </c>
      <c r="K144" s="744"/>
      <c r="L144" s="2502">
        <f t="shared" si="18"/>
        <v>0</v>
      </c>
      <c r="M144" s="744">
        <v>0</v>
      </c>
      <c r="N144" s="2502">
        <f t="shared" si="19"/>
        <v>0</v>
      </c>
      <c r="O144" s="744">
        <v>0</v>
      </c>
      <c r="P144" s="1655" t="e">
        <f t="shared" si="20"/>
        <v>#DIV/0!</v>
      </c>
      <c r="Q144" s="742">
        <v>0</v>
      </c>
      <c r="R144" s="1587"/>
      <c r="S144" s="1656"/>
      <c r="T144" s="1587"/>
      <c r="U144" s="1657"/>
      <c r="V144" s="1609"/>
      <c r="W144" s="1612"/>
      <c r="X144" s="1624"/>
      <c r="Y144" s="1586"/>
      <c r="Z144" s="719"/>
      <c r="AA144" s="719"/>
      <c r="AB144" s="719"/>
      <c r="AC144" s="719"/>
      <c r="AD144" s="719"/>
      <c r="AE144" s="719"/>
      <c r="AF144" s="719"/>
      <c r="AG144" s="719"/>
      <c r="AH144" s="719"/>
    </row>
    <row r="145" spans="1:34" s="720" customFormat="1" x14ac:dyDescent="0.2">
      <c r="A145" s="1768"/>
      <c r="B145" s="1684"/>
      <c r="C145" s="1705"/>
      <c r="D145" s="1763" t="s">
        <v>1134</v>
      </c>
      <c r="E145" s="1722" t="s">
        <v>1135</v>
      </c>
      <c r="F145" s="1722"/>
      <c r="G145" s="1722"/>
      <c r="H145" s="1722"/>
      <c r="I145" s="1723" t="s">
        <v>1136</v>
      </c>
      <c r="J145" s="1887">
        <f t="shared" si="17"/>
        <v>0</v>
      </c>
      <c r="K145" s="744"/>
      <c r="L145" s="2502">
        <f t="shared" si="18"/>
        <v>0</v>
      </c>
      <c r="M145" s="744">
        <v>0</v>
      </c>
      <c r="N145" s="2502">
        <f t="shared" si="19"/>
        <v>0</v>
      </c>
      <c r="O145" s="744">
        <v>0</v>
      </c>
      <c r="P145" s="1655" t="e">
        <f t="shared" si="20"/>
        <v>#DIV/0!</v>
      </c>
      <c r="Q145" s="1660">
        <v>0</v>
      </c>
      <c r="R145" s="1587"/>
      <c r="S145" s="1656"/>
      <c r="T145" s="1587"/>
      <c r="U145" s="1657"/>
      <c r="V145" s="1609"/>
      <c r="W145" s="1612"/>
      <c r="X145" s="1624"/>
      <c r="Y145" s="1586"/>
      <c r="Z145" s="719"/>
      <c r="AA145" s="719"/>
      <c r="AB145" s="719"/>
      <c r="AC145" s="719"/>
      <c r="AD145" s="719"/>
      <c r="AE145" s="719"/>
      <c r="AF145" s="719"/>
      <c r="AG145" s="719"/>
      <c r="AH145" s="719"/>
    </row>
    <row r="146" spans="1:34" s="720" customFormat="1" x14ac:dyDescent="0.2">
      <c r="A146" s="1768"/>
      <c r="B146" s="1684"/>
      <c r="C146" s="1705"/>
      <c r="D146" s="1722" t="s">
        <v>1137</v>
      </c>
      <c r="E146" s="1722"/>
      <c r="F146" s="1722"/>
      <c r="G146" s="1722"/>
      <c r="H146" s="1722"/>
      <c r="I146" s="1723" t="s">
        <v>1138</v>
      </c>
      <c r="J146" s="1887">
        <f t="shared" si="17"/>
        <v>0</v>
      </c>
      <c r="K146" s="742"/>
      <c r="L146" s="2502">
        <f t="shared" si="18"/>
        <v>0</v>
      </c>
      <c r="M146" s="742">
        <v>0</v>
      </c>
      <c r="N146" s="2502">
        <f t="shared" si="19"/>
        <v>0</v>
      </c>
      <c r="O146" s="742">
        <v>0</v>
      </c>
      <c r="P146" s="1655" t="e">
        <f t="shared" si="20"/>
        <v>#DIV/0!</v>
      </c>
      <c r="Q146" s="742">
        <v>0</v>
      </c>
      <c r="R146" s="1587"/>
      <c r="S146" s="2690" t="str">
        <f>'CEKLIST 002 (BIO DATA)'!D4</f>
        <v>Deni Ardian</v>
      </c>
      <c r="T146" s="2691"/>
      <c r="U146" s="2692"/>
      <c r="V146" s="1609"/>
      <c r="W146" s="1612"/>
      <c r="X146" s="1624"/>
      <c r="Y146" s="1586"/>
      <c r="Z146" s="719"/>
      <c r="AA146" s="719"/>
      <c r="AB146" s="719"/>
      <c r="AC146" s="719"/>
      <c r="AD146" s="719"/>
      <c r="AE146" s="719"/>
      <c r="AF146" s="719"/>
      <c r="AG146" s="719"/>
      <c r="AH146" s="719"/>
    </row>
    <row r="147" spans="1:34" s="720" customFormat="1" x14ac:dyDescent="0.2">
      <c r="A147" s="1768"/>
      <c r="B147" s="1684"/>
      <c r="C147" s="1705" t="s">
        <v>1139</v>
      </c>
      <c r="D147" s="1749" t="s">
        <v>1140</v>
      </c>
      <c r="E147" s="1722"/>
      <c r="F147" s="1722"/>
      <c r="G147" s="1722"/>
      <c r="H147" s="1722"/>
      <c r="I147" s="1723" t="s">
        <v>1141</v>
      </c>
      <c r="J147" s="1887">
        <f>K147/$K$148</f>
        <v>0</v>
      </c>
      <c r="K147" s="742">
        <v>0</v>
      </c>
      <c r="L147" s="2502">
        <f t="shared" si="18"/>
        <v>0</v>
      </c>
      <c r="M147" s="742">
        <v>0</v>
      </c>
      <c r="N147" s="2502">
        <f t="shared" si="19"/>
        <v>0</v>
      </c>
      <c r="O147" s="742">
        <v>0</v>
      </c>
      <c r="P147" s="1655" t="e">
        <f>#N/A</f>
        <v>#N/A</v>
      </c>
      <c r="Q147" s="742"/>
      <c r="R147" s="1587"/>
      <c r="S147" s="2693"/>
      <c r="T147" s="2694"/>
      <c r="U147" s="2695"/>
      <c r="V147" s="1609"/>
      <c r="W147" s="1612"/>
      <c r="X147" s="1624"/>
      <c r="Y147" s="1586"/>
      <c r="Z147" s="719"/>
      <c r="AA147" s="719"/>
      <c r="AB147" s="719"/>
      <c r="AC147" s="719"/>
      <c r="AD147" s="719"/>
      <c r="AE147" s="719"/>
      <c r="AF147" s="719"/>
      <c r="AG147" s="719"/>
      <c r="AH147" s="719"/>
    </row>
    <row r="148" spans="1:34" s="720" customFormat="1" ht="15" x14ac:dyDescent="0.25">
      <c r="A148" s="1768"/>
      <c r="B148" s="1684"/>
      <c r="C148" s="1709" t="s">
        <v>666</v>
      </c>
      <c r="D148" s="1772" t="s">
        <v>1142</v>
      </c>
      <c r="E148" s="1710"/>
      <c r="F148" s="1710"/>
      <c r="G148" s="1710"/>
      <c r="H148" s="1710"/>
      <c r="I148" s="1711"/>
      <c r="J148" s="1888">
        <f>K148/(K165+K148)</f>
        <v>0.18987109326070906</v>
      </c>
      <c r="K148" s="1642">
        <f>+K136+K142+K141+K147</f>
        <v>1001519402.88</v>
      </c>
      <c r="L148" s="2504">
        <f>M148/(M165+M148)</f>
        <v>0.17377535621807885</v>
      </c>
      <c r="M148" s="1598">
        <f>+M136+M142+M141+M147</f>
        <v>1747705437.1500001</v>
      </c>
      <c r="N148" s="2504">
        <f>O148/(O165+O148)</f>
        <v>0.17584762619768454</v>
      </c>
      <c r="O148" s="1598">
        <f>+O136+O142+O141+O147</f>
        <v>1546697282</v>
      </c>
      <c r="P148" s="1598"/>
      <c r="Q148" s="1598">
        <f>+Q136+Q142+Q141+Q147</f>
        <v>0</v>
      </c>
      <c r="R148" s="1587"/>
      <c r="S148" s="1587"/>
      <c r="T148" s="1587"/>
      <c r="U148" s="1590"/>
      <c r="V148" s="1609"/>
      <c r="W148" s="1612"/>
      <c r="X148" s="1624"/>
      <c r="Y148" s="1586"/>
      <c r="Z148" s="719"/>
      <c r="AA148" s="719"/>
      <c r="AB148" s="719"/>
      <c r="AC148" s="719"/>
      <c r="AD148" s="719"/>
      <c r="AE148" s="719"/>
      <c r="AF148" s="719"/>
      <c r="AG148" s="719"/>
      <c r="AH148" s="719"/>
    </row>
    <row r="149" spans="1:34" s="720" customFormat="1" ht="15" x14ac:dyDescent="0.25">
      <c r="A149" s="1768"/>
      <c r="B149" s="1700"/>
      <c r="C149" s="1705"/>
      <c r="D149" s="1722"/>
      <c r="E149" s="1722"/>
      <c r="F149" s="1722"/>
      <c r="G149" s="1722"/>
      <c r="H149" s="1722"/>
      <c r="I149" s="1723"/>
      <c r="J149" s="1723"/>
      <c r="K149" s="762"/>
      <c r="L149" s="1890"/>
      <c r="M149" s="763"/>
      <c r="N149" s="1890"/>
      <c r="O149" s="763"/>
      <c r="P149" s="763"/>
      <c r="Q149" s="763"/>
      <c r="R149" s="1587"/>
      <c r="S149" s="1684"/>
      <c r="T149" s="1684"/>
      <c r="U149" s="1768"/>
      <c r="V149" s="1609"/>
      <c r="W149" s="1612"/>
      <c r="X149" s="1624"/>
      <c r="Y149" s="1586"/>
      <c r="Z149" s="719"/>
      <c r="AA149" s="719"/>
      <c r="AB149" s="719"/>
      <c r="AC149" s="719"/>
      <c r="AD149" s="719"/>
      <c r="AE149" s="719"/>
      <c r="AF149" s="719"/>
      <c r="AG149" s="719"/>
      <c r="AH149" s="719"/>
    </row>
    <row r="150" spans="1:34" s="720" customFormat="1" ht="15" x14ac:dyDescent="0.25">
      <c r="A150" s="1768"/>
      <c r="B150" s="1684"/>
      <c r="C150" s="1709" t="s">
        <v>670</v>
      </c>
      <c r="D150" s="1710" t="s">
        <v>1143</v>
      </c>
      <c r="E150" s="1710"/>
      <c r="F150" s="1710"/>
      <c r="G150" s="1710"/>
      <c r="H150" s="1710"/>
      <c r="I150" s="1711"/>
      <c r="J150" s="1854">
        <f>K150/K132</f>
        <v>0.88168665698728388</v>
      </c>
      <c r="K150" s="1944">
        <f>+K132-K148</f>
        <v>7463454854.2699995</v>
      </c>
      <c r="L150" s="2496">
        <f>M150/M132</f>
        <v>0.89399869908188934</v>
      </c>
      <c r="M150" s="1858">
        <f>+M132-M148</f>
        <v>14739879356.74</v>
      </c>
      <c r="N150" s="2496">
        <f>O150/O132</f>
        <v>0.90127157675852843</v>
      </c>
      <c r="O150" s="1858">
        <f>+O132-O148</f>
        <v>14119483046</v>
      </c>
      <c r="P150" s="1597" t="e">
        <f>Q150/Q132</f>
        <v>#DIV/0!</v>
      </c>
      <c r="Q150" s="1598">
        <f>+Q132-Q148</f>
        <v>0</v>
      </c>
      <c r="R150" s="1587"/>
      <c r="S150" s="2642" t="s">
        <v>843</v>
      </c>
      <c r="T150" s="2643"/>
      <c r="U150" s="2644"/>
      <c r="V150" s="1609"/>
      <c r="W150" s="1612"/>
      <c r="X150" s="1624"/>
      <c r="Y150" s="1586"/>
      <c r="Z150" s="719"/>
      <c r="AA150" s="719"/>
      <c r="AB150" s="719"/>
      <c r="AC150" s="719"/>
      <c r="AD150" s="719"/>
      <c r="AE150" s="719"/>
      <c r="AF150" s="719"/>
      <c r="AG150" s="719"/>
      <c r="AH150" s="719"/>
    </row>
    <row r="151" spans="1:34" s="720" customFormat="1" ht="15" x14ac:dyDescent="0.25">
      <c r="A151" s="1768"/>
      <c r="B151" s="1700"/>
      <c r="C151" s="1705"/>
      <c r="D151" s="1722"/>
      <c r="E151" s="1722"/>
      <c r="F151" s="1722"/>
      <c r="G151" s="1722"/>
      <c r="H151" s="1722"/>
      <c r="I151" s="1723"/>
      <c r="J151" s="1723"/>
      <c r="K151" s="762"/>
      <c r="L151" s="1890"/>
      <c r="M151" s="763"/>
      <c r="N151" s="1890"/>
      <c r="O151" s="763"/>
      <c r="P151" s="763"/>
      <c r="Q151" s="763"/>
      <c r="R151" s="1587"/>
      <c r="S151" s="2645"/>
      <c r="T151" s="2646"/>
      <c r="U151" s="2647"/>
      <c r="V151" s="1609"/>
      <c r="W151" s="1612"/>
      <c r="X151" s="1624"/>
      <c r="Y151" s="1586"/>
      <c r="Z151" s="719"/>
      <c r="AA151" s="719"/>
      <c r="AB151" s="719"/>
      <c r="AC151" s="719"/>
      <c r="AD151" s="719"/>
      <c r="AE151" s="719"/>
      <c r="AF151" s="719"/>
      <c r="AG151" s="719"/>
      <c r="AH151" s="719"/>
    </row>
    <row r="152" spans="1:34" s="720" customFormat="1" ht="15" x14ac:dyDescent="0.25">
      <c r="A152" s="1768"/>
      <c r="B152" s="1684"/>
      <c r="C152" s="1705"/>
      <c r="D152" s="1773" t="s">
        <v>1144</v>
      </c>
      <c r="E152" s="1722"/>
      <c r="F152" s="1722"/>
      <c r="G152" s="1722"/>
      <c r="H152" s="1722"/>
      <c r="I152" s="1723"/>
      <c r="J152" s="1723"/>
      <c r="K152" s="762"/>
      <c r="L152" s="1890"/>
      <c r="M152" s="763"/>
      <c r="N152" s="1890"/>
      <c r="O152" s="763"/>
      <c r="P152" s="763"/>
      <c r="Q152" s="763"/>
      <c r="R152" s="1587"/>
      <c r="S152" s="2675" t="str">
        <f>'CEKLIST 002 (BIO DATA)'!A6</f>
        <v>Supervisor Analis Penjaminan</v>
      </c>
      <c r="T152" s="2676"/>
      <c r="U152" s="2677"/>
      <c r="V152" s="1609"/>
      <c r="W152" s="1612"/>
      <c r="X152" s="1624"/>
      <c r="Y152" s="1586"/>
      <c r="Z152" s="719"/>
      <c r="AA152" s="719"/>
      <c r="AB152" s="719"/>
      <c r="AC152" s="719"/>
      <c r="AD152" s="719"/>
      <c r="AE152" s="719"/>
      <c r="AF152" s="719"/>
      <c r="AG152" s="719"/>
      <c r="AH152" s="719"/>
    </row>
    <row r="153" spans="1:34" s="720" customFormat="1" x14ac:dyDescent="0.2">
      <c r="A153" s="1768"/>
      <c r="B153" s="1684"/>
      <c r="C153" s="1705"/>
      <c r="D153" s="1722"/>
      <c r="E153" s="1722"/>
      <c r="F153" s="1722"/>
      <c r="G153" s="1722"/>
      <c r="H153" s="1722"/>
      <c r="I153" s="1723"/>
      <c r="J153" s="1723"/>
      <c r="K153" s="762"/>
      <c r="L153" s="1890"/>
      <c r="M153" s="763"/>
      <c r="N153" s="1890"/>
      <c r="O153" s="763"/>
      <c r="P153" s="763"/>
      <c r="Q153" s="763"/>
      <c r="R153" s="1587"/>
      <c r="S153" s="2678"/>
      <c r="T153" s="2679"/>
      <c r="U153" s="2680"/>
      <c r="V153" s="1609"/>
      <c r="W153" s="1612"/>
      <c r="X153" s="1624"/>
      <c r="Y153" s="1586"/>
      <c r="Z153" s="719"/>
      <c r="AA153" s="719"/>
      <c r="AB153" s="719"/>
      <c r="AC153" s="719"/>
      <c r="AD153" s="719"/>
      <c r="AE153" s="719"/>
      <c r="AF153" s="719"/>
      <c r="AG153" s="719"/>
      <c r="AH153" s="719"/>
    </row>
    <row r="154" spans="1:34" s="720" customFormat="1" ht="15" x14ac:dyDescent="0.25">
      <c r="A154" s="1768"/>
      <c r="B154" s="1684"/>
      <c r="C154" s="1705" t="s">
        <v>59</v>
      </c>
      <c r="D154" s="1707" t="s">
        <v>1145</v>
      </c>
      <c r="E154" s="1707"/>
      <c r="F154" s="1707"/>
      <c r="G154" s="1707"/>
      <c r="H154" s="1707"/>
      <c r="I154" s="1723" t="s">
        <v>1146</v>
      </c>
      <c r="J154" s="1853">
        <f>K154/$K$165</f>
        <v>5.430340618684297E-2</v>
      </c>
      <c r="K154" s="741">
        <v>232050077</v>
      </c>
      <c r="L154" s="2494">
        <f>M154/$M$165</f>
        <v>4.7525570992696053E-2</v>
      </c>
      <c r="M154" s="742">
        <v>394916735</v>
      </c>
      <c r="N154" s="2494">
        <f>O154/$O$165</f>
        <v>5.6800114017185183E-2</v>
      </c>
      <c r="O154" s="742">
        <v>411742345</v>
      </c>
      <c r="P154" s="1596" t="e">
        <f>Q154/$Q$165</f>
        <v>#DIV/0!</v>
      </c>
      <c r="Q154" s="742"/>
      <c r="R154" s="1587"/>
      <c r="S154" s="1643"/>
      <c r="T154" s="1644"/>
      <c r="U154" s="1645"/>
      <c r="V154" s="1609"/>
      <c r="W154" s="1612"/>
      <c r="X154" s="1624"/>
      <c r="Y154" s="1586"/>
      <c r="Z154" s="719"/>
      <c r="AA154" s="719"/>
      <c r="AB154" s="719"/>
      <c r="AC154" s="719"/>
      <c r="AD154" s="719"/>
      <c r="AE154" s="719"/>
      <c r="AF154" s="719"/>
      <c r="AG154" s="719"/>
      <c r="AH154" s="719"/>
    </row>
    <row r="155" spans="1:34" s="720" customFormat="1" ht="15" x14ac:dyDescent="0.25">
      <c r="A155" s="1768"/>
      <c r="B155" s="1684"/>
      <c r="C155" s="1705" t="s">
        <v>60</v>
      </c>
      <c r="D155" s="1725" t="s">
        <v>1754</v>
      </c>
      <c r="E155" s="1725"/>
      <c r="F155" s="1725"/>
      <c r="G155" s="1725"/>
      <c r="H155" s="1725"/>
      <c r="I155" s="1723" t="s">
        <v>1147</v>
      </c>
      <c r="J155" s="1853">
        <f>K155/$K$165</f>
        <v>0.62455797357660492</v>
      </c>
      <c r="K155" s="743">
        <f>2590501960+78367933</f>
        <v>2668869893</v>
      </c>
      <c r="L155" s="2494">
        <f t="shared" ref="L155:L163" si="21">M155/$M$165</f>
        <v>0.57525425096230354</v>
      </c>
      <c r="M155" s="744">
        <f>4655207138+124904407</f>
        <v>4780111545</v>
      </c>
      <c r="N155" s="2494">
        <f t="shared" ref="N155:N163" si="22">O155/$O$165</f>
        <v>0.58024828675269435</v>
      </c>
      <c r="O155" s="744">
        <f>3922137903+284064750</f>
        <v>4206202653</v>
      </c>
      <c r="P155" s="1596" t="e">
        <f t="shared" ref="P155:P163" si="23">Q155/$Q$165</f>
        <v>#DIV/0!</v>
      </c>
      <c r="Q155" s="744"/>
      <c r="R155" s="1587"/>
      <c r="S155" s="1643"/>
      <c r="T155" s="1644"/>
      <c r="U155" s="1645"/>
      <c r="V155" s="1609"/>
      <c r="W155" s="1612"/>
      <c r="X155" s="1624"/>
      <c r="Y155" s="1586"/>
      <c r="Z155" s="719"/>
      <c r="AA155" s="719"/>
      <c r="AB155" s="719"/>
      <c r="AC155" s="719"/>
      <c r="AD155" s="719"/>
      <c r="AE155" s="719"/>
      <c r="AF155" s="719"/>
      <c r="AG155" s="719"/>
      <c r="AH155" s="719"/>
    </row>
    <row r="156" spans="1:34" s="721" customFormat="1" ht="15" x14ac:dyDescent="0.25">
      <c r="A156" s="1774"/>
      <c r="B156" s="1715"/>
      <c r="C156" s="1705" t="s">
        <v>640</v>
      </c>
      <c r="D156" s="1707" t="s">
        <v>1755</v>
      </c>
      <c r="E156" s="1707"/>
      <c r="F156" s="1707"/>
      <c r="G156" s="1707"/>
      <c r="H156" s="1707"/>
      <c r="I156" s="1723" t="s">
        <v>1148</v>
      </c>
      <c r="J156" s="1853">
        <f t="shared" ref="J156:J163" si="24">K156/$K$165</f>
        <v>1.5952003433141439E-2</v>
      </c>
      <c r="K156" s="741">
        <v>68166324.819999993</v>
      </c>
      <c r="L156" s="2494">
        <f t="shared" si="21"/>
        <v>2.3711142976696999E-2</v>
      </c>
      <c r="M156" s="742">
        <v>197029240.72</v>
      </c>
      <c r="N156" s="2494">
        <f t="shared" si="22"/>
        <v>3.6167303172415935E-3</v>
      </c>
      <c r="O156" s="742">
        <v>26217571</v>
      </c>
      <c r="P156" s="1596" t="e">
        <f t="shared" si="23"/>
        <v>#DIV/0!</v>
      </c>
      <c r="Q156" s="742"/>
      <c r="R156" s="1587"/>
      <c r="S156" s="1643"/>
      <c r="T156" s="1644"/>
      <c r="U156" s="1645"/>
      <c r="V156" s="1609"/>
      <c r="W156" s="1612"/>
      <c r="X156" s="1624"/>
      <c r="Y156" s="1586"/>
      <c r="Z156" s="719"/>
      <c r="AA156" s="719"/>
      <c r="AB156" s="719"/>
      <c r="AC156" s="719"/>
      <c r="AD156" s="719"/>
      <c r="AE156" s="719"/>
      <c r="AF156" s="719"/>
      <c r="AG156" s="719"/>
      <c r="AH156" s="719"/>
    </row>
    <row r="157" spans="1:34" s="721" customFormat="1" ht="15" x14ac:dyDescent="0.25">
      <c r="A157" s="1774"/>
      <c r="B157" s="1684"/>
      <c r="C157" s="1705" t="s">
        <v>1139</v>
      </c>
      <c r="D157" s="1707" t="s">
        <v>1149</v>
      </c>
      <c r="E157" s="1707"/>
      <c r="F157" s="1707"/>
      <c r="G157" s="1707"/>
      <c r="H157" s="1707"/>
      <c r="I157" s="1723" t="s">
        <v>1150</v>
      </c>
      <c r="J157" s="1853">
        <f t="shared" si="24"/>
        <v>1.8672596201985206E-3</v>
      </c>
      <c r="K157" s="741">
        <v>7979200</v>
      </c>
      <c r="L157" s="2494">
        <f t="shared" si="21"/>
        <v>2.4750759511181042E-3</v>
      </c>
      <c r="M157" s="742">
        <v>20566800</v>
      </c>
      <c r="N157" s="2494">
        <f t="shared" si="22"/>
        <v>1.3670239301112467E-3</v>
      </c>
      <c r="O157" s="742">
        <v>9909516</v>
      </c>
      <c r="P157" s="1596" t="e">
        <f t="shared" si="23"/>
        <v>#DIV/0!</v>
      </c>
      <c r="Q157" s="742"/>
      <c r="R157" s="1587"/>
      <c r="S157" s="1643"/>
      <c r="T157" s="1644"/>
      <c r="U157" s="1645"/>
      <c r="V157" s="1609"/>
      <c r="W157" s="1612"/>
      <c r="X157" s="1624"/>
      <c r="Y157" s="1586"/>
      <c r="Z157" s="719"/>
      <c r="AA157" s="719"/>
      <c r="AB157" s="719"/>
      <c r="AC157" s="719"/>
      <c r="AD157" s="719"/>
      <c r="AE157" s="719"/>
      <c r="AF157" s="719"/>
      <c r="AG157" s="719"/>
      <c r="AH157" s="719"/>
    </row>
    <row r="158" spans="1:34" s="721" customFormat="1" ht="15" x14ac:dyDescent="0.25">
      <c r="A158" s="1774"/>
      <c r="B158" s="1684"/>
      <c r="C158" s="1705" t="s">
        <v>1151</v>
      </c>
      <c r="D158" s="1707" t="s">
        <v>1152</v>
      </c>
      <c r="E158" s="1707"/>
      <c r="F158" s="1707"/>
      <c r="G158" s="1707"/>
      <c r="H158" s="1707"/>
      <c r="I158" s="1723" t="s">
        <v>1153</v>
      </c>
      <c r="J158" s="1853">
        <f t="shared" si="24"/>
        <v>2.4559757445129404E-2</v>
      </c>
      <c r="K158" s="741">
        <f>55934950+49014150</f>
        <v>104949100</v>
      </c>
      <c r="L158" s="2494">
        <f t="shared" si="21"/>
        <v>2.9658115541703764E-2</v>
      </c>
      <c r="M158" s="742">
        <f>140278742+106167243</f>
        <v>246445985</v>
      </c>
      <c r="N158" s="2494">
        <f t="shared" si="22"/>
        <v>2.9660188448091988E-2</v>
      </c>
      <c r="O158" s="742">
        <f>144689828+64842000+5474000</f>
        <v>215005828</v>
      </c>
      <c r="P158" s="1596" t="e">
        <f t="shared" si="23"/>
        <v>#DIV/0!</v>
      </c>
      <c r="Q158" s="742"/>
      <c r="R158" s="1587"/>
      <c r="S158" s="1643"/>
      <c r="T158" s="1644"/>
      <c r="U158" s="1645"/>
      <c r="V158" s="1609"/>
      <c r="W158" s="1612"/>
      <c r="X158" s="1624"/>
      <c r="Y158" s="1586"/>
      <c r="Z158" s="719"/>
      <c r="AA158" s="719"/>
      <c r="AB158" s="719"/>
      <c r="AC158" s="719"/>
      <c r="AD158" s="719"/>
      <c r="AE158" s="719"/>
      <c r="AF158" s="719"/>
      <c r="AG158" s="719"/>
      <c r="AH158" s="719"/>
    </row>
    <row r="159" spans="1:34" s="721" customFormat="1" ht="15" x14ac:dyDescent="0.25">
      <c r="A159" s="1774"/>
      <c r="B159" s="1684"/>
      <c r="C159" s="1727" t="s">
        <v>1154</v>
      </c>
      <c r="D159" s="1725" t="s">
        <v>1756</v>
      </c>
      <c r="E159" s="1763"/>
      <c r="F159" s="1763"/>
      <c r="G159" s="1763"/>
      <c r="H159" s="1763"/>
      <c r="I159" s="1764" t="s">
        <v>1155</v>
      </c>
      <c r="J159" s="1853">
        <f t="shared" si="24"/>
        <v>0.11306959974686528</v>
      </c>
      <c r="K159" s="741">
        <v>483170599.60000002</v>
      </c>
      <c r="L159" s="2494">
        <f t="shared" si="21"/>
        <v>0.14216375178455914</v>
      </c>
      <c r="M159" s="742">
        <v>1181318677.8699999</v>
      </c>
      <c r="N159" s="2494">
        <f t="shared" si="22"/>
        <v>0.12349274270646367</v>
      </c>
      <c r="O159" s="742">
        <v>895195236</v>
      </c>
      <c r="P159" s="1596" t="e">
        <f t="shared" si="23"/>
        <v>#DIV/0!</v>
      </c>
      <c r="Q159" s="742"/>
      <c r="R159" s="1587"/>
      <c r="S159" s="1643"/>
      <c r="T159" s="1644"/>
      <c r="U159" s="1645"/>
      <c r="V159" s="1609"/>
      <c r="W159" s="1612"/>
      <c r="X159" s="1624"/>
      <c r="Y159" s="1586"/>
      <c r="Z159" s="719"/>
      <c r="AA159" s="719"/>
      <c r="AB159" s="719"/>
      <c r="AC159" s="719"/>
      <c r="AD159" s="719"/>
      <c r="AE159" s="719"/>
      <c r="AF159" s="719"/>
      <c r="AG159" s="719"/>
      <c r="AH159" s="719"/>
    </row>
    <row r="160" spans="1:34" s="721" customFormat="1" ht="15" x14ac:dyDescent="0.25">
      <c r="A160" s="1774"/>
      <c r="B160" s="1684"/>
      <c r="C160" s="1705" t="s">
        <v>1156</v>
      </c>
      <c r="D160" s="1707" t="s">
        <v>1157</v>
      </c>
      <c r="E160" s="1722"/>
      <c r="F160" s="1722"/>
      <c r="G160" s="1722"/>
      <c r="H160" s="1722"/>
      <c r="I160" s="1764" t="s">
        <v>1158</v>
      </c>
      <c r="J160" s="1853">
        <f t="shared" si="24"/>
        <v>3.0310253874297682E-2</v>
      </c>
      <c r="K160" s="741">
        <v>129522202</v>
      </c>
      <c r="L160" s="2494">
        <f t="shared" si="21"/>
        <v>3.1718574993268217E-2</v>
      </c>
      <c r="M160" s="742">
        <v>263567503</v>
      </c>
      <c r="N160" s="2494">
        <f t="shared" si="22"/>
        <v>4.0867840785150863E-2</v>
      </c>
      <c r="O160" s="742">
        <f>295968519+281249</f>
        <v>296249768</v>
      </c>
      <c r="P160" s="1596" t="e">
        <f t="shared" si="23"/>
        <v>#DIV/0!</v>
      </c>
      <c r="Q160" s="742"/>
      <c r="R160" s="1587"/>
      <c r="S160" s="1643"/>
      <c r="T160" s="1644"/>
      <c r="U160" s="1645"/>
      <c r="V160" s="1609"/>
      <c r="W160" s="1612"/>
      <c r="X160" s="1624"/>
      <c r="Y160" s="1586"/>
      <c r="Z160" s="719"/>
      <c r="AA160" s="719"/>
      <c r="AB160" s="719"/>
      <c r="AC160" s="719"/>
      <c r="AD160" s="719"/>
      <c r="AE160" s="719"/>
      <c r="AF160" s="719"/>
      <c r="AG160" s="719"/>
      <c r="AH160" s="719"/>
    </row>
    <row r="161" spans="1:34" s="721" customFormat="1" ht="15" x14ac:dyDescent="0.25">
      <c r="A161" s="1774"/>
      <c r="B161" s="1715"/>
      <c r="C161" s="1705" t="s">
        <v>1159</v>
      </c>
      <c r="D161" s="1707" t="s">
        <v>1160</v>
      </c>
      <c r="E161" s="1722"/>
      <c r="F161" s="1722"/>
      <c r="G161" s="1722"/>
      <c r="H161" s="1722"/>
      <c r="I161" s="1723" t="s">
        <v>1161</v>
      </c>
      <c r="J161" s="1853">
        <f t="shared" si="24"/>
        <v>0</v>
      </c>
      <c r="K161" s="741">
        <v>0</v>
      </c>
      <c r="L161" s="2494">
        <f t="shared" si="21"/>
        <v>0</v>
      </c>
      <c r="M161" s="742">
        <v>0</v>
      </c>
      <c r="N161" s="2494">
        <f t="shared" si="22"/>
        <v>0</v>
      </c>
      <c r="O161" s="742">
        <v>0</v>
      </c>
      <c r="P161" s="1596" t="e">
        <f t="shared" si="23"/>
        <v>#DIV/0!</v>
      </c>
      <c r="Q161" s="742"/>
      <c r="R161" s="1587"/>
      <c r="S161" s="1643"/>
      <c r="T161" s="1644"/>
      <c r="U161" s="1645"/>
      <c r="V161" s="1609"/>
      <c r="W161" s="1612"/>
      <c r="X161" s="1624"/>
      <c r="Y161" s="1586"/>
      <c r="Z161" s="719"/>
      <c r="AA161" s="719"/>
      <c r="AB161" s="719"/>
      <c r="AC161" s="719"/>
      <c r="AD161" s="719"/>
      <c r="AE161" s="719"/>
      <c r="AF161" s="719"/>
      <c r="AG161" s="719"/>
      <c r="AH161" s="719"/>
    </row>
    <row r="162" spans="1:34" s="721" customFormat="1" ht="15" x14ac:dyDescent="0.25">
      <c r="A162" s="1774"/>
      <c r="B162" s="1684"/>
      <c r="C162" s="1705" t="s">
        <v>659</v>
      </c>
      <c r="D162" s="1707" t="s">
        <v>1162</v>
      </c>
      <c r="E162" s="1707"/>
      <c r="F162" s="1707"/>
      <c r="G162" s="1707"/>
      <c r="H162" s="1707"/>
      <c r="I162" s="1723" t="s">
        <v>1163</v>
      </c>
      <c r="J162" s="1853">
        <f t="shared" si="24"/>
        <v>0.13381424999183927</v>
      </c>
      <c r="K162" s="741">
        <v>571816930</v>
      </c>
      <c r="L162" s="2494">
        <f t="shared" si="21"/>
        <v>0.14532589383095346</v>
      </c>
      <c r="M162" s="742">
        <v>1207594697</v>
      </c>
      <c r="N162" s="2494">
        <f t="shared" si="22"/>
        <v>0.15344782337830917</v>
      </c>
      <c r="O162" s="742">
        <v>1112338729</v>
      </c>
      <c r="P162" s="1596" t="e">
        <f t="shared" si="23"/>
        <v>#DIV/0!</v>
      </c>
      <c r="Q162" s="742"/>
      <c r="R162" s="1587"/>
      <c r="S162" s="1643"/>
      <c r="T162" s="1644"/>
      <c r="U162" s="1645"/>
      <c r="V162" s="1609"/>
      <c r="W162" s="1612"/>
      <c r="X162" s="1624"/>
      <c r="Y162" s="1586"/>
      <c r="Z162" s="719"/>
      <c r="AA162" s="719"/>
      <c r="AB162" s="719"/>
      <c r="AC162" s="719"/>
      <c r="AD162" s="719"/>
      <c r="AE162" s="719"/>
      <c r="AF162" s="719"/>
      <c r="AG162" s="719"/>
      <c r="AH162" s="719"/>
    </row>
    <row r="163" spans="1:34" s="721" customFormat="1" x14ac:dyDescent="0.2">
      <c r="A163" s="1774"/>
      <c r="B163" s="1684"/>
      <c r="C163" s="1705" t="s">
        <v>1164</v>
      </c>
      <c r="D163" s="1707" t="s">
        <v>1757</v>
      </c>
      <c r="E163" s="1707"/>
      <c r="F163" s="1707"/>
      <c r="G163" s="1707"/>
      <c r="H163" s="1707"/>
      <c r="I163" s="1723" t="s">
        <v>1165</v>
      </c>
      <c r="J163" s="1853">
        <f t="shared" si="24"/>
        <v>1.5654961250804646E-3</v>
      </c>
      <c r="K163" s="741">
        <f>6689700</f>
        <v>6689700</v>
      </c>
      <c r="L163" s="2494">
        <f t="shared" si="21"/>
        <v>2.1676229667006676E-3</v>
      </c>
      <c r="M163" s="742">
        <v>18012000</v>
      </c>
      <c r="N163" s="2494">
        <f t="shared" si="22"/>
        <v>1.0499249664751976E-2</v>
      </c>
      <c r="O163" s="742">
        <v>76108750</v>
      </c>
      <c r="P163" s="1596" t="e">
        <f t="shared" si="23"/>
        <v>#DIV/0!</v>
      </c>
      <c r="Q163" s="742"/>
      <c r="R163" s="1587"/>
      <c r="S163" s="2681" t="str">
        <f>'CEKLIST 002 (BIO DATA)'!D6</f>
        <v>I Wayan Ruspa</v>
      </c>
      <c r="T163" s="2682"/>
      <c r="U163" s="2683"/>
      <c r="V163" s="1609"/>
      <c r="W163" s="1612"/>
      <c r="X163" s="1624"/>
      <c r="Y163" s="1586"/>
      <c r="Z163" s="719"/>
      <c r="AA163" s="719"/>
      <c r="AB163" s="719"/>
      <c r="AC163" s="719"/>
      <c r="AD163" s="719"/>
      <c r="AE163" s="719"/>
      <c r="AF163" s="719"/>
      <c r="AG163" s="719"/>
      <c r="AH163" s="719"/>
    </row>
    <row r="164" spans="1:34" s="721" customFormat="1" x14ac:dyDescent="0.2">
      <c r="A164" s="1774"/>
      <c r="B164" s="1684"/>
      <c r="C164" s="1729"/>
      <c r="D164" s="1686"/>
      <c r="E164" s="1686"/>
      <c r="F164" s="1686"/>
      <c r="G164" s="1686"/>
      <c r="H164" s="1686"/>
      <c r="I164" s="1775">
        <f>SUM(I160:I163)</f>
        <v>0</v>
      </c>
      <c r="J164" s="1775"/>
      <c r="K164" s="1616"/>
      <c r="L164" s="1889"/>
      <c r="M164" s="1617"/>
      <c r="N164" s="1889"/>
      <c r="O164" s="1617"/>
      <c r="P164" s="1617"/>
      <c r="Q164" s="1617"/>
      <c r="R164" s="1587"/>
      <c r="S164" s="2684"/>
      <c r="T164" s="2685"/>
      <c r="U164" s="2686"/>
      <c r="V164" s="1609"/>
      <c r="W164" s="1612"/>
      <c r="X164" s="1624"/>
      <c r="Y164" s="1586"/>
      <c r="Z164" s="719"/>
      <c r="AA164" s="719"/>
      <c r="AB164" s="719"/>
      <c r="AC164" s="719"/>
      <c r="AD164" s="719"/>
      <c r="AE164" s="719"/>
      <c r="AF164" s="719"/>
      <c r="AG164" s="719"/>
      <c r="AH164" s="719"/>
    </row>
    <row r="165" spans="1:34" s="721" customFormat="1" ht="15" x14ac:dyDescent="0.25">
      <c r="A165" s="1774"/>
      <c r="B165" s="1684"/>
      <c r="C165" s="1709" t="s">
        <v>676</v>
      </c>
      <c r="D165" s="1710" t="s">
        <v>1166</v>
      </c>
      <c r="E165" s="1710"/>
      <c r="F165" s="1710"/>
      <c r="G165" s="1710"/>
      <c r="H165" s="1710"/>
      <c r="I165" s="1739"/>
      <c r="J165" s="1888">
        <f>K165/(K148+K165)</f>
        <v>0.81012890673929094</v>
      </c>
      <c r="K165" s="1944">
        <f>SUM(K154:K163)</f>
        <v>4273214026.4200001</v>
      </c>
      <c r="L165" s="2504">
        <f>M165/(M148+M165)</f>
        <v>0.82622464378192118</v>
      </c>
      <c r="M165" s="1858">
        <f>SUM(M154:M163)</f>
        <v>8309563183.5900002</v>
      </c>
      <c r="N165" s="2504">
        <f>O165/(O148+O165)</f>
        <v>0.82415237380231543</v>
      </c>
      <c r="O165" s="1858">
        <f>SUM(O154:O163)</f>
        <v>7248970396</v>
      </c>
      <c r="P165" s="1598"/>
      <c r="Q165" s="1598">
        <f>SUM(Q154:Q163)</f>
        <v>0</v>
      </c>
      <c r="R165" s="1587"/>
      <c r="S165" s="1587"/>
      <c r="T165" s="1587"/>
      <c r="U165" s="1590"/>
      <c r="V165" s="1609"/>
      <c r="W165" s="1612"/>
      <c r="X165" s="1624"/>
      <c r="Y165" s="1586"/>
      <c r="Z165" s="719"/>
      <c r="AA165" s="719"/>
      <c r="AB165" s="719"/>
      <c r="AC165" s="719"/>
      <c r="AD165" s="719"/>
      <c r="AE165" s="719"/>
      <c r="AF165" s="719"/>
      <c r="AG165" s="719"/>
      <c r="AH165" s="719"/>
    </row>
    <row r="166" spans="1:34" s="721" customFormat="1" x14ac:dyDescent="0.2">
      <c r="A166" s="1774"/>
      <c r="B166" s="1684"/>
      <c r="C166" s="1705"/>
      <c r="D166" s="1707"/>
      <c r="E166" s="1707"/>
      <c r="F166" s="1707"/>
      <c r="G166" s="1707"/>
      <c r="H166" s="1707"/>
      <c r="I166" s="1708"/>
      <c r="J166" s="1708"/>
      <c r="K166" s="1661"/>
      <c r="L166" s="1891"/>
      <c r="M166" s="1662"/>
      <c r="N166" s="1891"/>
      <c r="O166" s="1662"/>
      <c r="P166" s="1662"/>
      <c r="Q166" s="1662"/>
      <c r="R166" s="1587"/>
      <c r="S166" s="1587"/>
      <c r="T166" s="1587"/>
      <c r="U166" s="1590"/>
      <c r="V166" s="1609"/>
      <c r="W166" s="1612"/>
      <c r="X166" s="1624"/>
      <c r="Y166" s="1586"/>
      <c r="Z166" s="719"/>
      <c r="AA166" s="719"/>
      <c r="AB166" s="719"/>
      <c r="AC166" s="719"/>
      <c r="AD166" s="719"/>
      <c r="AE166" s="719"/>
      <c r="AF166" s="719"/>
      <c r="AG166" s="719"/>
      <c r="AH166" s="719"/>
    </row>
    <row r="167" spans="1:34" s="721" customFormat="1" ht="15" x14ac:dyDescent="0.25">
      <c r="A167" s="1774"/>
      <c r="B167" s="1684"/>
      <c r="C167" s="1709" t="s">
        <v>1167</v>
      </c>
      <c r="D167" s="1710" t="s">
        <v>1168</v>
      </c>
      <c r="E167" s="1710"/>
      <c r="F167" s="1710"/>
      <c r="G167" s="1710"/>
      <c r="H167" s="1710"/>
      <c r="I167" s="1739" t="s">
        <v>1169</v>
      </c>
      <c r="J167" s="1711"/>
      <c r="K167" s="1944">
        <f>+K150-K165</f>
        <v>3190240827.8499994</v>
      </c>
      <c r="L167" s="1858"/>
      <c r="M167" s="1858">
        <f>+M150-M165</f>
        <v>6430316173.1499996</v>
      </c>
      <c r="N167" s="1858"/>
      <c r="O167" s="1858">
        <f>+O150-O165</f>
        <v>6870512650</v>
      </c>
      <c r="P167" s="1598"/>
      <c r="Q167" s="1598">
        <f>+Q150-Q165</f>
        <v>0</v>
      </c>
      <c r="R167" s="1587"/>
      <c r="S167" s="1587"/>
      <c r="T167" s="1587"/>
      <c r="U167" s="1614">
        <v>36286838564</v>
      </c>
      <c r="V167" s="1610"/>
      <c r="W167" s="1610"/>
      <c r="X167" s="1624"/>
      <c r="Y167" s="1586"/>
      <c r="Z167" s="719"/>
      <c r="AA167" s="719"/>
      <c r="AB167" s="719"/>
      <c r="AC167" s="719"/>
      <c r="AD167" s="719"/>
      <c r="AE167" s="719"/>
      <c r="AF167" s="719"/>
      <c r="AG167" s="719"/>
      <c r="AH167" s="719"/>
    </row>
    <row r="168" spans="1:34" s="721" customFormat="1" ht="15" x14ac:dyDescent="0.25">
      <c r="A168" s="1774"/>
      <c r="B168" s="1700"/>
      <c r="C168" s="1729"/>
      <c r="D168" s="1686"/>
      <c r="E168" s="1686"/>
      <c r="F168" s="1686"/>
      <c r="G168" s="1686"/>
      <c r="H168" s="1686"/>
      <c r="I168" s="1701"/>
      <c r="J168" s="1701"/>
      <c r="K168" s="1616"/>
      <c r="L168" s="1889"/>
      <c r="M168" s="1617"/>
      <c r="N168" s="1889"/>
      <c r="O168" s="1617"/>
      <c r="P168" s="1617"/>
      <c r="Q168" s="1617"/>
      <c r="R168" s="1587"/>
      <c r="S168" s="1587"/>
      <c r="T168" s="1587"/>
      <c r="U168" s="1614">
        <f>K165-U167</f>
        <v>-32013624537.580002</v>
      </c>
      <c r="V168" s="1610"/>
      <c r="W168" s="1610"/>
      <c r="X168" s="1624"/>
      <c r="Y168" s="1586"/>
      <c r="Z168" s="719"/>
      <c r="AA168" s="719"/>
      <c r="AB168" s="719"/>
      <c r="AC168" s="719"/>
      <c r="AD168" s="719"/>
      <c r="AE168" s="719"/>
      <c r="AF168" s="719"/>
      <c r="AG168" s="719"/>
      <c r="AH168" s="719"/>
    </row>
    <row r="169" spans="1:34" s="721" customFormat="1" x14ac:dyDescent="0.2">
      <c r="A169" s="1774"/>
      <c r="B169" s="1684"/>
      <c r="C169" s="1705" t="s">
        <v>1170</v>
      </c>
      <c r="D169" s="1707" t="s">
        <v>1171</v>
      </c>
      <c r="E169" s="1707"/>
      <c r="F169" s="1707"/>
      <c r="G169" s="1707"/>
      <c r="H169" s="1707"/>
      <c r="I169" s="1723" t="s">
        <v>1172</v>
      </c>
      <c r="J169" s="1723"/>
      <c r="K169" s="741">
        <v>62751533.18</v>
      </c>
      <c r="L169" s="1870"/>
      <c r="M169" s="742">
        <v>84313866.25</v>
      </c>
      <c r="N169" s="1872"/>
      <c r="O169" s="742">
        <v>96917640</v>
      </c>
      <c r="P169" s="744"/>
      <c r="Q169" s="742"/>
      <c r="R169" s="1587"/>
      <c r="S169" s="1587"/>
      <c r="T169" s="1587"/>
      <c r="U169" s="1614"/>
      <c r="V169" s="1610"/>
      <c r="W169" s="1610"/>
      <c r="X169" s="1624"/>
      <c r="Y169" s="1586"/>
      <c r="Z169" s="719"/>
      <c r="AA169" s="719"/>
      <c r="AB169" s="719"/>
      <c r="AC169" s="719"/>
      <c r="AD169" s="719"/>
      <c r="AE169" s="719"/>
      <c r="AF169" s="719"/>
      <c r="AG169" s="719"/>
      <c r="AH169" s="719"/>
    </row>
    <row r="170" spans="1:34" s="721" customFormat="1" x14ac:dyDescent="0.2">
      <c r="A170" s="1774"/>
      <c r="B170" s="1684"/>
      <c r="C170" s="1705"/>
      <c r="D170" s="1707"/>
      <c r="E170" s="1707"/>
      <c r="F170" s="1707"/>
      <c r="G170" s="1707"/>
      <c r="H170" s="1707"/>
      <c r="I170" s="1723"/>
      <c r="J170" s="1723"/>
      <c r="K170" s="762"/>
      <c r="L170" s="1890"/>
      <c r="M170" s="763"/>
      <c r="N170" s="1890"/>
      <c r="O170" s="763"/>
      <c r="P170" s="1663"/>
      <c r="Q170" s="763"/>
      <c r="R170" s="1587"/>
      <c r="S170" s="1587"/>
      <c r="T170" s="1587"/>
      <c r="U170" s="1614"/>
      <c r="V170" s="1610"/>
      <c r="W170" s="1610"/>
      <c r="X170" s="1624"/>
      <c r="Y170" s="1586"/>
      <c r="Z170" s="719"/>
      <c r="AA170" s="719"/>
      <c r="AB170" s="719"/>
      <c r="AC170" s="719"/>
      <c r="AD170" s="719"/>
      <c r="AE170" s="719"/>
      <c r="AF170" s="719"/>
      <c r="AG170" s="719"/>
      <c r="AH170" s="719"/>
    </row>
    <row r="171" spans="1:34" s="721" customFormat="1" x14ac:dyDescent="0.2">
      <c r="A171" s="1774"/>
      <c r="B171" s="1684"/>
      <c r="C171" s="1705" t="s">
        <v>1173</v>
      </c>
      <c r="D171" s="1707" t="s">
        <v>1174</v>
      </c>
      <c r="E171" s="1707"/>
      <c r="F171" s="1707"/>
      <c r="G171" s="1707"/>
      <c r="H171" s="1707"/>
      <c r="I171" s="1723" t="s">
        <v>1175</v>
      </c>
      <c r="J171" s="1723"/>
      <c r="K171" s="741">
        <v>-27229692</v>
      </c>
      <c r="L171" s="1870"/>
      <c r="M171" s="742">
        <v>-103275758</v>
      </c>
      <c r="N171" s="1872"/>
      <c r="O171" s="742">
        <f>-187118786</f>
        <v>-187118786</v>
      </c>
      <c r="P171" s="744"/>
      <c r="Q171" s="742"/>
      <c r="R171" s="1587"/>
      <c r="S171" s="1587"/>
      <c r="T171" s="1587"/>
      <c r="U171" s="1614"/>
      <c r="V171" s="1610"/>
      <c r="W171" s="1610"/>
      <c r="X171" s="1624"/>
      <c r="Y171" s="1586"/>
      <c r="Z171" s="719"/>
      <c r="AA171" s="719"/>
      <c r="AB171" s="719"/>
      <c r="AC171" s="719"/>
      <c r="AD171" s="719"/>
      <c r="AE171" s="719"/>
      <c r="AF171" s="719"/>
      <c r="AG171" s="719"/>
      <c r="AH171" s="719"/>
    </row>
    <row r="172" spans="1:34" x14ac:dyDescent="0.2">
      <c r="A172" s="1683"/>
      <c r="B172" s="1684"/>
      <c r="C172" s="1729"/>
      <c r="D172" s="1686"/>
      <c r="E172" s="1686"/>
      <c r="F172" s="1686"/>
      <c r="G172" s="1686"/>
      <c r="H172" s="1686"/>
      <c r="I172" s="1701"/>
      <c r="J172" s="1701"/>
      <c r="K172" s="1616"/>
      <c r="L172" s="1889"/>
      <c r="M172" s="1617"/>
      <c r="N172" s="1889"/>
      <c r="O172" s="1617"/>
      <c r="P172" s="1617"/>
      <c r="Q172" s="1617"/>
      <c r="R172" s="1587"/>
      <c r="S172" s="1587"/>
      <c r="T172" s="1587"/>
      <c r="U172" s="1614"/>
      <c r="V172" s="1610"/>
      <c r="W172" s="1610"/>
      <c r="X172" s="1624"/>
      <c r="Y172" s="1586"/>
    </row>
    <row r="173" spans="1:34" ht="15" x14ac:dyDescent="0.25">
      <c r="A173" s="1683"/>
      <c r="B173" s="1684"/>
      <c r="C173" s="1709" t="s">
        <v>1176</v>
      </c>
      <c r="D173" s="1710" t="s">
        <v>1177</v>
      </c>
      <c r="E173" s="1710"/>
      <c r="F173" s="1710"/>
      <c r="G173" s="1710"/>
      <c r="H173" s="1710"/>
      <c r="I173" s="1739" t="s">
        <v>1178</v>
      </c>
      <c r="J173" s="1711"/>
      <c r="K173" s="1944">
        <f>+K167+K169+K171</f>
        <v>3225762669.0299993</v>
      </c>
      <c r="L173" s="1858"/>
      <c r="M173" s="1858">
        <f>+M167+M169+M171</f>
        <v>6411354281.3999996</v>
      </c>
      <c r="N173" s="1858"/>
      <c r="O173" s="1858">
        <f>+O167+O169+O171</f>
        <v>6780311504</v>
      </c>
      <c r="P173" s="1598"/>
      <c r="Q173" s="1598">
        <f>+Q167+Q169-Q171</f>
        <v>0</v>
      </c>
      <c r="R173" s="1587"/>
      <c r="S173" s="1587"/>
      <c r="T173" s="1587"/>
      <c r="U173" s="1614"/>
      <c r="V173" s="1610"/>
      <c r="W173" s="1610"/>
      <c r="X173" s="1624"/>
      <c r="Y173" s="1586"/>
    </row>
    <row r="174" spans="1:34" x14ac:dyDescent="0.2">
      <c r="A174" s="1683"/>
      <c r="B174" s="1684"/>
      <c r="C174" s="1729"/>
      <c r="D174" s="1686"/>
      <c r="E174" s="1686"/>
      <c r="F174" s="1686"/>
      <c r="G174" s="1686"/>
      <c r="H174" s="1686"/>
      <c r="I174" s="1701"/>
      <c r="J174" s="1701"/>
      <c r="K174" s="1616"/>
      <c r="L174" s="1889"/>
      <c r="M174" s="1617"/>
      <c r="N174" s="1889"/>
      <c r="O174" s="1617"/>
      <c r="P174" s="1617"/>
      <c r="Q174" s="1617"/>
      <c r="R174" s="1587"/>
      <c r="S174" s="1587"/>
      <c r="T174" s="1587"/>
      <c r="U174" s="1620"/>
      <c r="V174" s="1610"/>
      <c r="W174" s="1610"/>
      <c r="X174" s="1624"/>
      <c r="Y174" s="1586"/>
    </row>
    <row r="175" spans="1:34" x14ac:dyDescent="0.2">
      <c r="A175" s="1683"/>
      <c r="B175" s="1684"/>
      <c r="C175" s="1729"/>
      <c r="D175" s="1686"/>
      <c r="E175" s="1686"/>
      <c r="F175" s="1686"/>
      <c r="G175" s="1686"/>
      <c r="H175" s="1686"/>
      <c r="I175" s="1737"/>
      <c r="J175" s="1737"/>
      <c r="K175" s="1664"/>
      <c r="L175" s="1892"/>
      <c r="M175" s="1665"/>
      <c r="N175" s="1893"/>
      <c r="O175" s="1665"/>
      <c r="P175" s="1665"/>
      <c r="Q175" s="1665"/>
      <c r="R175" s="1587"/>
      <c r="S175" s="1587"/>
      <c r="T175" s="1587"/>
      <c r="U175" s="1614"/>
      <c r="V175" s="1610"/>
      <c r="W175" s="1610"/>
      <c r="X175" s="1624"/>
      <c r="Y175" s="1586"/>
    </row>
    <row r="176" spans="1:34" x14ac:dyDescent="0.2">
      <c r="A176" s="1683"/>
      <c r="B176" s="1684"/>
      <c r="C176" s="1705" t="s">
        <v>1179</v>
      </c>
      <c r="D176" s="1707" t="s">
        <v>1180</v>
      </c>
      <c r="E176" s="1707"/>
      <c r="F176" s="1707"/>
      <c r="G176" s="1707"/>
      <c r="H176" s="1707"/>
      <c r="I176" s="1723" t="s">
        <v>1181</v>
      </c>
      <c r="J176" s="1723"/>
      <c r="K176" s="741">
        <v>-761315576</v>
      </c>
      <c r="L176" s="1870"/>
      <c r="M176" s="742">
        <v>-1397025442.96</v>
      </c>
      <c r="N176" s="1870"/>
      <c r="O176" s="742">
        <v>-1471755258</v>
      </c>
      <c r="P176" s="742"/>
      <c r="Q176" s="742"/>
      <c r="R176" s="1587"/>
      <c r="S176" s="1587"/>
      <c r="T176" s="1587"/>
      <c r="U176" s="1620"/>
      <c r="V176" s="1610"/>
      <c r="W176" s="1610"/>
      <c r="X176" s="1624"/>
      <c r="Y176" s="1586"/>
    </row>
    <row r="177" spans="1:34" x14ac:dyDescent="0.2">
      <c r="A177" s="1683"/>
      <c r="B177" s="1684"/>
      <c r="C177" s="1729"/>
      <c r="D177" s="1686"/>
      <c r="E177" s="1686"/>
      <c r="F177" s="1686"/>
      <c r="G177" s="1686"/>
      <c r="H177" s="1686"/>
      <c r="I177" s="1701"/>
      <c r="J177" s="1701"/>
      <c r="K177" s="1616"/>
      <c r="L177" s="1889"/>
      <c r="M177" s="1617"/>
      <c r="N177" s="1889"/>
      <c r="O177" s="1617"/>
      <c r="P177" s="1617"/>
      <c r="Q177" s="1617"/>
      <c r="R177" s="1587"/>
      <c r="S177" s="1587"/>
      <c r="T177" s="1587"/>
      <c r="U177" s="1614"/>
      <c r="V177" s="1610"/>
      <c r="W177" s="1610"/>
      <c r="X177" s="1624"/>
      <c r="Y177" s="1586"/>
    </row>
    <row r="178" spans="1:34" ht="15" x14ac:dyDescent="0.25">
      <c r="A178" s="1683"/>
      <c r="B178" s="1684"/>
      <c r="C178" s="1776" t="s">
        <v>1182</v>
      </c>
      <c r="D178" s="1732" t="s">
        <v>1183</v>
      </c>
      <c r="E178" s="1733"/>
      <c r="F178" s="1733"/>
      <c r="G178" s="1733"/>
      <c r="H178" s="1733"/>
      <c r="I178" s="1777" t="s">
        <v>1184</v>
      </c>
      <c r="J178" s="1734"/>
      <c r="K178" s="1943">
        <f>+K173+K176</f>
        <v>2464447093.0299993</v>
      </c>
      <c r="L178" s="1857"/>
      <c r="M178" s="1857">
        <f>+M173+M176</f>
        <v>5014328838.4399996</v>
      </c>
      <c r="N178" s="1857"/>
      <c r="O178" s="1857">
        <f>+O173+O176</f>
        <v>5308556246</v>
      </c>
      <c r="P178" s="1619"/>
      <c r="Q178" s="1619">
        <f>+Q173-Q176</f>
        <v>0</v>
      </c>
      <c r="R178" s="1587"/>
      <c r="S178" s="1587"/>
      <c r="T178" s="1587"/>
      <c r="U178" s="1614"/>
      <c r="V178" s="1610"/>
      <c r="W178" s="1615">
        <f>K178-M178</f>
        <v>-2549881745.4100003</v>
      </c>
      <c r="X178" s="1608">
        <f>W178/M178</f>
        <v>-0.50851905161514899</v>
      </c>
      <c r="Y178" s="1586"/>
    </row>
    <row r="179" spans="1:34" s="1179" customFormat="1" ht="15" x14ac:dyDescent="0.25">
      <c r="A179" s="1741"/>
      <c r="B179" s="1742"/>
      <c r="C179" s="1742"/>
      <c r="D179" s="1744" t="s">
        <v>1501</v>
      </c>
      <c r="E179" s="1744"/>
      <c r="F179" s="1744"/>
      <c r="G179" s="1744"/>
      <c r="H179" s="1744"/>
      <c r="I179" s="1744"/>
      <c r="J179" s="1744"/>
      <c r="K179" s="1894">
        <f>K178-K92</f>
        <v>0</v>
      </c>
      <c r="L179" s="1744"/>
      <c r="M179" s="1894">
        <f>M178-M92</f>
        <v>0</v>
      </c>
      <c r="N179" s="1744"/>
      <c r="O179" s="1894">
        <f>O178-O92</f>
        <v>0</v>
      </c>
      <c r="P179" s="1629"/>
      <c r="Q179" s="1629"/>
      <c r="R179" s="1629"/>
      <c r="S179" s="1629"/>
      <c r="T179" s="1629"/>
      <c r="U179" s="1630"/>
      <c r="V179" s="1666"/>
      <c r="W179" s="1666"/>
      <c r="X179" s="1631"/>
      <c r="Y179" s="1628"/>
    </row>
    <row r="180" spans="1:34" ht="6.75" customHeight="1" x14ac:dyDescent="0.2">
      <c r="A180" s="1683"/>
      <c r="B180" s="1684"/>
      <c r="C180" s="1684"/>
      <c r="D180" s="1684"/>
      <c r="E180" s="1684"/>
      <c r="F180" s="1684"/>
      <c r="G180" s="1684"/>
      <c r="H180" s="1684"/>
      <c r="I180" s="1684"/>
      <c r="J180" s="1684"/>
      <c r="K180" s="1687"/>
      <c r="L180" s="1684"/>
      <c r="M180" s="1684"/>
      <c r="N180" s="1684"/>
      <c r="O180" s="1684"/>
      <c r="P180" s="1587"/>
      <c r="Q180" s="1587"/>
      <c r="R180" s="1587"/>
      <c r="S180" s="1587"/>
      <c r="T180" s="1587"/>
      <c r="U180" s="1590"/>
      <c r="V180" s="1609"/>
      <c r="W180" s="1612"/>
      <c r="X180" s="1624"/>
      <c r="Y180" s="1586"/>
    </row>
    <row r="181" spans="1:34" ht="5.25" customHeight="1" x14ac:dyDescent="0.2">
      <c r="A181" s="1683"/>
      <c r="B181" s="1684"/>
      <c r="C181" s="1684"/>
      <c r="D181" s="1684"/>
      <c r="E181" s="1684"/>
      <c r="F181" s="1684"/>
      <c r="G181" s="1684"/>
      <c r="H181" s="1684"/>
      <c r="I181" s="1684"/>
      <c r="J181" s="1684"/>
      <c r="K181" s="1687"/>
      <c r="L181" s="1684"/>
      <c r="M181" s="1684"/>
      <c r="N181" s="1684"/>
      <c r="O181" s="1684"/>
      <c r="P181" s="1587"/>
      <c r="Q181" s="1587"/>
      <c r="R181" s="1587"/>
      <c r="S181" s="1587"/>
      <c r="T181" s="1587"/>
      <c r="U181" s="1590"/>
      <c r="V181" s="1609"/>
      <c r="W181" s="1612"/>
      <c r="X181" s="1624"/>
      <c r="Y181" s="1586"/>
    </row>
    <row r="182" spans="1:34" ht="12" hidden="1" customHeight="1" x14ac:dyDescent="0.25">
      <c r="A182" s="1683"/>
      <c r="B182" s="1683"/>
      <c r="C182" s="1695" t="s">
        <v>339</v>
      </c>
      <c r="D182" s="2608" t="s">
        <v>1094</v>
      </c>
      <c r="E182" s="2609"/>
      <c r="F182" s="2609"/>
      <c r="G182" s="2609"/>
      <c r="H182" s="2610"/>
      <c r="I182" s="2611" t="s">
        <v>1019</v>
      </c>
      <c r="J182" s="1878"/>
      <c r="K182" s="1879"/>
      <c r="L182" s="1880"/>
      <c r="M182" s="1880"/>
      <c r="N182" s="1880"/>
      <c r="O182" s="1880"/>
      <c r="P182" s="1640"/>
      <c r="Q182" s="1641"/>
      <c r="R182" s="1586"/>
      <c r="S182" s="1586"/>
      <c r="T182" s="1586"/>
      <c r="U182" s="1590"/>
      <c r="V182" s="1609"/>
      <c r="W182" s="1612"/>
      <c r="X182" s="1624"/>
      <c r="Y182" s="1586"/>
    </row>
    <row r="183" spans="1:34" ht="15" hidden="1" x14ac:dyDescent="0.25">
      <c r="A183" s="1683"/>
      <c r="B183" s="1683"/>
      <c r="C183" s="1696"/>
      <c r="D183" s="1752"/>
      <c r="E183" s="1752"/>
      <c r="F183" s="1752"/>
      <c r="G183" s="1752"/>
      <c r="H183" s="1752"/>
      <c r="I183" s="2612"/>
      <c r="J183" s="2606" t="e">
        <f>DATE($F$29,$E$29,$D$29)</f>
        <v>#NUM!</v>
      </c>
      <c r="K183" s="2607"/>
      <c r="L183" s="2606"/>
      <c r="M183" s="2607"/>
      <c r="N183" s="2606" t="e">
        <f>DATE($F$31,$E$31,$D$31)</f>
        <v>#NUM!</v>
      </c>
      <c r="O183" s="2607"/>
      <c r="P183" s="2613">
        <f>DATE($F$32,$E$32,$D$32)</f>
        <v>366</v>
      </c>
      <c r="Q183" s="2614"/>
      <c r="R183" s="1586"/>
      <c r="S183" s="1586"/>
      <c r="T183" s="1586"/>
      <c r="U183" s="1590"/>
      <c r="V183" s="1609"/>
      <c r="W183" s="1612"/>
      <c r="X183" s="1624"/>
      <c r="Y183" s="1586"/>
    </row>
    <row r="184" spans="1:34" hidden="1" x14ac:dyDescent="0.2">
      <c r="A184" s="1683"/>
      <c r="B184" s="1683"/>
      <c r="C184" s="1895"/>
      <c r="D184" s="1896"/>
      <c r="E184" s="1896"/>
      <c r="F184" s="1896"/>
      <c r="G184" s="1896"/>
      <c r="H184" s="1896"/>
      <c r="I184" s="1895"/>
      <c r="J184" s="1897"/>
      <c r="K184" s="1898"/>
      <c r="L184" s="1899"/>
      <c r="M184" s="1900"/>
      <c r="N184" s="1899"/>
      <c r="O184" s="1900"/>
      <c r="P184" s="1667"/>
      <c r="Q184" s="1668"/>
      <c r="R184" s="1586"/>
      <c r="S184" s="1586"/>
      <c r="T184" s="1586"/>
      <c r="U184" s="1590"/>
      <c r="V184" s="1609"/>
      <c r="W184" s="1612"/>
      <c r="X184" s="1624"/>
      <c r="Y184" s="1586"/>
    </row>
    <row r="185" spans="1:34" ht="0.75" hidden="1" customHeight="1" x14ac:dyDescent="0.2">
      <c r="A185" s="1683"/>
      <c r="B185" s="1683"/>
      <c r="C185" s="1901"/>
      <c r="D185" s="1684"/>
      <c r="E185" s="1684"/>
      <c r="F185" s="1684"/>
      <c r="G185" s="1684"/>
      <c r="H185" s="1902">
        <v>0</v>
      </c>
      <c r="I185" s="1901"/>
      <c r="J185" s="1903"/>
      <c r="K185" s="1904"/>
      <c r="L185" s="1905"/>
      <c r="M185" s="1906"/>
      <c r="N185" s="1905"/>
      <c r="O185" s="1906"/>
      <c r="P185" s="1669"/>
      <c r="Q185" s="1670"/>
      <c r="R185" s="1586"/>
      <c r="S185" s="1586"/>
      <c r="T185" s="1586"/>
      <c r="U185" s="1590"/>
      <c r="V185" s="1609"/>
      <c r="W185" s="1612"/>
      <c r="X185" s="1624"/>
      <c r="Y185" s="1586"/>
    </row>
    <row r="186" spans="1:34" hidden="1" x14ac:dyDescent="0.2">
      <c r="A186" s="1683"/>
      <c r="B186" s="1683"/>
      <c r="C186" s="1907" t="s">
        <v>1185</v>
      </c>
      <c r="D186" s="1684" t="s">
        <v>1186</v>
      </c>
      <c r="E186" s="1684"/>
      <c r="F186" s="1684"/>
      <c r="G186" s="1684"/>
      <c r="H186" s="1684"/>
      <c r="I186" s="1901"/>
      <c r="J186" s="1903"/>
      <c r="K186" s="1908"/>
      <c r="L186" s="1905"/>
      <c r="M186" s="1906"/>
      <c r="N186" s="1905"/>
      <c r="O186" s="1906"/>
      <c r="P186" s="1669"/>
      <c r="Q186" s="1670"/>
      <c r="R186" s="1586"/>
      <c r="S186" s="1586"/>
      <c r="T186" s="1586"/>
      <c r="U186" s="1590"/>
      <c r="V186" s="1609"/>
      <c r="W186" s="1612"/>
      <c r="X186" s="1624"/>
      <c r="Y186" s="1586"/>
    </row>
    <row r="187" spans="1:34" hidden="1" x14ac:dyDescent="0.2">
      <c r="A187" s="1683"/>
      <c r="B187" s="1683"/>
      <c r="C187" s="1901">
        <v>2</v>
      </c>
      <c r="D187" s="1684" t="s">
        <v>1187</v>
      </c>
      <c r="E187" s="1684"/>
      <c r="F187" s="1684"/>
      <c r="G187" s="1684"/>
      <c r="H187" s="1684"/>
      <c r="I187" s="1901"/>
      <c r="J187" s="1903"/>
      <c r="K187" s="1908"/>
      <c r="L187" s="1905"/>
      <c r="M187" s="1906"/>
      <c r="N187" s="1905"/>
      <c r="O187" s="1906"/>
      <c r="P187" s="1669"/>
      <c r="Q187" s="1670"/>
      <c r="R187" s="1586"/>
      <c r="S187" s="1586"/>
      <c r="T187" s="1586"/>
      <c r="U187" s="1590"/>
      <c r="V187" s="1609"/>
      <c r="W187" s="1612"/>
      <c r="X187" s="1624"/>
      <c r="Y187" s="1586"/>
    </row>
    <row r="188" spans="1:34" s="720" customFormat="1" hidden="1" x14ac:dyDescent="0.2">
      <c r="A188" s="1768"/>
      <c r="B188" s="1683"/>
      <c r="C188" s="1901">
        <v>3</v>
      </c>
      <c r="D188" s="1684" t="s">
        <v>1188</v>
      </c>
      <c r="E188" s="1684"/>
      <c r="F188" s="1684"/>
      <c r="G188" s="1684"/>
      <c r="H188" s="1684"/>
      <c r="I188" s="1901"/>
      <c r="J188" s="1903"/>
      <c r="K188" s="1908"/>
      <c r="L188" s="1905"/>
      <c r="M188" s="1906"/>
      <c r="N188" s="1905"/>
      <c r="O188" s="1906"/>
      <c r="P188" s="1669"/>
      <c r="Q188" s="1670"/>
      <c r="R188" s="1586"/>
      <c r="S188" s="1586"/>
      <c r="T188" s="1586"/>
      <c r="U188" s="1590"/>
      <c r="V188" s="1609"/>
      <c r="W188" s="1612"/>
      <c r="X188" s="1624"/>
      <c r="Y188" s="1586"/>
      <c r="Z188" s="719"/>
      <c r="AA188" s="719"/>
      <c r="AB188" s="719"/>
      <c r="AC188" s="719"/>
      <c r="AD188" s="719"/>
      <c r="AE188" s="719"/>
      <c r="AF188" s="719"/>
      <c r="AG188" s="719"/>
      <c r="AH188" s="719"/>
    </row>
    <row r="189" spans="1:34" s="720" customFormat="1" hidden="1" x14ac:dyDescent="0.2">
      <c r="A189" s="1768"/>
      <c r="B189" s="1683"/>
      <c r="C189" s="1901">
        <v>4</v>
      </c>
      <c r="D189" s="1684" t="s">
        <v>1189</v>
      </c>
      <c r="E189" s="1684"/>
      <c r="F189" s="1684"/>
      <c r="G189" s="1684"/>
      <c r="H189" s="1684"/>
      <c r="I189" s="1901"/>
      <c r="J189" s="1903"/>
      <c r="K189" s="1908"/>
      <c r="L189" s="1905"/>
      <c r="M189" s="1906"/>
      <c r="N189" s="1905"/>
      <c r="O189" s="1906"/>
      <c r="P189" s="1669"/>
      <c r="Q189" s="1670"/>
      <c r="R189" s="1586"/>
      <c r="S189" s="1586"/>
      <c r="T189" s="1586"/>
      <c r="U189" s="1590"/>
      <c r="V189" s="1609"/>
      <c r="W189" s="1612"/>
      <c r="X189" s="1624"/>
      <c r="Y189" s="1586"/>
      <c r="Z189" s="719"/>
      <c r="AA189" s="719"/>
      <c r="AB189" s="719"/>
      <c r="AC189" s="719"/>
      <c r="AD189" s="719"/>
      <c r="AE189" s="719"/>
      <c r="AF189" s="719"/>
      <c r="AG189" s="719"/>
      <c r="AH189" s="719"/>
    </row>
    <row r="190" spans="1:34" s="720" customFormat="1" hidden="1" x14ac:dyDescent="0.2">
      <c r="A190" s="1768"/>
      <c r="B190" s="1683"/>
      <c r="C190" s="1901">
        <v>5</v>
      </c>
      <c r="D190" s="1684" t="s">
        <v>1190</v>
      </c>
      <c r="E190" s="1684"/>
      <c r="F190" s="1684"/>
      <c r="G190" s="1684"/>
      <c r="H190" s="1684"/>
      <c r="I190" s="1901"/>
      <c r="J190" s="1903"/>
      <c r="K190" s="1908"/>
      <c r="L190" s="1905"/>
      <c r="M190" s="1906"/>
      <c r="N190" s="1905"/>
      <c r="O190" s="1906"/>
      <c r="P190" s="1669"/>
      <c r="Q190" s="1670"/>
      <c r="R190" s="1586"/>
      <c r="S190" s="1586"/>
      <c r="T190" s="1586"/>
      <c r="U190" s="1590"/>
      <c r="V190" s="1609"/>
      <c r="W190" s="1612"/>
      <c r="X190" s="1624"/>
      <c r="Y190" s="1586"/>
      <c r="Z190" s="719"/>
      <c r="AA190" s="719"/>
      <c r="AB190" s="719"/>
      <c r="AC190" s="719"/>
      <c r="AD190" s="719"/>
      <c r="AE190" s="719"/>
      <c r="AF190" s="719"/>
      <c r="AG190" s="719"/>
      <c r="AH190" s="719"/>
    </row>
    <row r="191" spans="1:34" s="720" customFormat="1" hidden="1" x14ac:dyDescent="0.2">
      <c r="A191" s="1768"/>
      <c r="B191" s="1683"/>
      <c r="C191" s="1909"/>
      <c r="D191" s="1910"/>
      <c r="E191" s="1910"/>
      <c r="F191" s="1910"/>
      <c r="G191" s="1910"/>
      <c r="H191" s="1910"/>
      <c r="I191" s="1909"/>
      <c r="J191" s="1911"/>
      <c r="K191" s="1912"/>
      <c r="L191" s="1913"/>
      <c r="M191" s="1914"/>
      <c r="N191" s="1913"/>
      <c r="O191" s="1914"/>
      <c r="P191" s="1671"/>
      <c r="Q191" s="1672"/>
      <c r="R191" s="1586"/>
      <c r="S191" s="1586"/>
      <c r="T191" s="1586"/>
      <c r="U191" s="1590"/>
      <c r="V191" s="1609"/>
      <c r="W191" s="1612"/>
      <c r="X191" s="1624"/>
      <c r="Y191" s="1586"/>
      <c r="Z191" s="719"/>
      <c r="AA191" s="719"/>
      <c r="AB191" s="719"/>
      <c r="AC191" s="719"/>
      <c r="AD191" s="719"/>
      <c r="AE191" s="719"/>
      <c r="AF191" s="719"/>
      <c r="AG191" s="719"/>
      <c r="AH191" s="719"/>
    </row>
    <row r="192" spans="1:34" s="720" customFormat="1" hidden="1" x14ac:dyDescent="0.2">
      <c r="A192" s="1768"/>
      <c r="B192" s="1683"/>
      <c r="C192" s="1895">
        <v>6</v>
      </c>
      <c r="D192" s="1915" t="s">
        <v>1191</v>
      </c>
      <c r="E192" s="1896"/>
      <c r="F192" s="1896"/>
      <c r="G192" s="1896"/>
      <c r="H192" s="1916"/>
      <c r="I192" s="1917"/>
      <c r="J192" s="1918"/>
      <c r="K192" s="1908"/>
      <c r="L192" s="1919"/>
      <c r="M192" s="1906"/>
      <c r="N192" s="1919"/>
      <c r="O192" s="1906"/>
      <c r="P192" s="1673"/>
      <c r="Q192" s="1670"/>
      <c r="R192" s="1586"/>
      <c r="S192" s="1586"/>
      <c r="T192" s="1586"/>
      <c r="U192" s="1590"/>
      <c r="V192" s="1609"/>
      <c r="W192" s="1612"/>
      <c r="X192" s="1624"/>
      <c r="Y192" s="1586"/>
      <c r="Z192" s="719"/>
      <c r="AA192" s="719"/>
      <c r="AB192" s="719"/>
      <c r="AC192" s="719"/>
      <c r="AD192" s="719"/>
      <c r="AE192" s="719"/>
      <c r="AF192" s="719"/>
      <c r="AG192" s="719"/>
      <c r="AH192" s="719"/>
    </row>
    <row r="193" spans="1:34" s="720" customFormat="1" hidden="1" x14ac:dyDescent="0.2">
      <c r="A193" s="1768"/>
      <c r="B193" s="1683"/>
      <c r="C193" s="1901"/>
      <c r="D193" s="2602" t="s">
        <v>1192</v>
      </c>
      <c r="E193" s="2603"/>
      <c r="F193" s="2603"/>
      <c r="G193" s="2603"/>
      <c r="H193" s="1920"/>
      <c r="I193" s="1921">
        <v>1000</v>
      </c>
      <c r="J193" s="1922" t="e">
        <f>K193/K198</f>
        <v>#DIV/0!</v>
      </c>
      <c r="K193" s="1908"/>
      <c r="L193" s="1923"/>
      <c r="M193" s="1924"/>
      <c r="N193" s="1923" t="e">
        <f>O193/O198</f>
        <v>#DIV/0!</v>
      </c>
      <c r="O193" s="1924"/>
      <c r="P193" s="1674">
        <v>0</v>
      </c>
      <c r="Q193" s="1670"/>
      <c r="R193" s="1586"/>
      <c r="S193" s="1586"/>
      <c r="T193" s="1586"/>
      <c r="U193" s="1590"/>
      <c r="V193" s="1609"/>
      <c r="W193" s="1612"/>
      <c r="X193" s="1624"/>
      <c r="Y193" s="1586"/>
      <c r="Z193" s="719"/>
      <c r="AA193" s="719"/>
      <c r="AB193" s="719"/>
      <c r="AC193" s="719"/>
      <c r="AD193" s="719"/>
      <c r="AE193" s="719"/>
      <c r="AF193" s="719"/>
      <c r="AG193" s="719"/>
      <c r="AH193" s="719"/>
    </row>
    <row r="194" spans="1:34" s="720" customFormat="1" hidden="1" x14ac:dyDescent="0.2">
      <c r="A194" s="1768"/>
      <c r="B194" s="1683"/>
      <c r="C194" s="1901"/>
      <c r="D194" s="1925" t="s">
        <v>1193</v>
      </c>
      <c r="E194" s="1684"/>
      <c r="F194" s="1684"/>
      <c r="G194" s="1684"/>
      <c r="H194" s="1920"/>
      <c r="I194" s="1921">
        <v>3000</v>
      </c>
      <c r="J194" s="1922" t="e">
        <f>K194/K198</f>
        <v>#DIV/0!</v>
      </c>
      <c r="K194" s="1908"/>
      <c r="L194" s="1923"/>
      <c r="M194" s="1924"/>
      <c r="N194" s="1923">
        <v>0</v>
      </c>
      <c r="O194" s="1924"/>
      <c r="P194" s="1674" t="e">
        <f>Q194/Q199</f>
        <v>#DIV/0!</v>
      </c>
      <c r="Q194" s="1670"/>
      <c r="R194" s="1586"/>
      <c r="S194" s="1586"/>
      <c r="T194" s="1586"/>
      <c r="U194" s="1590"/>
      <c r="V194" s="1609"/>
      <c r="W194" s="1612"/>
      <c r="X194" s="1624"/>
      <c r="Y194" s="1586"/>
      <c r="Z194" s="719"/>
      <c r="AA194" s="719"/>
      <c r="AB194" s="719"/>
      <c r="AC194" s="719"/>
      <c r="AD194" s="719"/>
      <c r="AE194" s="719"/>
      <c r="AF194" s="719"/>
      <c r="AG194" s="719"/>
      <c r="AH194" s="719"/>
    </row>
    <row r="195" spans="1:34" s="720" customFormat="1" ht="15" hidden="1" x14ac:dyDescent="0.25">
      <c r="A195" s="1768"/>
      <c r="B195" s="1683"/>
      <c r="C195" s="1901"/>
      <c r="D195" s="1925" t="s">
        <v>1194</v>
      </c>
      <c r="E195" s="1684"/>
      <c r="F195" s="1684"/>
      <c r="G195" s="1684"/>
      <c r="H195" s="1920"/>
      <c r="I195" s="1921">
        <v>6000</v>
      </c>
      <c r="J195" s="1922" t="e">
        <f>K195/K198</f>
        <v>#DIV/0!</v>
      </c>
      <c r="K195" s="1926"/>
      <c r="L195" s="1922"/>
      <c r="M195" s="1927"/>
      <c r="N195" s="1922" t="e">
        <f>O195/O198</f>
        <v>#DIV/0!</v>
      </c>
      <c r="O195" s="1927"/>
      <c r="P195" s="1674">
        <v>0</v>
      </c>
      <c r="Q195" s="1670"/>
      <c r="R195" s="1586"/>
      <c r="S195" s="1586"/>
      <c r="T195" s="1586"/>
      <c r="U195" s="1590"/>
      <c r="V195" s="1609"/>
      <c r="W195" s="1612"/>
      <c r="X195" s="1624"/>
      <c r="Y195" s="1586"/>
      <c r="Z195" s="719"/>
      <c r="AA195" s="719"/>
      <c r="AB195" s="719"/>
      <c r="AC195" s="719"/>
      <c r="AD195" s="719"/>
      <c r="AE195" s="719"/>
      <c r="AF195" s="719"/>
      <c r="AG195" s="719"/>
      <c r="AH195" s="719"/>
    </row>
    <row r="196" spans="1:34" s="720" customFormat="1" hidden="1" x14ac:dyDescent="0.2">
      <c r="A196" s="1768"/>
      <c r="B196" s="1683"/>
      <c r="C196" s="1901"/>
      <c r="D196" s="2604" t="s">
        <v>1195</v>
      </c>
      <c r="E196" s="2605"/>
      <c r="F196" s="2605"/>
      <c r="G196" s="2605"/>
      <c r="H196" s="1920"/>
      <c r="I196" s="1921">
        <v>8000</v>
      </c>
      <c r="J196" s="1922" t="e">
        <f>K196/K198</f>
        <v>#DIV/0!</v>
      </c>
      <c r="K196" s="1928"/>
      <c r="L196" s="1923"/>
      <c r="M196" s="1929"/>
      <c r="N196" s="1923"/>
      <c r="O196" s="1924"/>
      <c r="P196" s="1674">
        <v>0</v>
      </c>
      <c r="Q196" s="1670"/>
      <c r="R196" s="1586"/>
      <c r="S196" s="1586"/>
      <c r="T196" s="1586"/>
      <c r="U196" s="1590"/>
      <c r="V196" s="1609"/>
      <c r="W196" s="1612"/>
      <c r="X196" s="1624"/>
      <c r="Y196" s="1586"/>
      <c r="Z196" s="719"/>
      <c r="AA196" s="719"/>
      <c r="AB196" s="719"/>
      <c r="AC196" s="719"/>
      <c r="AD196" s="719"/>
      <c r="AE196" s="719"/>
      <c r="AF196" s="719"/>
      <c r="AG196" s="719"/>
      <c r="AH196" s="719"/>
    </row>
    <row r="197" spans="1:34" s="720" customFormat="1" ht="15" hidden="1" x14ac:dyDescent="0.25">
      <c r="A197" s="1768"/>
      <c r="B197" s="1683"/>
      <c r="C197" s="1901"/>
      <c r="D197" s="1930" t="s">
        <v>1196</v>
      </c>
      <c r="E197" s="1684"/>
      <c r="F197" s="1684"/>
      <c r="G197" s="1684"/>
      <c r="H197" s="1920"/>
      <c r="I197" s="1921">
        <v>9990</v>
      </c>
      <c r="J197" s="1922" t="e">
        <f>K197/K198</f>
        <v>#DIV/0!</v>
      </c>
      <c r="K197" s="1926"/>
      <c r="L197" s="1922"/>
      <c r="M197" s="1927"/>
      <c r="N197" s="1922" t="e">
        <f>O197/O198</f>
        <v>#DIV/0!</v>
      </c>
      <c r="O197" s="1927"/>
      <c r="P197" s="1674">
        <v>0</v>
      </c>
      <c r="Q197" s="1670"/>
      <c r="R197" s="1586"/>
      <c r="S197" s="1586"/>
      <c r="T197" s="1586"/>
      <c r="U197" s="1590"/>
      <c r="V197" s="1609"/>
      <c r="W197" s="1612"/>
      <c r="X197" s="1624"/>
      <c r="Y197" s="1586"/>
      <c r="Z197" s="719"/>
      <c r="AA197" s="719"/>
      <c r="AB197" s="719"/>
      <c r="AC197" s="719"/>
      <c r="AD197" s="719"/>
      <c r="AE197" s="719"/>
      <c r="AF197" s="719"/>
      <c r="AG197" s="719"/>
      <c r="AH197" s="719"/>
    </row>
    <row r="198" spans="1:34" s="720" customFormat="1" hidden="1" x14ac:dyDescent="0.2">
      <c r="A198" s="1768"/>
      <c r="B198" s="1683"/>
      <c r="C198" s="1931"/>
      <c r="D198" s="1932" t="s">
        <v>1197</v>
      </c>
      <c r="E198" s="1933"/>
      <c r="F198" s="1933"/>
      <c r="G198" s="1933"/>
      <c r="H198" s="1934"/>
      <c r="I198" s="1935"/>
      <c r="J198" s="1931"/>
      <c r="K198" s="1936">
        <f>SUM(K193:K197)</f>
        <v>0</v>
      </c>
      <c r="L198" s="1933"/>
      <c r="M198" s="1937"/>
      <c r="N198" s="1933"/>
      <c r="O198" s="1937">
        <f>SUM(O193:O197)</f>
        <v>0</v>
      </c>
      <c r="P198" s="1675"/>
      <c r="Q198" s="1676">
        <f>SUM(Q193:Q197)</f>
        <v>0</v>
      </c>
      <c r="R198" s="1677"/>
      <c r="S198" s="1677"/>
      <c r="T198" s="1677"/>
      <c r="U198" s="1590"/>
      <c r="V198" s="1609"/>
      <c r="W198" s="1612"/>
      <c r="X198" s="1624"/>
      <c r="Y198" s="1586"/>
      <c r="Z198" s="719"/>
      <c r="AA198" s="719"/>
      <c r="AB198" s="719"/>
      <c r="AC198" s="719"/>
      <c r="AD198" s="719"/>
      <c r="AE198" s="719"/>
      <c r="AF198" s="719"/>
      <c r="AG198" s="719"/>
      <c r="AH198" s="719"/>
    </row>
    <row r="199" spans="1:34" s="720" customFormat="1" hidden="1" x14ac:dyDescent="0.2">
      <c r="A199" s="1768"/>
      <c r="B199" s="1683"/>
      <c r="C199" s="1683"/>
      <c r="D199" s="1683" t="s">
        <v>1198</v>
      </c>
      <c r="E199" s="1683"/>
      <c r="F199" s="1683"/>
      <c r="G199" s="1683"/>
      <c r="H199" s="1683"/>
      <c r="I199" s="1683"/>
      <c r="J199" s="1683"/>
      <c r="K199" s="1938">
        <f>SUM(K50:K53)-SUM(K193:K197)</f>
        <v>52970770845.799995</v>
      </c>
      <c r="L199" s="1683"/>
      <c r="M199" s="1939"/>
      <c r="N199" s="1683"/>
      <c r="O199" s="1939">
        <f>SUM(O50:O53)-SUM(O193:O197)</f>
        <v>51396816258</v>
      </c>
      <c r="P199" s="1586"/>
      <c r="Q199" s="1678">
        <f>SUM(Q51:Q53)-SUM(Q193:Q197)</f>
        <v>0</v>
      </c>
      <c r="R199" s="1586"/>
      <c r="S199" s="1586"/>
      <c r="T199" s="1586"/>
      <c r="U199" s="1590"/>
      <c r="V199" s="1609"/>
      <c r="W199" s="1612"/>
      <c r="X199" s="1624"/>
      <c r="Y199" s="1586"/>
      <c r="Z199" s="719"/>
      <c r="AA199" s="719"/>
      <c r="AB199" s="719"/>
      <c r="AC199" s="719"/>
      <c r="AD199" s="719"/>
      <c r="AE199" s="719"/>
      <c r="AF199" s="719"/>
      <c r="AG199" s="719"/>
      <c r="AH199" s="719"/>
    </row>
    <row r="200" spans="1:34" s="720" customFormat="1" hidden="1" x14ac:dyDescent="0.2">
      <c r="A200" s="1768"/>
      <c r="B200" s="1683"/>
      <c r="C200" s="1683"/>
      <c r="D200" s="1683"/>
      <c r="E200" s="1683"/>
      <c r="F200" s="1683"/>
      <c r="G200" s="1683"/>
      <c r="H200" s="1683"/>
      <c r="I200" s="1683"/>
      <c r="J200" s="1683"/>
      <c r="K200" s="1828"/>
      <c r="L200" s="1683"/>
      <c r="M200" s="1683"/>
      <c r="N200" s="1683"/>
      <c r="O200" s="1683"/>
      <c r="P200" s="1586"/>
      <c r="Q200" s="1586"/>
      <c r="R200" s="1586"/>
      <c r="S200" s="1586"/>
      <c r="T200" s="1586"/>
      <c r="U200" s="1590"/>
      <c r="V200" s="1609"/>
      <c r="W200" s="1612"/>
      <c r="X200" s="1624"/>
      <c r="Y200" s="1586"/>
      <c r="Z200" s="719"/>
      <c r="AA200" s="719"/>
      <c r="AB200" s="719"/>
      <c r="AC200" s="719"/>
      <c r="AD200" s="719"/>
      <c r="AE200" s="719"/>
      <c r="AF200" s="719"/>
      <c r="AG200" s="719"/>
      <c r="AH200" s="719"/>
    </row>
    <row r="201" spans="1:34" s="720" customFormat="1" hidden="1" x14ac:dyDescent="0.2">
      <c r="A201" s="1768"/>
      <c r="B201" s="1683"/>
      <c r="C201" s="1683"/>
      <c r="D201" s="1683"/>
      <c r="E201" s="1683"/>
      <c r="F201" s="1683"/>
      <c r="G201" s="1683"/>
      <c r="H201" s="1683"/>
      <c r="I201" s="1683"/>
      <c r="J201" s="1683"/>
      <c r="K201" s="1828"/>
      <c r="L201" s="1683"/>
      <c r="M201" s="1683"/>
      <c r="N201" s="1683"/>
      <c r="O201" s="1683"/>
      <c r="P201" s="1586"/>
      <c r="Q201" s="1586"/>
      <c r="R201" s="1586"/>
      <c r="S201" s="1586"/>
      <c r="T201" s="1586"/>
      <c r="U201" s="1590"/>
      <c r="V201" s="1609"/>
      <c r="W201" s="1612"/>
      <c r="X201" s="1624"/>
      <c r="Y201" s="1586"/>
      <c r="Z201" s="719"/>
      <c r="AA201" s="719"/>
      <c r="AB201" s="719"/>
      <c r="AC201" s="719"/>
      <c r="AD201" s="719"/>
      <c r="AE201" s="719"/>
      <c r="AF201" s="719"/>
      <c r="AG201" s="719"/>
      <c r="AH201" s="719"/>
    </row>
    <row r="202" spans="1:34" s="720" customFormat="1" hidden="1" x14ac:dyDescent="0.2">
      <c r="A202" s="1768"/>
      <c r="B202" s="1683"/>
      <c r="C202" s="1683"/>
      <c r="D202" s="1683"/>
      <c r="E202" s="1683"/>
      <c r="F202" s="1683"/>
      <c r="G202" s="1683"/>
      <c r="H202" s="1683"/>
      <c r="I202" s="1683"/>
      <c r="J202" s="1683"/>
      <c r="K202" s="1828"/>
      <c r="L202" s="1683"/>
      <c r="M202" s="1683"/>
      <c r="N202" s="1683"/>
      <c r="O202" s="1683"/>
      <c r="P202" s="1586"/>
      <c r="Q202" s="1586"/>
      <c r="R202" s="1586"/>
      <c r="S202" s="1586"/>
      <c r="T202" s="1586"/>
      <c r="U202" s="1590"/>
      <c r="V202" s="1609"/>
      <c r="W202" s="1612"/>
      <c r="X202" s="1624"/>
      <c r="Y202" s="1586"/>
      <c r="Z202" s="719"/>
      <c r="AA202" s="719"/>
      <c r="AB202" s="719"/>
      <c r="AC202" s="719"/>
      <c r="AD202" s="719"/>
      <c r="AE202" s="719"/>
      <c r="AF202" s="719"/>
      <c r="AG202" s="719"/>
      <c r="AH202" s="719"/>
    </row>
    <row r="203" spans="1:34" s="720" customFormat="1" x14ac:dyDescent="0.2">
      <c r="A203" s="1768"/>
      <c r="B203" s="1683"/>
      <c r="C203" s="1683"/>
      <c r="D203" s="1683"/>
      <c r="E203" s="1683"/>
      <c r="F203" s="1683"/>
      <c r="G203" s="1683"/>
      <c r="H203" s="1683"/>
      <c r="I203" s="1683"/>
      <c r="J203" s="1683"/>
      <c r="K203" s="1938"/>
      <c r="L203" s="1683"/>
      <c r="M203" s="1940">
        <f>K178-M178</f>
        <v>-2549881745.4100003</v>
      </c>
      <c r="N203" s="1683"/>
      <c r="O203" s="1941">
        <f>O92-O178</f>
        <v>0</v>
      </c>
      <c r="P203" s="1586"/>
      <c r="Q203" s="1586"/>
      <c r="R203" s="1586"/>
      <c r="S203" s="1586"/>
      <c r="T203" s="1586"/>
      <c r="U203" s="1590"/>
      <c r="V203" s="1609"/>
      <c r="W203" s="1612"/>
      <c r="X203" s="1624"/>
      <c r="Y203" s="1586"/>
      <c r="Z203" s="719"/>
      <c r="AA203" s="719"/>
      <c r="AB203" s="719"/>
      <c r="AC203" s="719"/>
      <c r="AD203" s="719"/>
      <c r="AE203" s="719"/>
      <c r="AF203" s="719"/>
      <c r="AG203" s="719"/>
      <c r="AH203" s="719"/>
    </row>
    <row r="204" spans="1:34" x14ac:dyDescent="0.2">
      <c r="A204" s="1683"/>
      <c r="B204" s="1683"/>
      <c r="C204" s="1683"/>
      <c r="D204" s="1683"/>
      <c r="E204" s="1683"/>
      <c r="F204" s="1683"/>
      <c r="G204" s="1683"/>
      <c r="H204" s="1683"/>
      <c r="I204" s="1683"/>
      <c r="J204" s="1683"/>
      <c r="K204" s="1938">
        <f>K178-K92</f>
        <v>0</v>
      </c>
      <c r="L204" s="1683"/>
      <c r="M204" s="1942">
        <f>M203/M178</f>
        <v>-0.50851905161514899</v>
      </c>
      <c r="N204" s="1683"/>
      <c r="O204" s="1941"/>
      <c r="P204" s="1586"/>
      <c r="Q204" s="1586"/>
      <c r="R204" s="1586"/>
      <c r="S204" s="1586"/>
      <c r="T204" s="1586"/>
      <c r="U204" s="1590"/>
      <c r="V204" s="1609"/>
      <c r="W204" s="1612"/>
      <c r="X204" s="1624"/>
      <c r="Y204" s="1586"/>
    </row>
    <row r="205" spans="1:34" x14ac:dyDescent="0.2">
      <c r="A205" s="1586"/>
      <c r="B205" s="1586"/>
      <c r="C205" s="1586"/>
      <c r="D205" s="1586"/>
      <c r="E205" s="1586"/>
      <c r="F205" s="1586"/>
      <c r="G205" s="1586"/>
      <c r="H205" s="1586"/>
      <c r="I205" s="1586"/>
      <c r="J205" s="1586"/>
      <c r="K205" s="1680"/>
      <c r="L205" s="1586"/>
      <c r="M205" s="1681"/>
      <c r="N205" s="1586"/>
      <c r="O205" s="1678"/>
      <c r="P205" s="1586"/>
      <c r="Q205" s="1586"/>
      <c r="R205" s="1586"/>
      <c r="S205" s="1586"/>
      <c r="T205" s="1586"/>
      <c r="U205" s="1590"/>
      <c r="V205" s="1609"/>
      <c r="W205" s="1612"/>
      <c r="X205" s="1624"/>
      <c r="Y205" s="1586"/>
    </row>
    <row r="206" spans="1:34" x14ac:dyDescent="0.2">
      <c r="A206" s="1586"/>
      <c r="B206" s="1586"/>
      <c r="C206" s="1586"/>
      <c r="D206" s="1586"/>
      <c r="E206" s="1586"/>
      <c r="F206" s="1586"/>
      <c r="G206" s="1586"/>
      <c r="H206" s="1586"/>
      <c r="I206" s="1586"/>
      <c r="J206" s="1586"/>
      <c r="K206" s="1679"/>
      <c r="L206" s="1586"/>
      <c r="M206" s="1586"/>
      <c r="N206" s="1586"/>
      <c r="O206" s="1586"/>
      <c r="P206" s="1586"/>
      <c r="Q206" s="1586"/>
      <c r="R206" s="1586"/>
      <c r="S206" s="1586"/>
      <c r="T206" s="1586"/>
      <c r="U206" s="1590"/>
      <c r="V206" s="1609"/>
      <c r="W206" s="1612"/>
      <c r="X206" s="1624"/>
      <c r="Y206" s="1586"/>
    </row>
    <row r="207" spans="1:34" x14ac:dyDescent="0.2">
      <c r="A207" s="1586"/>
      <c r="B207" s="1586"/>
      <c r="C207" s="1586"/>
      <c r="D207" s="1586"/>
      <c r="E207" s="1586"/>
      <c r="F207" s="1586"/>
      <c r="G207" s="1586"/>
      <c r="H207" s="1586"/>
      <c r="I207" s="1586"/>
      <c r="J207" s="1586"/>
      <c r="K207" s="1679"/>
      <c r="L207" s="1586"/>
      <c r="M207" s="1586"/>
      <c r="N207" s="1586"/>
      <c r="O207" s="1586"/>
      <c r="P207" s="1586"/>
      <c r="Q207" s="1586"/>
      <c r="R207" s="1586"/>
      <c r="S207" s="1586"/>
      <c r="T207" s="1586"/>
      <c r="U207" s="1590"/>
      <c r="V207" s="1609"/>
      <c r="W207" s="1612"/>
      <c r="X207" s="1624"/>
      <c r="Y207" s="1586"/>
    </row>
    <row r="208" spans="1:34" x14ac:dyDescent="0.2">
      <c r="A208" s="1586"/>
      <c r="B208" s="1586"/>
      <c r="C208" s="1586"/>
      <c r="D208" s="1586"/>
      <c r="E208" s="1586"/>
      <c r="F208" s="1586"/>
      <c r="G208" s="1586"/>
      <c r="H208" s="1586"/>
      <c r="I208" s="1586"/>
      <c r="J208" s="1586"/>
      <c r="K208" s="1679"/>
      <c r="L208" s="1586"/>
      <c r="M208" s="1586"/>
      <c r="N208" s="1586"/>
      <c r="O208" s="1586"/>
      <c r="P208" s="1586"/>
      <c r="Q208" s="1586"/>
      <c r="R208" s="1586"/>
      <c r="S208" s="1586"/>
      <c r="T208" s="1586"/>
      <c r="U208" s="1590"/>
      <c r="V208" s="1609"/>
      <c r="W208" s="1612"/>
      <c r="X208" s="1624"/>
      <c r="Y208" s="1586"/>
    </row>
    <row r="209" spans="1:25" x14ac:dyDescent="0.2">
      <c r="A209" s="1586"/>
      <c r="B209" s="1586"/>
      <c r="C209" s="1586"/>
      <c r="D209" s="1586"/>
      <c r="E209" s="1586"/>
      <c r="F209" s="1586"/>
      <c r="G209" s="1586"/>
      <c r="H209" s="1586"/>
      <c r="I209" s="1586"/>
      <c r="J209" s="1586"/>
      <c r="K209" s="1679"/>
      <c r="L209" s="1586"/>
      <c r="M209" s="1586"/>
      <c r="N209" s="1586"/>
      <c r="O209" s="1586"/>
      <c r="P209" s="1586"/>
      <c r="Q209" s="1586"/>
      <c r="R209" s="1586"/>
      <c r="S209" s="1586"/>
      <c r="T209" s="1586"/>
      <c r="U209" s="1590"/>
      <c r="V209" s="1609"/>
      <c r="W209" s="1612"/>
      <c r="X209" s="1624"/>
      <c r="Y209" s="1586"/>
    </row>
    <row r="210" spans="1:25" x14ac:dyDescent="0.2">
      <c r="A210" s="1586"/>
      <c r="B210" s="1586"/>
      <c r="C210" s="1586"/>
      <c r="D210" s="1586"/>
      <c r="E210" s="1586"/>
      <c r="F210" s="1586"/>
      <c r="G210" s="1586"/>
      <c r="H210" s="1586"/>
      <c r="I210" s="1586"/>
      <c r="J210" s="1586"/>
      <c r="K210" s="1679"/>
      <c r="L210" s="1586"/>
      <c r="M210" s="1586"/>
      <c r="N210" s="1586"/>
      <c r="O210" s="1586"/>
      <c r="P210" s="1586"/>
      <c r="Q210" s="1586"/>
      <c r="R210" s="1586"/>
      <c r="S210" s="1586"/>
      <c r="T210" s="1586"/>
      <c r="U210" s="1590"/>
      <c r="V210" s="1609"/>
      <c r="W210" s="1612"/>
      <c r="X210" s="1624"/>
      <c r="Y210" s="1586"/>
    </row>
    <row r="211" spans="1:25" x14ac:dyDescent="0.2">
      <c r="A211" s="1586"/>
      <c r="B211" s="1586"/>
      <c r="C211" s="1586"/>
      <c r="D211" s="1586"/>
      <c r="E211" s="1586"/>
      <c r="F211" s="1586"/>
      <c r="G211" s="1586"/>
      <c r="H211" s="1586"/>
      <c r="I211" s="1586"/>
      <c r="J211" s="1586"/>
      <c r="K211" s="1679"/>
      <c r="L211" s="1586"/>
      <c r="M211" s="1586"/>
      <c r="N211" s="1586"/>
      <c r="O211" s="1586"/>
      <c r="P211" s="1586"/>
      <c r="Q211" s="1586"/>
      <c r="R211" s="1586"/>
      <c r="S211" s="1586"/>
      <c r="T211" s="1586"/>
      <c r="U211" s="1590"/>
      <c r="V211" s="1609"/>
      <c r="W211" s="1612"/>
      <c r="X211" s="1624"/>
      <c r="Y211" s="1586"/>
    </row>
    <row r="212" spans="1:25" x14ac:dyDescent="0.2">
      <c r="A212" s="1586"/>
      <c r="B212" s="1586"/>
      <c r="C212" s="1586"/>
      <c r="D212" s="1586"/>
      <c r="E212" s="1586"/>
      <c r="F212" s="1586"/>
      <c r="G212" s="1586"/>
      <c r="H212" s="1586"/>
      <c r="I212" s="1586"/>
      <c r="J212" s="1586"/>
      <c r="K212" s="1679"/>
      <c r="L212" s="1586"/>
      <c r="M212" s="1586"/>
      <c r="N212" s="1586"/>
      <c r="O212" s="1586"/>
      <c r="P212" s="1586"/>
      <c r="Q212" s="1586"/>
      <c r="R212" s="1586"/>
      <c r="S212" s="1586"/>
      <c r="T212" s="1586"/>
      <c r="U212" s="1590"/>
      <c r="V212" s="1609"/>
      <c r="W212" s="1612"/>
      <c r="X212" s="1624"/>
      <c r="Y212" s="1586"/>
    </row>
    <row r="213" spans="1:25" x14ac:dyDescent="0.2">
      <c r="A213" s="1586"/>
      <c r="B213" s="1586"/>
      <c r="C213" s="1586"/>
      <c r="D213" s="1586"/>
      <c r="E213" s="1586"/>
      <c r="F213" s="1586"/>
      <c r="G213" s="1586"/>
      <c r="H213" s="1586"/>
      <c r="I213" s="1586"/>
      <c r="J213" s="1586"/>
      <c r="K213" s="1679"/>
      <c r="L213" s="1586"/>
      <c r="M213" s="1586"/>
      <c r="N213" s="1586"/>
      <c r="O213" s="1682"/>
      <c r="P213" s="1586"/>
      <c r="Q213" s="1586"/>
      <c r="R213" s="1586"/>
      <c r="S213" s="1586"/>
      <c r="T213" s="1586"/>
      <c r="U213" s="1590"/>
      <c r="V213" s="1609"/>
      <c r="W213" s="1612"/>
      <c r="X213" s="1624"/>
      <c r="Y213" s="1586"/>
    </row>
    <row r="214" spans="1:25" x14ac:dyDescent="0.2">
      <c r="A214" s="1586"/>
      <c r="B214" s="1586"/>
      <c r="C214" s="1586"/>
      <c r="D214" s="1586"/>
      <c r="E214" s="1586"/>
      <c r="F214" s="1586"/>
      <c r="G214" s="1586"/>
      <c r="H214" s="1586"/>
      <c r="I214" s="1586"/>
      <c r="J214" s="1586"/>
      <c r="K214" s="1679"/>
      <c r="L214" s="1586"/>
      <c r="M214" s="1586"/>
      <c r="N214" s="1586"/>
      <c r="O214" s="1682"/>
      <c r="P214" s="1586"/>
      <c r="Q214" s="1586"/>
      <c r="R214" s="1586"/>
      <c r="S214" s="1586"/>
      <c r="T214" s="1586"/>
      <c r="U214" s="1590"/>
      <c r="V214" s="1609"/>
      <c r="W214" s="1612"/>
      <c r="X214" s="1624"/>
      <c r="Y214" s="1586"/>
    </row>
    <row r="215" spans="1:25" x14ac:dyDescent="0.2">
      <c r="O215" s="766"/>
    </row>
    <row r="216" spans="1:25" x14ac:dyDescent="0.2">
      <c r="O216" s="766"/>
    </row>
    <row r="217" spans="1:25" x14ac:dyDescent="0.2">
      <c r="O217" s="766"/>
    </row>
    <row r="218" spans="1:25" x14ac:dyDescent="0.2">
      <c r="O218" s="766"/>
    </row>
    <row r="219" spans="1:25" x14ac:dyDescent="0.2">
      <c r="O219" s="766"/>
    </row>
    <row r="220" spans="1:25" x14ac:dyDescent="0.2">
      <c r="O220" s="766"/>
    </row>
    <row r="221" spans="1:25" x14ac:dyDescent="0.2">
      <c r="O221" s="766"/>
    </row>
    <row r="222" spans="1:25" x14ac:dyDescent="0.2">
      <c r="O222" s="766"/>
    </row>
    <row r="223" spans="1:25" x14ac:dyDescent="0.2">
      <c r="O223" s="766"/>
    </row>
    <row r="225" spans="15:15" x14ac:dyDescent="0.2">
      <c r="O225" s="766"/>
    </row>
    <row r="226" spans="15:15" x14ac:dyDescent="0.2">
      <c r="O226" s="766"/>
    </row>
    <row r="227" spans="15:15" x14ac:dyDescent="0.2">
      <c r="O227" s="766"/>
    </row>
    <row r="228" spans="15:15" x14ac:dyDescent="0.2">
      <c r="O228" s="766"/>
    </row>
    <row r="229" spans="15:15" x14ac:dyDescent="0.2">
      <c r="O229" s="765"/>
    </row>
    <row r="230" spans="15:15" x14ac:dyDescent="0.2">
      <c r="O230" s="765">
        <f>SUM(O212:O229)</f>
        <v>0</v>
      </c>
    </row>
    <row r="231" spans="15:15" x14ac:dyDescent="0.2">
      <c r="O231" s="764">
        <f>K75-O230</f>
        <v>0</v>
      </c>
    </row>
    <row r="232" spans="15:15" x14ac:dyDescent="0.2">
      <c r="O232" s="719">
        <f>Y116</f>
        <v>0</v>
      </c>
    </row>
  </sheetData>
  <protectedRanges>
    <protectedRange sqref="P169" name="Range4_13"/>
    <protectedRange sqref="N112:N114 L111:L114 P112:Q114" name="Rekening Adm._4"/>
    <protectedRange sqref="Q42" name="neraca_18"/>
    <protectedRange sqref="D32:F32 I36:P36" name="tanggal laporan_1"/>
    <protectedRange sqref="P171" name="Range4_9_3"/>
    <protectedRange sqref="P176" name="Range4_10_1"/>
    <protectedRange sqref="Q68" name="neraca_18_4"/>
    <protectedRange sqref="Q71:Q73" name="neraca_18_5_1"/>
    <protectedRange sqref="Q70" name="neraca_5_4_1_1"/>
    <protectedRange sqref="Q75:Q76" name="neraca_18_6_1"/>
    <protectedRange sqref="Q84:Q86 Q81:Q82 Q89:Q90" name="neraca_18_1_1"/>
    <protectedRange sqref="Q79:Q80" name="neraca_9_2_1_1"/>
    <protectedRange sqref="Q83" name="neraca_10_4_1_1"/>
    <protectedRange sqref="Q87:Q88" name="neraca_11_4_1_1"/>
    <protectedRange sqref="Q169" name="Range4_13_5"/>
    <protectedRange sqref="Q171" name="Range4_9_3_1"/>
    <protectedRange sqref="Q176" name="Range4_10_1_1_1"/>
    <protectedRange sqref="Q66:Q67" name="neraca_4_5_1"/>
    <protectedRange sqref="Q65" name="neraca_7_5_1"/>
    <protectedRange sqref="Q77" name="neraca_8_3_1_1"/>
    <protectedRange sqref="Q91" name="neraca_38_1"/>
    <protectedRange sqref="N111 P109:P111 P104:P107" name="Rekening Adm._4_1"/>
    <protectedRange sqref="Q109:Q111 Q104:Q107" name="Rekening Adm._3_1"/>
    <protectedRange sqref="Q127" name="Range4_20_1"/>
    <protectedRange sqref="Q126" name="Range4_1_4_1"/>
    <protectedRange sqref="Q125" name="Range4_3_5_1"/>
    <protectedRange sqref="Q129" name="Range4_4_5_1"/>
    <protectedRange sqref="Q140" name="Range4_6_2_1"/>
    <protectedRange sqref="Q137:Q138" name="Range4_1_1_2_1_1"/>
    <protectedRange sqref="Q141" name="Range4_8_2_1"/>
    <protectedRange sqref="Q139" name="Range4_7_2_1"/>
    <protectedRange sqref="Q146:Q147" name="Range4_13_3_2"/>
    <protectedRange sqref="Q143:Q144" name="Range4_1_1_2_1_2"/>
    <protectedRange sqref="Q154:Q158 Q160:Q163" name="Range4_6_1_2_1"/>
    <protectedRange sqref="Q159" name="Range4_6_2_2_1"/>
    <protectedRange sqref="Q41" name="Range1_1_1_1_1_1_1"/>
    <protectedRange sqref="Q47" name="neraca_12_1_1"/>
    <protectedRange sqref="Q46 Q44" name="neraca_2_1_1_1_1"/>
    <protectedRange sqref="Q45" name="Range2_1_1_1_1"/>
    <protectedRange sqref="Q48" name="neraca_33_1_1"/>
    <protectedRange sqref="Q56" name="Range2_4_2_2"/>
    <protectedRange sqref="Q55" name="neraca_13_1_1"/>
    <protectedRange sqref="Q50:Q54" name="neraca_3_3_1_1_1"/>
    <protectedRange sqref="Q57:Q60" name="Range2_7_1_1_3"/>
    <protectedRange sqref="L104:L107 N104:N107 N109:N110 L109:L110" name="Rekening Adm._4_2"/>
    <protectedRange sqref="O112:O114" name="Rekening Adm._4_4"/>
    <protectedRange sqref="O111" name="Rekening Adm._2_1_2_1"/>
    <protectedRange sqref="O104" name="Rekening Adm._3_1_1_1"/>
    <protectedRange sqref="O109:O110 O105:O107" name="Rekening Adm._2_1_1_1_2"/>
    <protectedRange sqref="M112:M114" name="Rekening Adm._4_3"/>
    <protectedRange sqref="M111" name="Rekening Adm._2_1_2_2"/>
    <protectedRange sqref="M109:M110 M104:M107" name="Rekening Adm._2_1_1_1"/>
    <protectedRange sqref="K114" name="Rekening Adm._4_5"/>
    <protectedRange sqref="K112:K113" name="Rekening Adm._4_3_1"/>
    <protectedRange sqref="K111" name="Rekening Adm._1_1_2"/>
    <protectedRange sqref="K109:K110 K104:K107" name="Rekening Adm._1_1_1_1"/>
    <protectedRange sqref="K42 O42" name="neraca_18_2_1_2"/>
    <protectedRange sqref="K41 M41:M42 O41" name="Range1_1_1_1_1"/>
    <protectedRange sqref="K46 K44 M44:M48 O46 O44" name="neraca_2_1_1_1_1_2_1"/>
    <protectedRange sqref="K45 O45" name="Range2_1_1_1_1_2_1"/>
    <protectedRange sqref="K48 O48" name="neraca_14_1_1"/>
    <protectedRange sqref="K47 O47" name="neraca_14_1_1_1_1"/>
    <protectedRange sqref="K55 O55" name="neraca_28_1_1_1_1"/>
    <protectedRange sqref="K54 K56 O54 O56" name="Range2_3_1_1_1_1"/>
    <protectedRange sqref="K57 O57" name="Range2_5_1_1_1_1"/>
    <protectedRange sqref="K58:K61 O58:O61" name="Range2_6_1_1_1"/>
    <protectedRange sqref="M68" name="neraca_1_1"/>
    <protectedRange sqref="M65" name="neraca_7_1_1_1_2_1"/>
    <protectedRange sqref="K68 O68" name="neraca_18_1_2_1"/>
    <protectedRange sqref="K67 O67" name="neraca_4_3_1_1_1_1"/>
    <protectedRange sqref="K66 O66" name="Range3_1_1_1_1"/>
    <protectedRange sqref="K71 O71" name="neraca_29_1_1_1"/>
    <protectedRange sqref="K70 O70" name="neraca_5_1_1_1_1"/>
    <protectedRange sqref="K72:K73 O72:O73" name="neraca_8_2_1_1_1_2_1"/>
    <protectedRange sqref="M71" name="neraca_15_1_2_1_1"/>
    <protectedRange sqref="M70 M66:M67" name="neraca_5_2_1_2_1_1"/>
    <protectedRange sqref="M76" name="neraca_6_2_1_1_1_1"/>
    <protectedRange sqref="M72:M73" name="neraca_8_1_1_1_1_1"/>
    <protectedRange sqref="K76 O76" name="neraca_6_3_1_1"/>
    <protectedRange sqref="K77 O77" name="neraca_8_2_1_1"/>
    <protectedRange sqref="K91 M91 O91" name="neraca_16_1_1_1"/>
    <protectedRange sqref="K81:K86 M81:M86 O81:O86" name="neraca_16_1_2_1_1"/>
    <protectedRange sqref="K87:K88 O87:O88 M87:M88" name="neraca_11_1_1_1_1"/>
    <protectedRange sqref="K89:K90 M89:M90 O89:O90" name="neraca_31_1_1_1_1"/>
    <protectedRange sqref="K79:K80 O79:O80 M79:M80" name="neraca_9_4_1_1_1_1"/>
    <protectedRange sqref="N169 L169" name="Range4_13_1_1"/>
    <protectedRange sqref="N171" name="Range4_9_3_2_1"/>
    <protectedRange sqref="L171" name="Range5_6_1_1_1"/>
    <protectedRange sqref="N176" name="Range4_10_1_2_1"/>
    <protectedRange sqref="L176" name="Range5_7_1_1"/>
    <protectedRange sqref="K176" name="Range5_6_3_1_1_1"/>
    <protectedRange sqref="M176 O176" name="Range4_10_3_1_1_1"/>
    <protectedRange sqref="M127 K127:K128 O126:O127" name="Range4_11_1_1_2_1"/>
    <protectedRange sqref="M125 K125 O125" name="Range4_3_4_1_1_2_1"/>
    <protectedRange sqref="M140 O140" name="Range4_13_2_1_1_2_1"/>
    <protectedRange sqref="M141 O141" name="Range4_12_1_1_2_1"/>
    <protectedRange sqref="M137:M138 O137:O138" name="Range4_19_1_1_1_2_1"/>
    <protectedRange sqref="M139 M129 M126 O129 O139" name="Range4_7_1_1_1_1_2_1"/>
    <protectedRange sqref="K154 K140" name="Range4_13_2_2_1_1"/>
    <protectedRange sqref="K141" name="Range4_17_1_1_1_1"/>
    <protectedRange sqref="K137:K138" name="Range4_18_1_1_1_1_1"/>
    <protectedRange sqref="K139 K126 K129" name="Range5_4_1_1_1_1_1"/>
    <protectedRange sqref="M146:M147 K146:K147 O146:O147 M169" name="Range4_13_3_1_1_2_1"/>
    <protectedRange sqref="M143:M144 K143:K144 O143:O144" name="Range4_19_1_2_1_2_1"/>
    <protectedRange sqref="M145 K145 O145" name="Range4_7_1_1_2_1_2_1"/>
    <protectedRange sqref="M160:M163 M154:M158 O160:O163 O154:O158" name="Range5_10_2_1_2_1"/>
    <protectedRange sqref="M159 O159" name="Range5_10_1_1_1_2_1"/>
    <protectedRange sqref="K160 K155:K156 K158 K162:K163" name="Range5_5_2_1_1_1"/>
    <protectedRange sqref="K159" name="Range5_5_1_1_1_1_1"/>
    <protectedRange sqref="K169" name="Range4_13_4_1_1"/>
    <protectedRange sqref="K171" name="Range5_6_2_1_1_1"/>
    <protectedRange sqref="O169" name="Range4_16_1_1_1"/>
    <protectedRange sqref="M171 O171" name="Range4_9_1_1_1_1_1"/>
  </protectedRanges>
  <mergeCells count="64">
    <mergeCell ref="S150:U151"/>
    <mergeCell ref="S152:U153"/>
    <mergeCell ref="S163:U164"/>
    <mergeCell ref="S122:U123"/>
    <mergeCell ref="S130:U131"/>
    <mergeCell ref="S135:U136"/>
    <mergeCell ref="S137:U138"/>
    <mergeCell ref="S146:U147"/>
    <mergeCell ref="C8:G8"/>
    <mergeCell ref="S120:U121"/>
    <mergeCell ref="C5:G5"/>
    <mergeCell ref="C6:G6"/>
    <mergeCell ref="H6:L6"/>
    <mergeCell ref="C7:G7"/>
    <mergeCell ref="H7:L7"/>
    <mergeCell ref="C11:G11"/>
    <mergeCell ref="I50:I53"/>
    <mergeCell ref="S52:T52"/>
    <mergeCell ref="C17:G17"/>
    <mergeCell ref="C18:G18"/>
    <mergeCell ref="C19:G19"/>
    <mergeCell ref="C20:G20"/>
    <mergeCell ref="K36:O36"/>
    <mergeCell ref="S36:V38"/>
    <mergeCell ref="S40:T40"/>
    <mergeCell ref="C12:G12"/>
    <mergeCell ref="D95:I95"/>
    <mergeCell ref="D38:H38"/>
    <mergeCell ref="I38:I39"/>
    <mergeCell ref="J38:Q38"/>
    <mergeCell ref="J39:K39"/>
    <mergeCell ref="L39:M39"/>
    <mergeCell ref="N39:O39"/>
    <mergeCell ref="P39:Q39"/>
    <mergeCell ref="D49:H49"/>
    <mergeCell ref="S61:T61"/>
    <mergeCell ref="S62:T62"/>
    <mergeCell ref="D76:F76"/>
    <mergeCell ref="L120:M120"/>
    <mergeCell ref="N120:O120"/>
    <mergeCell ref="K99:O99"/>
    <mergeCell ref="D101:H101"/>
    <mergeCell ref="I101:I102"/>
    <mergeCell ref="K101:Q101"/>
    <mergeCell ref="J102:K102"/>
    <mergeCell ref="L102:M102"/>
    <mergeCell ref="N102:O102"/>
    <mergeCell ref="P102:Q102"/>
    <mergeCell ref="H9:L10"/>
    <mergeCell ref="H11:L12"/>
    <mergeCell ref="D193:G193"/>
    <mergeCell ref="D196:G196"/>
    <mergeCell ref="P120:Q120"/>
    <mergeCell ref="D182:H182"/>
    <mergeCell ref="I182:I183"/>
    <mergeCell ref="J183:K183"/>
    <mergeCell ref="L183:M183"/>
    <mergeCell ref="N183:O183"/>
    <mergeCell ref="P183:Q183"/>
    <mergeCell ref="D104:H104"/>
    <mergeCell ref="K117:O117"/>
    <mergeCell ref="D119:H119"/>
    <mergeCell ref="I119:I120"/>
    <mergeCell ref="J120:K120"/>
  </mergeCells>
  <pageMargins left="0.69861111111111107" right="0.69861111111111107" top="0.65972222222222221" bottom="0.56944444444444442" header="0.3" footer="0.3"/>
  <pageSetup paperSize="9" scale="2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opLeftCell="B1" zoomScale="85" zoomScaleNormal="85" workbookViewId="0">
      <selection activeCell="E7" sqref="E7"/>
    </sheetView>
  </sheetViews>
  <sheetFormatPr defaultRowHeight="12.75" x14ac:dyDescent="0.25"/>
  <cols>
    <col min="1" max="1" width="3.5703125" style="47" hidden="1" customWidth="1"/>
    <col min="2" max="2" width="35" style="48" customWidth="1"/>
    <col min="3" max="4" width="19" style="47" bestFit="1" customWidth="1"/>
    <col min="5" max="5" width="19.28515625" style="47" bestFit="1" customWidth="1"/>
    <col min="6" max="6" width="8.7109375" style="57" customWidth="1"/>
    <col min="7" max="7" width="11.7109375" style="57" customWidth="1"/>
    <col min="8" max="8" width="8.7109375" style="57" customWidth="1"/>
    <col min="9" max="9" width="3.28515625" style="49" customWidth="1"/>
    <col min="10" max="10" width="4.28515625" style="47" customWidth="1"/>
    <col min="11" max="11" width="21" style="48" customWidth="1"/>
    <col min="12" max="13" width="15.5703125" style="47" bestFit="1" customWidth="1"/>
    <col min="14" max="14" width="11.28515625" style="47" bestFit="1" customWidth="1"/>
    <col min="15" max="15" width="10.42578125" style="47" customWidth="1"/>
    <col min="16" max="16" width="10.85546875" style="47" customWidth="1"/>
    <col min="17" max="17" width="3.28515625" style="47" customWidth="1"/>
    <col min="18" max="20" width="9.140625" style="47" customWidth="1"/>
    <col min="21" max="16384" width="9.140625" style="47"/>
  </cols>
  <sheetData>
    <row r="1" spans="1:17" ht="15" x14ac:dyDescent="0.25">
      <c r="A1" s="46"/>
      <c r="B1" s="2752" t="s">
        <v>637</v>
      </c>
      <c r="C1" s="2752"/>
      <c r="D1" s="2752"/>
      <c r="E1" s="2752"/>
      <c r="F1" s="2752"/>
      <c r="G1" s="2752"/>
      <c r="H1" s="2752"/>
      <c r="I1" s="210"/>
      <c r="J1" s="211"/>
      <c r="K1" s="843"/>
      <c r="L1" s="211"/>
      <c r="M1" s="211"/>
      <c r="N1" s="211"/>
      <c r="O1" s="211"/>
      <c r="P1" s="211"/>
    </row>
    <row r="2" spans="1:17" ht="15.75" thickBot="1" x14ac:dyDescent="0.3">
      <c r="B2" s="2753" t="str">
        <f>'CEKLIST 003 (LAPORAN KEUANGAN))'!K36</f>
        <v>PD. BPR DOMPU</v>
      </c>
      <c r="C2" s="2753"/>
      <c r="D2" s="2753"/>
      <c r="E2" s="2753"/>
      <c r="F2" s="2753"/>
      <c r="G2" s="2753"/>
      <c r="H2" s="2753"/>
      <c r="I2" s="213"/>
      <c r="J2" s="211"/>
      <c r="K2" s="212"/>
      <c r="L2" s="211"/>
      <c r="M2" s="211"/>
      <c r="N2" s="211"/>
      <c r="O2" s="211"/>
      <c r="P2" s="211"/>
    </row>
    <row r="3" spans="1:17" ht="15.75" thickBot="1" x14ac:dyDescent="0.3">
      <c r="A3" s="50" t="s">
        <v>103</v>
      </c>
      <c r="B3" s="2754" t="s">
        <v>40</v>
      </c>
      <c r="C3" s="214">
        <f>'CEKLIST 002 (BIO DATA)'!D9</f>
        <v>42735</v>
      </c>
      <c r="D3" s="214">
        <f>'CEKLIST 002 (BIO DATA)'!D10</f>
        <v>43100</v>
      </c>
      <c r="E3" s="215">
        <f>'CEKLIST 002 (BIO DATA)'!D11</f>
        <v>43281</v>
      </c>
      <c r="F3" s="216" t="s">
        <v>638</v>
      </c>
      <c r="G3" s="216" t="s">
        <v>638</v>
      </c>
      <c r="H3" s="217" t="s">
        <v>639</v>
      </c>
      <c r="I3" s="218"/>
      <c r="J3" s="2756" t="s">
        <v>611</v>
      </c>
      <c r="K3" s="2757"/>
      <c r="L3" s="2758">
        <f>[3]Umum!D8</f>
        <v>10341</v>
      </c>
      <c r="M3" s="2759"/>
      <c r="N3" s="2759"/>
      <c r="O3" s="2759"/>
      <c r="P3" s="2760"/>
    </row>
    <row r="4" spans="1:17" ht="15" x14ac:dyDescent="0.25">
      <c r="A4" s="51"/>
      <c r="B4" s="2755"/>
      <c r="C4" s="220" t="s">
        <v>59</v>
      </c>
      <c r="D4" s="220" t="s">
        <v>60</v>
      </c>
      <c r="E4" s="221" t="s">
        <v>640</v>
      </c>
      <c r="F4" s="222" t="s">
        <v>641</v>
      </c>
      <c r="G4" s="223" t="s">
        <v>642</v>
      </c>
      <c r="H4" s="219" t="s">
        <v>640</v>
      </c>
      <c r="I4" s="218"/>
      <c r="J4" s="224"/>
      <c r="K4" s="225"/>
      <c r="L4" s="226"/>
      <c r="M4" s="227"/>
      <c r="N4" s="227"/>
      <c r="O4" s="227"/>
      <c r="P4" s="228"/>
    </row>
    <row r="5" spans="1:17" ht="15" customHeight="1" x14ac:dyDescent="0.25">
      <c r="A5" s="52"/>
      <c r="B5" s="229" t="s">
        <v>524</v>
      </c>
      <c r="C5" s="230"/>
      <c r="D5" s="230"/>
      <c r="E5" s="230"/>
      <c r="F5" s="231"/>
      <c r="G5" s="231"/>
      <c r="H5" s="231"/>
      <c r="I5" s="232"/>
      <c r="J5" s="2748" t="s">
        <v>612</v>
      </c>
      <c r="K5" s="2749"/>
      <c r="L5" s="2746" t="str">
        <f>B2</f>
        <v>PD. BPR DOMPU</v>
      </c>
      <c r="M5" s="2750"/>
      <c r="N5" s="2750"/>
      <c r="O5" s="2750"/>
      <c r="P5" s="2751"/>
    </row>
    <row r="6" spans="1:17" ht="15" customHeight="1" x14ac:dyDescent="0.35">
      <c r="A6" s="52"/>
      <c r="B6" s="233" t="s">
        <v>525</v>
      </c>
      <c r="C6" s="234">
        <f>'CEKLIST 003 (LAPORAN KEUANGAN))'!O41</f>
        <v>286899000</v>
      </c>
      <c r="D6" s="234">
        <f>'CEKLIST 003 (LAPORAN KEUANGAN))'!M41</f>
        <v>812934000</v>
      </c>
      <c r="E6" s="234">
        <f>'CEKLIST 003 (LAPORAN KEUANGAN))'!K41</f>
        <v>776420000</v>
      </c>
      <c r="F6" s="235">
        <f t="shared" ref="F6:F15" si="0">IFERROR(((D6-C6)/C6),0)</f>
        <v>1.8335198101073897</v>
      </c>
      <c r="G6" s="235">
        <f t="shared" ref="G6:G15" si="1">IFERROR(((E6-D6)/D6),0)</f>
        <v>-4.4916315469644523E-2</v>
      </c>
      <c r="H6" s="235">
        <f t="shared" ref="H6:H15" si="2">IFERROR((E6/$E$26),0)</f>
        <v>1.1322055175536501E-2</v>
      </c>
      <c r="I6" s="236"/>
      <c r="J6" s="2742" t="s">
        <v>643</v>
      </c>
      <c r="K6" s="2743"/>
      <c r="L6" s="2744">
        <f>'CEKLIST 002 (BIO DATA)'!D19</f>
        <v>7000000000</v>
      </c>
      <c r="M6" s="2745"/>
      <c r="N6" s="2745"/>
      <c r="O6" s="237"/>
      <c r="P6" s="238"/>
    </row>
    <row r="7" spans="1:17" ht="15" customHeight="1" x14ac:dyDescent="0.35">
      <c r="A7" s="52"/>
      <c r="B7" s="233" t="s">
        <v>526</v>
      </c>
      <c r="C7" s="234">
        <f>'CEKLIST 003 (LAPORAN KEUANGAN))'!O42+'CEKLIST 003 (LAPORAN KEUANGAN))'!O44+'CEKLIST 003 (LAPORAN KEUANGAN))'!O45+'CEKLIST 003 (LAPORAN KEUANGAN))'!O46</f>
        <v>5898643084</v>
      </c>
      <c r="D7" s="234">
        <f>'CEKLIST 003 (LAPORAN KEUANGAN))'!M42+'CEKLIST 003 (LAPORAN KEUANGAN))'!M44+'CEKLIST 003 (LAPORAN KEUANGAN))'!M45+'CEKLIST 003 (LAPORAN KEUANGAN))'!M46</f>
        <v>6019575866.8400002</v>
      </c>
      <c r="E7" s="234">
        <f>'CEKLIST 003 (LAPORAN KEUANGAN))'!K42+'CEKLIST 003 (LAPORAN KEUANGAN))'!K44+'CEKLIST 003 (LAPORAN KEUANGAN))'!K45+'CEKLIST 003 (LAPORAN KEUANGAN))'!K46</f>
        <v>11423681402.889999</v>
      </c>
      <c r="F7" s="235">
        <f t="shared" si="0"/>
        <v>2.0501796958698672E-2</v>
      </c>
      <c r="G7" s="235">
        <f t="shared" si="1"/>
        <v>0.89775519996675535</v>
      </c>
      <c r="H7" s="235">
        <f t="shared" si="2"/>
        <v>0.16658451759520723</v>
      </c>
      <c r="I7" s="236"/>
      <c r="J7" s="2742" t="s">
        <v>644</v>
      </c>
      <c r="K7" s="2743"/>
      <c r="L7" s="2746" t="str">
        <f>'CEKLIST 002 (BIO DATA)'!D20</f>
        <v>60 Bulan</v>
      </c>
      <c r="M7" s="2747"/>
      <c r="N7" s="239"/>
      <c r="O7" s="239"/>
      <c r="P7" s="240"/>
    </row>
    <row r="8" spans="1:17" ht="15" customHeight="1" x14ac:dyDescent="0.25">
      <c r="A8" s="52"/>
      <c r="B8" s="233" t="s">
        <v>527</v>
      </c>
      <c r="C8" s="241">
        <f>C9+C10</f>
        <v>50610310594</v>
      </c>
      <c r="D8" s="241">
        <f>D9+D10</f>
        <v>55394816859.839996</v>
      </c>
      <c r="E8" s="241">
        <f>E9+E10</f>
        <v>52167989567.119995</v>
      </c>
      <c r="F8" s="242">
        <f t="shared" si="0"/>
        <v>9.4536196472329359E-2</v>
      </c>
      <c r="G8" s="242">
        <f t="shared" si="1"/>
        <v>-5.8251429928625302E-2</v>
      </c>
      <c r="H8" s="242">
        <f t="shared" si="2"/>
        <v>0.76073369603532248</v>
      </c>
      <c r="I8" s="236"/>
      <c r="J8" s="2748" t="s">
        <v>625</v>
      </c>
      <c r="K8" s="2749"/>
      <c r="L8" s="2746" t="str">
        <f>'CEKLIST 002 (BIO DATA)'!D25</f>
        <v>Nusa Tenggara Barat</v>
      </c>
      <c r="M8" s="2750"/>
      <c r="N8" s="2750"/>
      <c r="O8" s="2750"/>
      <c r="P8" s="2751"/>
    </row>
    <row r="9" spans="1:17" ht="15.75" customHeight="1" thickBot="1" x14ac:dyDescent="0.3">
      <c r="A9" s="52"/>
      <c r="B9" s="233" t="s">
        <v>528</v>
      </c>
      <c r="C9" s="234">
        <f>'CEKLIST 003 (LAPORAN KEUANGAN))'!O50-'CEKLIST 003 (LAPORAN KEUANGAN))'!O61</f>
        <v>47709905899</v>
      </c>
      <c r="D9" s="234">
        <f>'CEKLIST 003 (LAPORAN KEUANGAN))'!M50-'CEKLIST 003 (LAPORAN KEUANGAN))'!M61</f>
        <v>52435984517.699997</v>
      </c>
      <c r="E9" s="234">
        <f>'CEKLIST 003 (LAPORAN KEUANGAN))'!K50-'CEKLIST 003 (LAPORAN KEUANGAN))'!K61</f>
        <v>48529773707.029999</v>
      </c>
      <c r="F9" s="235">
        <f t="shared" si="0"/>
        <v>9.9058644733127754E-2</v>
      </c>
      <c r="G9" s="235">
        <f t="shared" si="1"/>
        <v>-7.4494850179678412E-2</v>
      </c>
      <c r="H9" s="235">
        <f t="shared" si="2"/>
        <v>0.70767983252272504</v>
      </c>
      <c r="I9" s="236"/>
      <c r="J9" s="2717" t="s">
        <v>645</v>
      </c>
      <c r="K9" s="2718"/>
      <c r="L9" s="2719" t="str">
        <f>'CEKLIST 002 (BIO DATA)'!D24</f>
        <v>Dompu</v>
      </c>
      <c r="M9" s="2720"/>
      <c r="N9" s="2720"/>
      <c r="O9" s="2720"/>
      <c r="P9" s="2721"/>
    </row>
    <row r="10" spans="1:17" ht="15" x14ac:dyDescent="0.25">
      <c r="A10" s="52"/>
      <c r="B10" s="233" t="s">
        <v>529</v>
      </c>
      <c r="C10" s="234">
        <f>'CEKLIST 003 (LAPORAN KEUANGAN))'!O51+'CEKLIST 003 (LAPORAN KEUANGAN))'!O52+'CEKLIST 003 (LAPORAN KEUANGAN))'!O53</f>
        <v>2900404695</v>
      </c>
      <c r="D10" s="234">
        <f>'CEKLIST 003 (LAPORAN KEUANGAN))'!M51+'CEKLIST 003 (LAPORAN KEUANGAN))'!M52+'CEKLIST 003 (LAPORAN KEUANGAN))'!M53</f>
        <v>2958832342.1399999</v>
      </c>
      <c r="E10" s="234">
        <f>'CEKLIST 003 (LAPORAN KEUANGAN))'!K51+'CEKLIST 003 (LAPORAN KEUANGAN))'!K52+'CEKLIST 003 (LAPORAN KEUANGAN))'!K53</f>
        <v>3638215860.0900002</v>
      </c>
      <c r="F10" s="235">
        <f t="shared" si="0"/>
        <v>2.0144653344660188E-2</v>
      </c>
      <c r="G10" s="235">
        <f t="shared" si="1"/>
        <v>0.22961203589475115</v>
      </c>
      <c r="H10" s="235">
        <f t="shared" si="2"/>
        <v>5.305386351259752E-2</v>
      </c>
      <c r="I10" s="236"/>
      <c r="J10" s="211"/>
      <c r="K10" s="212"/>
      <c r="L10" s="211"/>
      <c r="M10" s="211"/>
      <c r="N10" s="211"/>
      <c r="O10" s="211"/>
      <c r="P10" s="211"/>
    </row>
    <row r="11" spans="1:17" ht="15" x14ac:dyDescent="0.35">
      <c r="A11" s="52"/>
      <c r="B11" s="233" t="s">
        <v>530</v>
      </c>
      <c r="C11" s="234">
        <f>-('CEKLIST 003 (LAPORAN KEUANGAN))'!O54)</f>
        <v>-1019871915</v>
      </c>
      <c r="D11" s="234">
        <f>-('CEKLIST 003 (LAPORAN KEUANGAN))'!M54)</f>
        <v>-719720888.29999995</v>
      </c>
      <c r="E11" s="234">
        <f>-('CEKLIST 003 (LAPORAN KEUANGAN))'!K54)</f>
        <v>-1061203386.61</v>
      </c>
      <c r="F11" s="235">
        <f t="shared" si="0"/>
        <v>-0.29430266907585162</v>
      </c>
      <c r="G11" s="235">
        <f t="shared" si="1"/>
        <v>0.47446517651667841</v>
      </c>
      <c r="H11" s="235">
        <f t="shared" si="2"/>
        <v>-1.5474876092404385E-2</v>
      </c>
      <c r="I11" s="236"/>
      <c r="J11" s="1177" t="s">
        <v>103</v>
      </c>
      <c r="K11" s="1177" t="s">
        <v>558</v>
      </c>
      <c r="L11" s="1178">
        <f>C3</f>
        <v>42735</v>
      </c>
      <c r="M11" s="1178">
        <f>D3</f>
        <v>43100</v>
      </c>
      <c r="N11" s="1178">
        <f>E3</f>
        <v>43281</v>
      </c>
      <c r="O11" s="1177" t="str">
        <f>F3</f>
        <v xml:space="preserve">Growth       </v>
      </c>
      <c r="P11" s="1177" t="str">
        <f>G3</f>
        <v xml:space="preserve">Growth       </v>
      </c>
    </row>
    <row r="12" spans="1:17" ht="17.25" thickBot="1" x14ac:dyDescent="0.4">
      <c r="A12" s="52"/>
      <c r="B12" s="243" t="s">
        <v>531</v>
      </c>
      <c r="C12" s="234">
        <v>0</v>
      </c>
      <c r="D12" s="234">
        <v>0</v>
      </c>
      <c r="E12" s="234">
        <v>0</v>
      </c>
      <c r="F12" s="235">
        <f t="shared" si="0"/>
        <v>0</v>
      </c>
      <c r="G12" s="235">
        <f t="shared" si="1"/>
        <v>0</v>
      </c>
      <c r="H12" s="235">
        <f t="shared" si="2"/>
        <v>0</v>
      </c>
      <c r="I12" s="236"/>
      <c r="J12" s="2517"/>
      <c r="K12" s="2517"/>
      <c r="L12" s="1177" t="s">
        <v>59</v>
      </c>
      <c r="M12" s="1177" t="s">
        <v>60</v>
      </c>
      <c r="N12" s="1177" t="s">
        <v>640</v>
      </c>
      <c r="O12" s="1177" t="s">
        <v>641</v>
      </c>
      <c r="P12" s="1177" t="s">
        <v>642</v>
      </c>
      <c r="Q12"/>
    </row>
    <row r="13" spans="1:17" ht="15.75" thickBot="1" x14ac:dyDescent="0.4">
      <c r="A13" s="52"/>
      <c r="B13" s="233" t="s">
        <v>590</v>
      </c>
      <c r="C13" s="234">
        <f>'CEKLIST 003 (LAPORAN KEUANGAN))'!O47</f>
        <v>2408864905</v>
      </c>
      <c r="D13" s="234">
        <f>'CEKLIST 003 (LAPORAN KEUANGAN))'!M47</f>
        <v>2257411221.25</v>
      </c>
      <c r="E13" s="234">
        <f>'CEKLIST 003 (LAPORAN KEUANGAN))'!K47</f>
        <v>2779663694.4299998</v>
      </c>
      <c r="F13" s="235">
        <f t="shared" si="0"/>
        <v>-6.287346518919873E-2</v>
      </c>
      <c r="G13" s="235">
        <f t="shared" si="1"/>
        <v>0.23135017149902007</v>
      </c>
      <c r="H13" s="235">
        <f t="shared" si="2"/>
        <v>4.0534125496216079E-2</v>
      </c>
      <c r="I13" s="236"/>
      <c r="J13" s="2722" t="s">
        <v>559</v>
      </c>
      <c r="K13" s="2723"/>
      <c r="L13" s="244"/>
      <c r="M13" s="230"/>
      <c r="N13" s="230"/>
      <c r="O13" s="230"/>
      <c r="P13" s="230"/>
    </row>
    <row r="14" spans="1:17" ht="15" x14ac:dyDescent="0.25">
      <c r="A14" s="52"/>
      <c r="B14" s="233" t="s">
        <v>533</v>
      </c>
      <c r="C14" s="234">
        <f>('CEKLIST 003 (LAPORAN KEUANGAN))'!O48)</f>
        <v>-29460150</v>
      </c>
      <c r="D14" s="234">
        <f>('CEKLIST 003 (LAPORAN KEUANGAN))'!M48)</f>
        <v>-29998965.789999999</v>
      </c>
      <c r="E14" s="234">
        <f>('CEKLIST 003 (LAPORAN KEUANGAN))'!K48)</f>
        <v>-57056659.490000002</v>
      </c>
      <c r="F14" s="235">
        <f t="shared" si="0"/>
        <v>1.8289648559155304E-2</v>
      </c>
      <c r="G14" s="235">
        <f t="shared" si="1"/>
        <v>0.901954217002359</v>
      </c>
      <c r="H14" s="235">
        <f t="shared" si="2"/>
        <v>-8.3202216181651469E-4</v>
      </c>
      <c r="I14" s="236"/>
      <c r="J14" s="2518" t="s">
        <v>560</v>
      </c>
      <c r="K14" s="2519" t="s">
        <v>561</v>
      </c>
      <c r="L14" s="247">
        <f>'CEKLIST 004 (RASIO KEUANGAN)'!H12</f>
        <v>0.25244861801989488</v>
      </c>
      <c r="M14" s="247">
        <f>'CEKLIST 004 (RASIO KEUANGAN)'!F12</f>
        <v>0.23965797972239317</v>
      </c>
      <c r="N14" s="247">
        <f>'CEKLIST 004 (RASIO KEUANGAN)'!D12</f>
        <v>0.41972357675350841</v>
      </c>
      <c r="O14" s="248">
        <f>(M14-L14)/M14</f>
        <v>-5.3370383545407893E-2</v>
      </c>
      <c r="P14" s="248">
        <f>(N14-M14)/M14</f>
        <v>0.75134404971490409</v>
      </c>
    </row>
    <row r="15" spans="1:17" ht="15" x14ac:dyDescent="0.25">
      <c r="A15" s="52"/>
      <c r="B15" s="249" t="s">
        <v>534</v>
      </c>
      <c r="C15" s="250">
        <f t="shared" ref="C15:D15" si="3">+C6+C7+C8+C11+C13+C14+C12</f>
        <v>58155385518</v>
      </c>
      <c r="D15" s="250">
        <f t="shared" si="3"/>
        <v>63735018093.839989</v>
      </c>
      <c r="E15" s="250">
        <f>+E6+E7+E8+E11+E13+E14+E12</f>
        <v>66029494618.339996</v>
      </c>
      <c r="F15" s="242">
        <f t="shared" si="0"/>
        <v>9.5943523134465428E-2</v>
      </c>
      <c r="G15" s="242">
        <f t="shared" si="1"/>
        <v>3.6000249048674382E-2</v>
      </c>
      <c r="H15" s="242">
        <f t="shared" si="2"/>
        <v>0.96286749604806143</v>
      </c>
      <c r="I15" s="236"/>
      <c r="J15" s="245" t="s">
        <v>562</v>
      </c>
      <c r="K15" s="246" t="s">
        <v>563</v>
      </c>
      <c r="L15" s="247">
        <f>C15/C32</f>
        <v>1.8163952592999686</v>
      </c>
      <c r="M15" s="247">
        <f>D15/D32</f>
        <v>1.937651623672269</v>
      </c>
      <c r="N15" s="247">
        <f>E15/E32</f>
        <v>1.9405071949755999</v>
      </c>
      <c r="O15" s="248">
        <f t="shared" ref="O15:O27" si="4">(M15-L15)/M15</f>
        <v>6.2579032727510281E-2</v>
      </c>
      <c r="P15" s="248">
        <f t="shared" ref="P15:P27" si="5">(N15-M15)/M15</f>
        <v>1.4737279232471066E-3</v>
      </c>
    </row>
    <row r="16" spans="1:17" ht="15" x14ac:dyDescent="0.25">
      <c r="A16" s="52"/>
      <c r="B16" s="251" t="s">
        <v>535</v>
      </c>
      <c r="C16" s="252"/>
      <c r="D16" s="252"/>
      <c r="E16" s="252"/>
      <c r="F16" s="235"/>
      <c r="G16" s="235"/>
      <c r="H16" s="235"/>
      <c r="I16" s="236"/>
      <c r="J16" s="245" t="s">
        <v>564</v>
      </c>
      <c r="K16" s="246" t="s">
        <v>565</v>
      </c>
      <c r="L16" s="247">
        <f>'CEKLIST 004 (RASIO KEUANGAN)'!H4</f>
        <v>0.90615869064025045</v>
      </c>
      <c r="M16" s="247">
        <f>'CEKLIST 004 (RASIO KEUANGAN)'!F4</f>
        <v>0.90012782033898031</v>
      </c>
      <c r="N16" s="247">
        <f>'CEKLIST 004 (RASIO KEUANGAN)'!D4</f>
        <v>0.79167742091493443</v>
      </c>
      <c r="O16" s="248">
        <f t="shared" si="4"/>
        <v>-6.7000154478049218E-3</v>
      </c>
      <c r="P16" s="248">
        <f t="shared" si="5"/>
        <v>-0.12048333244850093</v>
      </c>
    </row>
    <row r="17" spans="1:16" ht="15" x14ac:dyDescent="0.25">
      <c r="A17" s="52"/>
      <c r="B17" s="233" t="s">
        <v>536</v>
      </c>
      <c r="C17" s="234"/>
      <c r="D17" s="234"/>
      <c r="E17" s="234"/>
      <c r="F17" s="235">
        <f t="shared" ref="F17:G19" si="6">IFERROR(((D17-C17)/C17),0)</f>
        <v>0</v>
      </c>
      <c r="G17" s="235">
        <f t="shared" si="6"/>
        <v>0</v>
      </c>
      <c r="H17" s="235">
        <f>IFERROR((E17/$E$26),0)</f>
        <v>0</v>
      </c>
      <c r="I17" s="236"/>
      <c r="J17" s="245" t="s">
        <v>566</v>
      </c>
      <c r="K17" s="246" t="s">
        <v>567</v>
      </c>
      <c r="L17" s="247">
        <f>C8/C26</f>
        <v>0.84160707646393196</v>
      </c>
      <c r="M17" s="247">
        <f>D8/D26</f>
        <v>0.84495182131401991</v>
      </c>
      <c r="N17" s="247">
        <f>E8/E26</f>
        <v>0.76073369603532248</v>
      </c>
      <c r="O17" s="248">
        <f t="shared" si="4"/>
        <v>3.9585036279185743E-3</v>
      </c>
      <c r="P17" s="248">
        <f t="shared" si="5"/>
        <v>-9.9672103372386731E-2</v>
      </c>
    </row>
    <row r="18" spans="1:16" ht="15" x14ac:dyDescent="0.25">
      <c r="A18" s="52"/>
      <c r="B18" s="233" t="s">
        <v>66</v>
      </c>
      <c r="C18" s="234">
        <v>0</v>
      </c>
      <c r="D18" s="234">
        <v>0</v>
      </c>
      <c r="E18" s="234">
        <v>0</v>
      </c>
      <c r="F18" s="235">
        <f t="shared" si="6"/>
        <v>0</v>
      </c>
      <c r="G18" s="235">
        <f t="shared" si="6"/>
        <v>0</v>
      </c>
      <c r="H18" s="235">
        <f>IFERROR((E18/$E$26),0)</f>
        <v>0</v>
      </c>
      <c r="I18" s="236"/>
      <c r="J18" s="245" t="s">
        <v>61</v>
      </c>
      <c r="K18" s="246" t="s">
        <v>568</v>
      </c>
      <c r="L18" s="247">
        <f>C8/C39</f>
        <v>1.5807362880637654</v>
      </c>
      <c r="M18" s="247">
        <f>D8/D39</f>
        <v>1.6840954947790467</v>
      </c>
      <c r="N18" s="247">
        <f>E8/E39</f>
        <v>1.5331384813339255</v>
      </c>
      <c r="O18" s="248">
        <f t="shared" si="4"/>
        <v>6.137372081079169E-2</v>
      </c>
      <c r="P18" s="248">
        <f t="shared" si="5"/>
        <v>-8.9636848927576285E-2</v>
      </c>
    </row>
    <row r="19" spans="1:16" ht="15" x14ac:dyDescent="0.25">
      <c r="A19" s="52"/>
      <c r="B19" s="249" t="s">
        <v>537</v>
      </c>
      <c r="C19" s="250">
        <f>SUM(C17:C18)</f>
        <v>0</v>
      </c>
      <c r="D19" s="250">
        <f>SUM(D17:D18)</f>
        <v>0</v>
      </c>
      <c r="E19" s="250">
        <f>SUM(E17:E18)</f>
        <v>0</v>
      </c>
      <c r="F19" s="242">
        <f t="shared" si="6"/>
        <v>0</v>
      </c>
      <c r="G19" s="242">
        <f t="shared" si="6"/>
        <v>0</v>
      </c>
      <c r="H19" s="242">
        <f>IFERROR((E19/$E$26),0)</f>
        <v>0</v>
      </c>
      <c r="I19" s="236"/>
      <c r="J19" s="245" t="s">
        <v>143</v>
      </c>
      <c r="K19" s="246" t="s">
        <v>569</v>
      </c>
      <c r="L19" s="247">
        <f>'CEKLIST 004 (RASIO KEUANGAN)'!H57</f>
        <v>4.3357283965395267E-2</v>
      </c>
      <c r="M19" s="247">
        <f>'CEKLIST 004 (RASIO KEUANGAN)'!F57</f>
        <v>4.1849620635028353E-2</v>
      </c>
      <c r="N19" s="247">
        <f>'CEKLIST 004 (RASIO KEUANGAN)'!D57</f>
        <v>4.6630684062551664E-2</v>
      </c>
      <c r="O19" s="248">
        <f t="shared" si="4"/>
        <v>-3.6025734701761944E-2</v>
      </c>
      <c r="P19" s="248">
        <f t="shared" si="5"/>
        <v>0.11424388931070824</v>
      </c>
    </row>
    <row r="20" spans="1:16" ht="15" x14ac:dyDescent="0.25">
      <c r="A20" s="52"/>
      <c r="B20" s="251" t="s">
        <v>538</v>
      </c>
      <c r="C20" s="253"/>
      <c r="D20" s="253"/>
      <c r="E20" s="253"/>
      <c r="F20" s="235"/>
      <c r="G20" s="235"/>
      <c r="H20" s="235"/>
      <c r="I20" s="236"/>
      <c r="J20" s="2724" t="s">
        <v>570</v>
      </c>
      <c r="K20" s="2725"/>
      <c r="L20" s="247"/>
      <c r="M20" s="247"/>
      <c r="N20" s="247"/>
      <c r="O20" s="248"/>
      <c r="P20" s="248"/>
    </row>
    <row r="21" spans="1:16" ht="15" x14ac:dyDescent="0.25">
      <c r="A21" s="52"/>
      <c r="B21" s="233" t="s">
        <v>539</v>
      </c>
      <c r="C21" s="234">
        <f>'CEKLIST 003 (LAPORAN KEUANGAN))'!O56+'CEKLIST 003 (LAPORAN KEUANGAN))'!O58</f>
        <v>3259553256</v>
      </c>
      <c r="D21" s="234">
        <f>'CEKLIST 003 (LAPORAN KEUANGAN))'!M56+'CEKLIST 003 (LAPORAN KEUANGAN))'!M58</f>
        <v>3453858256</v>
      </c>
      <c r="E21" s="234">
        <f>'CEKLIST 003 (LAPORAN KEUANGAN))'!K56+'CEKLIST 003 (LAPORAN KEUANGAN))'!K58</f>
        <v>3329548256</v>
      </c>
      <c r="F21" s="235">
        <f t="shared" ref="F21:G23" si="7">IFERROR(((D21-C21)/C21),0)</f>
        <v>5.9610929700974952E-2</v>
      </c>
      <c r="G21" s="235">
        <f t="shared" si="7"/>
        <v>-3.5991633352078126E-2</v>
      </c>
      <c r="H21" s="235">
        <f>IFERROR((E21/$E$26),0)</f>
        <v>4.8552753746739299E-2</v>
      </c>
      <c r="I21" s="236"/>
      <c r="J21" s="245" t="s">
        <v>145</v>
      </c>
      <c r="K21" s="246" t="s">
        <v>571</v>
      </c>
      <c r="L21" s="247">
        <f>'CEKLIST 004 (RASIO KEUANGAN)'!H41</f>
        <v>0.47521174755009782</v>
      </c>
      <c r="M21" s="247">
        <f>'CEKLIST 004 (RASIO KEUANGAN)'!F41</f>
        <v>0.51727403949653283</v>
      </c>
      <c r="N21" s="247">
        <f>'CEKLIST 004 (RASIO KEUANGAN)'!D41</f>
        <v>0.5835159746465115</v>
      </c>
      <c r="O21" s="248">
        <f t="shared" si="4"/>
        <v>8.1315296602502224E-2</v>
      </c>
      <c r="P21" s="248">
        <f t="shared" si="5"/>
        <v>0.12805965521573923</v>
      </c>
    </row>
    <row r="22" spans="1:16" ht="15" x14ac:dyDescent="0.25">
      <c r="A22" s="52"/>
      <c r="B22" s="233" t="s">
        <v>540</v>
      </c>
      <c r="C22" s="234">
        <f>-('CEKLIST 003 (LAPORAN KEUANGAN))'!O57+'CEKLIST 003 (LAPORAN KEUANGAN))'!O59)</f>
        <v>-1725675882</v>
      </c>
      <c r="D22" s="234">
        <f>-('CEKLIST 003 (LAPORAN KEUANGAN))'!M57+'CEKLIST 003 (LAPORAN KEUANGAN))'!M59)</f>
        <v>-1989243380</v>
      </c>
      <c r="E22" s="234">
        <f>-('CEKLIST 003 (LAPORAN KEUANGAN))'!K57+'CEKLIST 003 (LAPORAN KEUANGAN))'!K59)</f>
        <v>-1973465582</v>
      </c>
      <c r="F22" s="235">
        <f t="shared" si="7"/>
        <v>0.15273290931929476</v>
      </c>
      <c r="G22" s="235">
        <f t="shared" si="7"/>
        <v>-7.9315573743419972E-3</v>
      </c>
      <c r="H22" s="235">
        <f>IFERROR((E22/$E$26),0)</f>
        <v>-2.8777834427791985E-2</v>
      </c>
      <c r="I22" s="236"/>
      <c r="J22" s="245" t="s">
        <v>572</v>
      </c>
      <c r="K22" s="246" t="s">
        <v>573</v>
      </c>
      <c r="L22" s="247">
        <f>(C39-C29-C36)/C26</f>
        <v>0.139921046197065</v>
      </c>
      <c r="M22" s="247">
        <f>(D39-D29-D36)/D26</f>
        <v>7.9462020415964091E-2</v>
      </c>
      <c r="N22" s="247">
        <f>(E39-E29-E36)/E26</f>
        <v>8.1332602223751105E-2</v>
      </c>
      <c r="O22" s="248">
        <f t="shared" si="4"/>
        <v>-0.76085437375758647</v>
      </c>
      <c r="P22" s="248">
        <f t="shared" si="5"/>
        <v>2.3540576969915683E-2</v>
      </c>
    </row>
    <row r="23" spans="1:16" ht="15" x14ac:dyDescent="0.25">
      <c r="A23" s="52"/>
      <c r="B23" s="249" t="s">
        <v>541</v>
      </c>
      <c r="C23" s="250">
        <f>SUM(C21:C22)</f>
        <v>1533877374</v>
      </c>
      <c r="D23" s="250">
        <f>SUM(D21:D22)</f>
        <v>1464614876</v>
      </c>
      <c r="E23" s="250">
        <f>SUM(E21:E22)</f>
        <v>1356082674</v>
      </c>
      <c r="F23" s="242">
        <f t="shared" si="7"/>
        <v>-4.5155172880201828E-2</v>
      </c>
      <c r="G23" s="242">
        <f t="shared" si="7"/>
        <v>-7.4102894746236353E-2</v>
      </c>
      <c r="H23" s="242">
        <f>IFERROR((E23/$E$26),0)</f>
        <v>1.9774919318947318E-2</v>
      </c>
      <c r="I23" s="236"/>
      <c r="J23" s="245" t="s">
        <v>574</v>
      </c>
      <c r="K23" s="246" t="s">
        <v>575</v>
      </c>
      <c r="L23" s="247">
        <f>'CEKLIST 004 (RASIO KEUANGAN)'!H33</f>
        <v>1.1386467524971537</v>
      </c>
      <c r="M23" s="247">
        <f>'CEKLIST 004 (RASIO KEUANGAN)'!F33</f>
        <v>1.0069215177718134</v>
      </c>
      <c r="N23" s="247">
        <f>'CEKLIST 004 (RASIO KEUANGAN)'!D33</f>
        <v>0.98488993143825687</v>
      </c>
      <c r="O23" s="247">
        <f>(F39-F29-F31-F36)/F51</f>
        <v>1.4727774677080276</v>
      </c>
      <c r="P23" s="247">
        <f>(G39-G29-G31-G36)/G51</f>
        <v>-1.5969251613531885</v>
      </c>
    </row>
    <row r="24" spans="1:16" ht="15" x14ac:dyDescent="0.25">
      <c r="A24" s="52"/>
      <c r="B24" s="233"/>
      <c r="C24" s="253"/>
      <c r="D24" s="253"/>
      <c r="E24" s="253"/>
      <c r="F24" s="235"/>
      <c r="G24" s="235"/>
      <c r="H24" s="235"/>
      <c r="I24" s="236"/>
      <c r="J24" s="2724" t="s">
        <v>576</v>
      </c>
      <c r="K24" s="2725"/>
      <c r="L24" s="247"/>
      <c r="M24" s="247"/>
      <c r="N24" s="247"/>
      <c r="O24" s="248"/>
      <c r="P24" s="248"/>
    </row>
    <row r="25" spans="1:16" ht="15" x14ac:dyDescent="0.25">
      <c r="A25" s="52"/>
      <c r="B25" s="233" t="s">
        <v>542</v>
      </c>
      <c r="C25" s="234">
        <f>'CEKLIST 003 (LAPORAN KEUANGAN))'!O60</f>
        <v>446056795</v>
      </c>
      <c r="D25" s="234">
        <f>'CEKLIST 003 (LAPORAN KEUANGAN))'!M60</f>
        <v>360101280.68000001</v>
      </c>
      <c r="E25" s="234">
        <f>'CEKLIST 003 (LAPORAN KEUANGAN))'!K60</f>
        <v>1190311798.6800001</v>
      </c>
      <c r="F25" s="235">
        <f>IFERROR(((D25-C25)/C25),0)</f>
        <v>-0.19270082931927984</v>
      </c>
      <c r="G25" s="235">
        <f>IFERROR(((E25-D25)/D25),0)</f>
        <v>2.3054917117547196</v>
      </c>
      <c r="H25" s="235">
        <f>IFERROR((E25/$E$26),0)</f>
        <v>1.7357584632991238E-2</v>
      </c>
      <c r="I25" s="236"/>
      <c r="J25" s="245" t="s">
        <v>577</v>
      </c>
      <c r="K25" s="246" t="s">
        <v>578</v>
      </c>
      <c r="L25" s="247">
        <f>'CEKLIST 004 (RASIO KEUANGAN)'!H45</f>
        <v>0.21979059779139692</v>
      </c>
      <c r="M25" s="247">
        <f>'CEKLIST 004 (RASIO KEUANGAN)'!F45</f>
        <v>0.2151603872826251</v>
      </c>
      <c r="N25" s="247">
        <f>'CEKLIST 004 (RASIO KEUANGAN)'!D45</f>
        <v>0.10812737229624191</v>
      </c>
      <c r="O25" s="248">
        <f t="shared" si="4"/>
        <v>-2.151980932572773E-2</v>
      </c>
      <c r="P25" s="248">
        <f t="shared" si="5"/>
        <v>-0.49745688013560502</v>
      </c>
    </row>
    <row r="26" spans="1:16" ht="15" x14ac:dyDescent="0.25">
      <c r="A26" s="52"/>
      <c r="B26" s="254" t="s">
        <v>543</v>
      </c>
      <c r="C26" s="255">
        <f>C15+C19+C23+C25</f>
        <v>60135319687</v>
      </c>
      <c r="D26" s="255">
        <f>D15+D19+D23+D25</f>
        <v>65559734250.519989</v>
      </c>
      <c r="E26" s="255">
        <f>E15+E19+E23+E25</f>
        <v>68575889091.019997</v>
      </c>
      <c r="F26" s="364">
        <f>IFERROR(((D26-C26)/C26),0)</f>
        <v>9.0203470967705424E-2</v>
      </c>
      <c r="G26" s="364">
        <f>IFERROR(((E26-D26)/D26),0)</f>
        <v>4.6006209069953403E-2</v>
      </c>
      <c r="H26" s="364">
        <f>IFERROR((E26/$E$26),0)</f>
        <v>1</v>
      </c>
      <c r="I26" s="236"/>
      <c r="J26" s="245" t="s">
        <v>579</v>
      </c>
      <c r="K26" s="246" t="s">
        <v>580</v>
      </c>
      <c r="L26" s="247">
        <f>'CEKLIST 004 (RASIO KEUANGAN)'!H24</f>
        <v>0.13158196611093417</v>
      </c>
      <c r="M26" s="247">
        <f>'CEKLIST 004 (RASIO KEUANGAN)'!F24</f>
        <v>0.11096678004096741</v>
      </c>
      <c r="N26" s="247">
        <f>'CEKLIST 004 (RASIO KEUANGAN)'!D24</f>
        <v>4.4308090235220053E-2</v>
      </c>
      <c r="O26" s="248">
        <f t="shared" si="4"/>
        <v>-0.18577799646304885</v>
      </c>
      <c r="P26" s="248">
        <f t="shared" si="5"/>
        <v>-0.6007085163788467</v>
      </c>
    </row>
    <row r="27" spans="1:16" ht="15.75" thickBot="1" x14ac:dyDescent="0.3">
      <c r="A27" s="52"/>
      <c r="B27" s="233"/>
      <c r="C27" s="253"/>
      <c r="D27" s="253"/>
      <c r="E27" s="253"/>
      <c r="F27" s="235"/>
      <c r="G27" s="235"/>
      <c r="H27" s="235"/>
      <c r="I27" s="236"/>
      <c r="J27" s="257" t="s">
        <v>149</v>
      </c>
      <c r="K27" s="258" t="s">
        <v>581</v>
      </c>
      <c r="L27" s="259">
        <f>'CEKLIST 004 (RASIO KEUANGAN)'!H20</f>
        <v>3.2359686054148816E-2</v>
      </c>
      <c r="M27" s="259">
        <f>'CEKLIST 004 (RASIO KEUANGAN)'!F20</f>
        <v>2.8033327647019129E-2</v>
      </c>
      <c r="N27" s="259">
        <f>'CEKLIST 004 (RASIO KEUANGAN)'!D20</f>
        <v>1.1873597427415847E-2</v>
      </c>
      <c r="O27" s="260">
        <f t="shared" si="4"/>
        <v>-0.15432910646944625</v>
      </c>
      <c r="P27" s="248">
        <f t="shared" si="5"/>
        <v>-0.57644709265621552</v>
      </c>
    </row>
    <row r="28" spans="1:16" ht="15.75" thickBot="1" x14ac:dyDescent="0.3">
      <c r="A28" s="52"/>
      <c r="B28" s="251" t="s">
        <v>544</v>
      </c>
      <c r="C28" s="253"/>
      <c r="D28" s="253"/>
      <c r="E28" s="253"/>
      <c r="F28" s="235"/>
      <c r="G28" s="235"/>
      <c r="H28" s="235"/>
      <c r="I28" s="236"/>
      <c r="J28" s="261"/>
      <c r="K28" s="262"/>
      <c r="L28" s="263"/>
      <c r="M28" s="264"/>
      <c r="N28" s="264"/>
      <c r="O28" s="264"/>
      <c r="P28" s="264"/>
    </row>
    <row r="29" spans="1:16" ht="15" x14ac:dyDescent="0.25">
      <c r="A29" s="52"/>
      <c r="B29" s="233" t="s">
        <v>591</v>
      </c>
      <c r="C29" s="234">
        <f>'CEKLIST 003 (LAPORAN KEUANGAN))'!O66+'CEKLIST 003 (LAPORAN KEUANGAN))'!O67+'CEKLIST 003 (LAPORAN KEUANGAN))'!O71+'CEKLIST 003 (LAPORAN KEUANGAN))'!O70</f>
        <v>23602725255</v>
      </c>
      <c r="D29" s="234">
        <f>'CEKLIST 003 (LAPORAN KEUANGAN))'!M66+'CEKLIST 003 (LAPORAN KEUANGAN))'!M67+'CEKLIST 003 (LAPORAN KEUANGAN))'!M71+'CEKLIST 003 (LAPORAN KEUANGAN))'!M70</f>
        <v>27683410154.599998</v>
      </c>
      <c r="E29" s="234">
        <f>'CEKLIST 003 (LAPORAN KEUANGAN))'!K66+'CEKLIST 003 (LAPORAN KEUANGAN))'!K67+'CEKLIST 003 (LAPORAN KEUANGAN))'!K71+'CEKLIST 003 (LAPORAN KEUANGAN))'!K70</f>
        <v>28449470434.989998</v>
      </c>
      <c r="F29" s="235">
        <f t="shared" ref="F29:G32" si="8">IFERROR(((D29-C29)/C29),0)</f>
        <v>0.17289041225167617</v>
      </c>
      <c r="G29" s="235">
        <f t="shared" si="8"/>
        <v>2.7672178973323032E-2</v>
      </c>
      <c r="H29" s="235">
        <f>IFERROR((E29/$E$39),0)</f>
        <v>0.83608700008147374</v>
      </c>
      <c r="I29" s="236"/>
      <c r="J29" s="2737"/>
      <c r="K29" s="2738"/>
      <c r="L29" s="265"/>
      <c r="M29" s="266"/>
      <c r="N29" s="266"/>
      <c r="O29" s="266"/>
      <c r="P29" s="266"/>
    </row>
    <row r="30" spans="1:16" ht="30" x14ac:dyDescent="0.25">
      <c r="A30" s="52"/>
      <c r="B30" s="233" t="s">
        <v>1318</v>
      </c>
      <c r="C30" s="234">
        <f>'CEKLIST 003 (LAPORAN KEUANGAN))'!O72</f>
        <v>258261575</v>
      </c>
      <c r="D30" s="234">
        <f>'CEKLIST 003 (LAPORAN KEUANGAN))'!M72</f>
        <v>183541898.25999999</v>
      </c>
      <c r="E30" s="234">
        <f>'CEKLIST 003 (LAPORAN KEUANGAN))'!K72</f>
        <v>54858619.079999998</v>
      </c>
      <c r="F30" s="235">
        <f t="shared" si="8"/>
        <v>-0.28931782337345385</v>
      </c>
      <c r="G30" s="235">
        <f t="shared" si="8"/>
        <v>-0.70111119259380816</v>
      </c>
      <c r="H30" s="235">
        <f>IFERROR((E30/$E$39),0)</f>
        <v>1.6122120220135345E-3</v>
      </c>
      <c r="I30" s="236"/>
      <c r="J30" s="267"/>
      <c r="K30" s="268" t="s">
        <v>301</v>
      </c>
      <c r="L30" s="247">
        <f>'CEKLIST 004 (RASIO KEUANGAN)'!H28</f>
        <v>0.51340196892361489</v>
      </c>
      <c r="M30" s="247">
        <f>'CEKLIST 004 (RASIO KEUANGAN)'!F28</f>
        <v>0.56374702821365663</v>
      </c>
      <c r="N30" s="247">
        <f>'CEKLIST 004 (RASIO KEUANGAN)'!D28</f>
        <v>0.57255173506880719</v>
      </c>
      <c r="O30" s="247">
        <f>F71/F64</f>
        <v>2.7356419451567948</v>
      </c>
      <c r="P30" s="248">
        <f>(N30-M30)/M30</f>
        <v>1.5618187616970688E-2</v>
      </c>
    </row>
    <row r="31" spans="1:16" ht="15" x14ac:dyDescent="0.25">
      <c r="A31" s="52"/>
      <c r="B31" s="233" t="s">
        <v>66</v>
      </c>
      <c r="C31" s="234">
        <f>'CEKLIST 003 (LAPORAN KEUANGAN))'!O65+'CEKLIST 003 (LAPORAN KEUANGAN))'!O68</f>
        <v>8155935269</v>
      </c>
      <c r="D31" s="234">
        <f>'CEKLIST 003 (LAPORAN KEUANGAN))'!M65+'CEKLIST 003 (LAPORAN KEUANGAN))'!M68</f>
        <v>5025967043.2200003</v>
      </c>
      <c r="E31" s="234">
        <f>'CEKLIST 003 (LAPORAN KEUANGAN))'!K65+'CEKLIST 003 (LAPORAN KEUANGAN))'!K68</f>
        <v>5522596890.5</v>
      </c>
      <c r="F31" s="235">
        <f t="shared" si="8"/>
        <v>-0.38376570222139161</v>
      </c>
      <c r="G31" s="235">
        <f t="shared" si="8"/>
        <v>9.8812794236275481E-2</v>
      </c>
      <c r="H31" s="235">
        <f>IFERROR((E31/$E$39),0)</f>
        <v>0.16230078789651267</v>
      </c>
      <c r="I31" s="236"/>
      <c r="J31" s="267"/>
      <c r="K31" s="268" t="s">
        <v>582</v>
      </c>
      <c r="L31" s="247">
        <f>C51/C26</f>
        <v>0.46758540129751086</v>
      </c>
      <c r="M31" s="247">
        <f>D51/D26</f>
        <v>0.49827558833005642</v>
      </c>
      <c r="N31" s="247">
        <f>E51/E26</f>
        <v>0.50380627366848352</v>
      </c>
      <c r="O31" s="248">
        <f t="shared" ref="O31:O37" si="9">(M31-L31)/M31</f>
        <v>6.1592796740057153E-2</v>
      </c>
      <c r="P31" s="248">
        <f>(N31-M31)/M31</f>
        <v>1.1099651413714429E-2</v>
      </c>
    </row>
    <row r="32" spans="1:16" ht="15" x14ac:dyDescent="0.25">
      <c r="A32" s="52"/>
      <c r="B32" s="249" t="s">
        <v>547</v>
      </c>
      <c r="C32" s="250">
        <f>SUM(C29:C31)</f>
        <v>32016922099</v>
      </c>
      <c r="D32" s="250">
        <f>SUM(D29:D31)</f>
        <v>32892919096.079998</v>
      </c>
      <c r="E32" s="250">
        <f>SUM(E29:E31)</f>
        <v>34026925944.57</v>
      </c>
      <c r="F32" s="242">
        <f t="shared" si="8"/>
        <v>2.7360437532730809E-2</v>
      </c>
      <c r="G32" s="242">
        <f t="shared" si="8"/>
        <v>3.447571330405718E-2</v>
      </c>
      <c r="H32" s="242">
        <f>IFERROR((E32/$E$39),0)</f>
        <v>1</v>
      </c>
      <c r="I32" s="236"/>
      <c r="J32" s="269"/>
      <c r="K32" s="270" t="s">
        <v>583</v>
      </c>
      <c r="L32" s="247">
        <f>C49/C8</f>
        <v>0.1048908055235161</v>
      </c>
      <c r="M32" s="247">
        <f>D49/D8</f>
        <v>9.0519819771717233E-2</v>
      </c>
      <c r="N32" s="247">
        <f>E49/E8</f>
        <v>4.7240599330729653E-2</v>
      </c>
      <c r="O32" s="248">
        <f t="shared" si="9"/>
        <v>-0.15876065361200656</v>
      </c>
      <c r="P32" s="248">
        <f>(N32-M32)/M32</f>
        <v>-0.47811872085178519</v>
      </c>
    </row>
    <row r="33" spans="1:16" ht="15" x14ac:dyDescent="0.25">
      <c r="A33" s="52"/>
      <c r="B33" s="251" t="s">
        <v>548</v>
      </c>
      <c r="C33" s="253"/>
      <c r="D33" s="253"/>
      <c r="E33" s="253"/>
      <c r="F33" s="235"/>
      <c r="G33" s="235"/>
      <c r="H33" s="235"/>
      <c r="I33" s="236"/>
      <c r="J33" s="2726" t="s">
        <v>584</v>
      </c>
      <c r="K33" s="2726"/>
      <c r="L33" s="271"/>
      <c r="M33" s="248"/>
      <c r="N33" s="248"/>
      <c r="O33" s="248"/>
      <c r="P33" s="248"/>
    </row>
    <row r="34" spans="1:16" ht="15" x14ac:dyDescent="0.25">
      <c r="A34" s="52"/>
      <c r="B34" s="233" t="s">
        <v>592</v>
      </c>
      <c r="C34" s="234">
        <f>'CEKLIST 003 (LAPORAN KEUANGAN))'!O75</f>
        <v>0</v>
      </c>
      <c r="D34" s="234">
        <f>'CEKLIST 003 (LAPORAN KEUANGAN))'!M75</f>
        <v>0</v>
      </c>
      <c r="E34" s="234">
        <f>'CEKLIST 003 (LAPORAN KEUANGAN))'!K75</f>
        <v>0</v>
      </c>
      <c r="F34" s="235">
        <f t="shared" ref="F34:G39" si="10">IFERROR(((D34-C34)/C34),0)</f>
        <v>0</v>
      </c>
      <c r="G34" s="235">
        <f t="shared" si="10"/>
        <v>0</v>
      </c>
      <c r="H34" s="235">
        <f t="shared" ref="H34:H39" si="11">IFERROR((E34/$E$39),0)</f>
        <v>0</v>
      </c>
      <c r="I34" s="236"/>
      <c r="J34" s="230"/>
      <c r="K34" s="272" t="s">
        <v>585</v>
      </c>
      <c r="L34" s="247">
        <f>C32/C39</f>
        <v>1</v>
      </c>
      <c r="M34" s="247">
        <f>D32/D39</f>
        <v>1</v>
      </c>
      <c r="N34" s="247">
        <f>E32/E39</f>
        <v>1</v>
      </c>
      <c r="O34" s="248">
        <f t="shared" si="9"/>
        <v>0</v>
      </c>
      <c r="P34" s="248">
        <f>(N34-M34)/M34</f>
        <v>0</v>
      </c>
    </row>
    <row r="35" spans="1:16" ht="15" x14ac:dyDescent="0.25">
      <c r="A35" s="52"/>
      <c r="B35" s="233" t="s">
        <v>66</v>
      </c>
      <c r="C35" s="234">
        <f>'CEKLIST 003 (LAPORAN KEUANGAN))'!O76+'CEKLIST 003 (LAPORAN KEUANGAN))'!O77</f>
        <v>0</v>
      </c>
      <c r="D35" s="234">
        <f>'CEKLIST 003 (LAPORAN KEUANGAN))'!M76+'CEKLIST 003 (LAPORAN KEUANGAN))'!M77</f>
        <v>0</v>
      </c>
      <c r="E35" s="234">
        <f>'CEKLIST 003 (LAPORAN KEUANGAN))'!K76+'CEKLIST 003 (LAPORAN KEUANGAN))'!K77</f>
        <v>0</v>
      </c>
      <c r="F35" s="235">
        <f t="shared" si="10"/>
        <v>0</v>
      </c>
      <c r="G35" s="235">
        <f t="shared" si="10"/>
        <v>0</v>
      </c>
      <c r="H35" s="235">
        <f t="shared" si="11"/>
        <v>0</v>
      </c>
      <c r="I35" s="236"/>
      <c r="J35" s="267"/>
      <c r="K35" s="268" t="s">
        <v>586</v>
      </c>
      <c r="L35" s="2727"/>
      <c r="M35" s="2728"/>
      <c r="N35" s="248">
        <f>[3]memo!F115/'[3]Neraca RL'!E25</f>
        <v>7.5421772402048975E-2</v>
      </c>
      <c r="O35" s="273"/>
      <c r="P35" s="274"/>
    </row>
    <row r="36" spans="1:16" ht="15" x14ac:dyDescent="0.25">
      <c r="A36" s="52"/>
      <c r="B36" s="233" t="s">
        <v>591</v>
      </c>
      <c r="C36" s="234"/>
      <c r="D36" s="234"/>
      <c r="E36" s="234"/>
      <c r="F36" s="235">
        <f t="shared" si="10"/>
        <v>0</v>
      </c>
      <c r="G36" s="235">
        <f t="shared" si="10"/>
        <v>0</v>
      </c>
      <c r="H36" s="235">
        <f t="shared" si="11"/>
        <v>0</v>
      </c>
      <c r="I36" s="236"/>
      <c r="J36" s="267"/>
      <c r="K36" s="268" t="s">
        <v>587</v>
      </c>
      <c r="L36" s="247">
        <f>L22</f>
        <v>0.139921046197065</v>
      </c>
      <c r="M36" s="247">
        <f>M22</f>
        <v>7.9462020415964091E-2</v>
      </c>
      <c r="N36" s="247">
        <f>N22</f>
        <v>8.1332602223751105E-2</v>
      </c>
      <c r="O36" s="248">
        <f t="shared" si="9"/>
        <v>-0.76085437375758647</v>
      </c>
      <c r="P36" s="248">
        <f>(N36-M36)/M36</f>
        <v>2.3540576969915683E-2</v>
      </c>
    </row>
    <row r="37" spans="1:16" ht="15.75" thickBot="1" x14ac:dyDescent="0.3">
      <c r="A37" s="52"/>
      <c r="B37" s="233" t="s">
        <v>646</v>
      </c>
      <c r="C37" s="234"/>
      <c r="D37" s="234"/>
      <c r="E37" s="234"/>
      <c r="F37" s="235">
        <f t="shared" si="10"/>
        <v>0</v>
      </c>
      <c r="G37" s="235">
        <f t="shared" si="10"/>
        <v>0</v>
      </c>
      <c r="H37" s="235">
        <f t="shared" si="11"/>
        <v>0</v>
      </c>
      <c r="I37" s="236"/>
      <c r="J37" s="275"/>
      <c r="K37" s="276" t="s">
        <v>588</v>
      </c>
      <c r="L37" s="259">
        <f>C51/C26</f>
        <v>0.46758540129751086</v>
      </c>
      <c r="M37" s="259">
        <f>D51/D26</f>
        <v>0.49827558833005642</v>
      </c>
      <c r="N37" s="259">
        <f>E51/E26</f>
        <v>0.50380627366848352</v>
      </c>
      <c r="O37" s="260">
        <f t="shared" si="9"/>
        <v>6.1592796740057153E-2</v>
      </c>
      <c r="P37" s="260">
        <f>(N37-M37)/M37</f>
        <v>1.1099651413714429E-2</v>
      </c>
    </row>
    <row r="38" spans="1:16" ht="15" x14ac:dyDescent="0.25">
      <c r="A38" s="52"/>
      <c r="B38" s="249" t="s">
        <v>550</v>
      </c>
      <c r="C38" s="250">
        <f>SUM(C34:C37)</f>
        <v>0</v>
      </c>
      <c r="D38" s="250">
        <f>SUM(D34:D37)</f>
        <v>0</v>
      </c>
      <c r="E38" s="250">
        <f>SUM(E34:E37)</f>
        <v>0</v>
      </c>
      <c r="F38" s="242">
        <f t="shared" si="10"/>
        <v>0</v>
      </c>
      <c r="G38" s="242">
        <f t="shared" si="10"/>
        <v>0</v>
      </c>
      <c r="H38" s="242">
        <f t="shared" si="11"/>
        <v>0</v>
      </c>
      <c r="I38" s="236"/>
      <c r="J38" s="277"/>
      <c r="K38" s="278"/>
      <c r="L38" s="95"/>
      <c r="M38" s="95"/>
      <c r="N38" s="95"/>
      <c r="O38" s="96"/>
      <c r="P38" s="96"/>
    </row>
    <row r="39" spans="1:16" ht="15" x14ac:dyDescent="0.25">
      <c r="A39" s="52"/>
      <c r="B39" s="254" t="s">
        <v>551</v>
      </c>
      <c r="C39" s="255">
        <f>C32+C38</f>
        <v>32016922099</v>
      </c>
      <c r="D39" s="255">
        <f>D32+D38</f>
        <v>32892919096.079998</v>
      </c>
      <c r="E39" s="255">
        <f>E32+E38</f>
        <v>34026925944.57</v>
      </c>
      <c r="F39" s="364">
        <f t="shared" si="10"/>
        <v>2.7360437532730809E-2</v>
      </c>
      <c r="G39" s="364">
        <f t="shared" si="10"/>
        <v>3.447571330405718E-2</v>
      </c>
      <c r="H39" s="364">
        <f t="shared" si="11"/>
        <v>1</v>
      </c>
      <c r="I39" s="236"/>
      <c r="J39" s="277"/>
      <c r="K39" s="278"/>
      <c r="L39" s="279"/>
      <c r="M39" s="279"/>
      <c r="N39" s="279"/>
      <c r="O39" s="280"/>
      <c r="P39" s="280"/>
    </row>
    <row r="40" spans="1:16" ht="14.25" hidden="1" customHeight="1" x14ac:dyDescent="0.25">
      <c r="A40" s="52"/>
      <c r="B40" s="281"/>
      <c r="C40" s="282"/>
      <c r="D40" s="282"/>
      <c r="E40" s="282"/>
      <c r="F40" s="235" t="e">
        <f>(D40-C40)/C40</f>
        <v>#DIV/0!</v>
      </c>
      <c r="G40" s="283"/>
      <c r="H40" s="283"/>
      <c r="I40" s="236"/>
      <c r="J40" s="211"/>
      <c r="K40" s="212"/>
      <c r="L40" s="211"/>
      <c r="M40" s="211"/>
      <c r="N40" s="211"/>
      <c r="O40" s="211"/>
      <c r="P40" s="211"/>
    </row>
    <row r="41" spans="1:16" ht="15" x14ac:dyDescent="0.25">
      <c r="A41" s="52"/>
      <c r="B41" s="233"/>
      <c r="C41" s="253"/>
      <c r="D41" s="253"/>
      <c r="E41" s="253"/>
      <c r="F41" s="235"/>
      <c r="G41" s="235"/>
      <c r="H41" s="235"/>
      <c r="I41" s="236"/>
      <c r="J41" s="277"/>
      <c r="K41" s="284" t="s">
        <v>647</v>
      </c>
      <c r="L41" s="285">
        <f>C73/(C67+C68)</f>
        <v>-16.686436878383251</v>
      </c>
      <c r="M41" s="285">
        <f>D73/(D67+D68)</f>
        <v>-16.282713805860872</v>
      </c>
      <c r="N41" s="285">
        <f>E73/(E67+E68)</f>
        <v>-13.7480705419029</v>
      </c>
      <c r="O41" s="2731" t="s">
        <v>648</v>
      </c>
      <c r="P41" s="2731"/>
    </row>
    <row r="42" spans="1:16" ht="15" x14ac:dyDescent="0.25">
      <c r="A42" s="52"/>
      <c r="B42" s="251" t="s">
        <v>552</v>
      </c>
      <c r="C42" s="253"/>
      <c r="D42" s="253"/>
      <c r="E42" s="253"/>
      <c r="F42" s="235"/>
      <c r="G42" s="235"/>
      <c r="H42" s="235"/>
      <c r="I42" s="236"/>
      <c r="J42" s="277"/>
      <c r="K42" s="2732" t="str">
        <f>'CEKLIST 002 (BIO DATA)'!A6</f>
        <v>Supervisor Analis Penjaminan</v>
      </c>
      <c r="L42" s="2733"/>
      <c r="M42" s="2734" t="s">
        <v>649</v>
      </c>
      <c r="N42" s="2735"/>
      <c r="O42" s="2735"/>
      <c r="P42" s="2736"/>
    </row>
    <row r="43" spans="1:16" ht="15" x14ac:dyDescent="0.25">
      <c r="A43" s="52"/>
      <c r="B43" s="243" t="s">
        <v>470</v>
      </c>
      <c r="C43" s="234">
        <f>'CEKLIST 003 (LAPORAN KEUANGAN))'!O79-'CEKLIST 003 (LAPORAN KEUANGAN))'!O80</f>
        <v>16133550997</v>
      </c>
      <c r="D43" s="234">
        <f>'CEKLIST 003 (LAPORAN KEUANGAN))'!M79-'CEKLIST 003 (LAPORAN KEUANGAN))'!M80</f>
        <v>19914484723</v>
      </c>
      <c r="E43" s="234">
        <f>'CEKLIST 003 (LAPORAN KEUANGAN))'!K79-'CEKLIST 003 (LAPORAN KEUANGAN))'!K80</f>
        <v>19914484723</v>
      </c>
      <c r="F43" s="235">
        <f t="shared" ref="F43:F51" si="12">IFERROR(((D43-C43)/C43),0)</f>
        <v>0.23435223446487738</v>
      </c>
      <c r="G43" s="235">
        <f t="shared" ref="G43:G51" si="13">IFERROR(((E43-D43)/D43),0)</f>
        <v>0</v>
      </c>
      <c r="H43" s="235">
        <f t="shared" ref="H43:H51" si="14">IFERROR((E43/$E$51),0)</f>
        <v>0.57641338290194877</v>
      </c>
      <c r="I43" s="236"/>
      <c r="J43" s="277"/>
      <c r="K43" s="286"/>
      <c r="L43" s="287"/>
      <c r="M43" s="288"/>
      <c r="N43" s="289"/>
      <c r="O43" s="2729"/>
      <c r="P43" s="2730"/>
    </row>
    <row r="44" spans="1:16" ht="15" x14ac:dyDescent="0.25">
      <c r="A44" s="52"/>
      <c r="B44" s="243" t="s">
        <v>471</v>
      </c>
      <c r="C44" s="234"/>
      <c r="D44" s="234"/>
      <c r="E44" s="234"/>
      <c r="F44" s="235">
        <f t="shared" si="12"/>
        <v>0</v>
      </c>
      <c r="G44" s="235">
        <f t="shared" si="13"/>
        <v>0</v>
      </c>
      <c r="H44" s="235">
        <f t="shared" si="14"/>
        <v>0</v>
      </c>
      <c r="I44" s="236"/>
      <c r="J44" s="277"/>
      <c r="K44" s="286"/>
      <c r="L44" s="287"/>
      <c r="M44" s="288"/>
      <c r="N44" s="289"/>
      <c r="O44" s="2729"/>
      <c r="P44" s="2730"/>
    </row>
    <row r="45" spans="1:16" ht="15" x14ac:dyDescent="0.25">
      <c r="A45" s="52"/>
      <c r="B45" s="243" t="s">
        <v>553</v>
      </c>
      <c r="C45" s="234"/>
      <c r="D45" s="234"/>
      <c r="E45" s="234"/>
      <c r="F45" s="235">
        <f t="shared" si="12"/>
        <v>0</v>
      </c>
      <c r="G45" s="235">
        <f t="shared" si="13"/>
        <v>0</v>
      </c>
      <c r="H45" s="235">
        <f t="shared" si="14"/>
        <v>0</v>
      </c>
      <c r="I45" s="236"/>
      <c r="J45" s="277"/>
      <c r="K45" s="286"/>
      <c r="L45" s="287"/>
      <c r="M45" s="288"/>
      <c r="N45" s="289"/>
      <c r="O45" s="289"/>
      <c r="P45" s="290"/>
    </row>
    <row r="46" spans="1:16" ht="15" x14ac:dyDescent="0.25">
      <c r="A46" s="52"/>
      <c r="B46" s="233" t="s">
        <v>593</v>
      </c>
      <c r="C46" s="234">
        <f>'CEKLIST 003 (LAPORAN KEUANGAN))'!O83</f>
        <v>0</v>
      </c>
      <c r="D46" s="234">
        <f>'CEKLIST 003 (LAPORAN KEUANGAN))'!M83</f>
        <v>0</v>
      </c>
      <c r="E46" s="234">
        <f>'CEKLIST 003 (LAPORAN KEUANGAN))'!K83</f>
        <v>0</v>
      </c>
      <c r="F46" s="235">
        <f t="shared" si="12"/>
        <v>0</v>
      </c>
      <c r="G46" s="235">
        <f t="shared" si="13"/>
        <v>0</v>
      </c>
      <c r="H46" s="235">
        <f t="shared" si="14"/>
        <v>0</v>
      </c>
      <c r="I46" s="236"/>
      <c r="J46" s="291"/>
      <c r="K46" s="292"/>
      <c r="L46" s="293"/>
      <c r="M46" s="294"/>
      <c r="N46" s="295"/>
      <c r="O46" s="295"/>
      <c r="P46" s="296"/>
    </row>
    <row r="47" spans="1:16" ht="15" x14ac:dyDescent="0.25">
      <c r="A47" s="52"/>
      <c r="B47" s="233" t="s">
        <v>1319</v>
      </c>
      <c r="C47" s="234">
        <f>'CEKLIST 003 (LAPORAN KEUANGAN))'!O87</f>
        <v>3382788636</v>
      </c>
      <c r="D47" s="234">
        <f>'CEKLIST 003 (LAPORAN KEUANGAN))'!M87</f>
        <v>3913644260</v>
      </c>
      <c r="E47" s="234">
        <f>'CEKLIST 003 (LAPORAN KEUANGAN))'!K87</f>
        <v>3913644260</v>
      </c>
      <c r="F47" s="235">
        <f t="shared" si="12"/>
        <v>0.1569284046749411</v>
      </c>
      <c r="G47" s="235">
        <f t="shared" si="13"/>
        <v>0</v>
      </c>
      <c r="H47" s="235">
        <f t="shared" si="14"/>
        <v>0.11327819718960619</v>
      </c>
      <c r="I47" s="236"/>
      <c r="J47" s="291"/>
      <c r="K47" s="292"/>
      <c r="L47" s="297"/>
      <c r="M47" s="292"/>
      <c r="N47" s="298"/>
      <c r="O47" s="298"/>
      <c r="P47" s="297"/>
    </row>
    <row r="48" spans="1:16" ht="15" x14ac:dyDescent="0.25">
      <c r="A48" s="52"/>
      <c r="B48" s="233" t="s">
        <v>1320</v>
      </c>
      <c r="C48" s="234">
        <f>'CEKLIST 003 (LAPORAN KEUANGAN))'!O88</f>
        <v>3293501709</v>
      </c>
      <c r="D48" s="234">
        <f>'CEKLIST 003 (LAPORAN KEUANGAN))'!M88</f>
        <v>3824357333</v>
      </c>
      <c r="E48" s="234">
        <f>'CEKLIST 003 (LAPORAN KEUANGAN))'!K88</f>
        <v>3824357333</v>
      </c>
      <c r="F48" s="235">
        <f t="shared" si="12"/>
        <v>0.16118273828410515</v>
      </c>
      <c r="G48" s="235">
        <f t="shared" si="13"/>
        <v>0</v>
      </c>
      <c r="H48" s="235">
        <f t="shared" si="14"/>
        <v>0.11069383809837904</v>
      </c>
      <c r="I48" s="236"/>
      <c r="J48" s="291"/>
      <c r="K48" s="292"/>
      <c r="L48" s="297"/>
      <c r="M48" s="292"/>
      <c r="N48" s="298"/>
      <c r="O48" s="298"/>
      <c r="P48" s="297"/>
    </row>
    <row r="49" spans="1:20" ht="30" x14ac:dyDescent="0.25">
      <c r="A49" s="52"/>
      <c r="B49" s="233" t="s">
        <v>1321</v>
      </c>
      <c r="C49" s="234">
        <f>'CEKLIST 003 (LAPORAN KEUANGAN))'!O92</f>
        <v>5308556246</v>
      </c>
      <c r="D49" s="234">
        <f>'CEKLIST 003 (LAPORAN KEUANGAN))'!M92</f>
        <v>5014328838.4399996</v>
      </c>
      <c r="E49" s="234">
        <f>'CEKLIST 003 (LAPORAN KEUANGAN))'!K92</f>
        <v>2464447093.0300002</v>
      </c>
      <c r="F49" s="235">
        <f t="shared" si="12"/>
        <v>-5.5425127647785767E-2</v>
      </c>
      <c r="G49" s="235">
        <f t="shared" si="13"/>
        <v>-0.50851905161514876</v>
      </c>
      <c r="H49" s="235">
        <f t="shared" si="14"/>
        <v>7.1332013136933436E-2</v>
      </c>
      <c r="I49" s="236"/>
      <c r="J49" s="291"/>
      <c r="K49" s="299"/>
      <c r="L49" s="300"/>
      <c r="M49" s="299"/>
      <c r="N49" s="301"/>
      <c r="O49" s="291"/>
      <c r="P49" s="300"/>
    </row>
    <row r="50" spans="1:20" ht="15" x14ac:dyDescent="0.25">
      <c r="A50" s="52"/>
      <c r="B50" s="233" t="s">
        <v>1322</v>
      </c>
      <c r="C50" s="234">
        <f>'CEKLIST 003 (LAPORAN KEUANGAN))'!O89</f>
        <v>0</v>
      </c>
      <c r="D50" s="234">
        <f>'CEKLIST 003 (LAPORAN KEUANGAN))'!M89</f>
        <v>0</v>
      </c>
      <c r="E50" s="234">
        <f>+'CEKLIST 003 (LAPORAN KEUANGAN))'!K91</f>
        <v>4432029737.4200001</v>
      </c>
      <c r="F50" s="235">
        <f t="shared" si="12"/>
        <v>0</v>
      </c>
      <c r="G50" s="235">
        <f t="shared" si="13"/>
        <v>0</v>
      </c>
      <c r="H50" s="235">
        <f t="shared" si="14"/>
        <v>0.12828256867313262</v>
      </c>
      <c r="I50" s="236"/>
      <c r="J50" s="291"/>
      <c r="K50" s="2739" t="str">
        <f>'CEKLIST 002 (BIO DATA)'!D6</f>
        <v>I Wayan Ruspa</v>
      </c>
      <c r="L50" s="2740"/>
      <c r="M50" s="2741" t="str">
        <f>'CEKLIST 002 (BIO DATA)'!D3</f>
        <v>Adi irawan saputra</v>
      </c>
      <c r="N50" s="2712"/>
      <c r="O50" s="2712" t="str">
        <f>'CEKLIST 002 (BIO DATA)'!D3</f>
        <v>Adi irawan saputra</v>
      </c>
      <c r="P50" s="2713"/>
    </row>
    <row r="51" spans="1:20" ht="15" x14ac:dyDescent="0.25">
      <c r="A51" s="52"/>
      <c r="B51" s="254" t="s">
        <v>556</v>
      </c>
      <c r="C51" s="255">
        <f>SUM(C43:C50)</f>
        <v>28118397588</v>
      </c>
      <c r="D51" s="255">
        <f>SUM(D43:D50)</f>
        <v>32666815154.439999</v>
      </c>
      <c r="E51" s="255">
        <f>SUM(E43:E50)</f>
        <v>34548963146.449997</v>
      </c>
      <c r="F51" s="364">
        <f t="shared" si="12"/>
        <v>0.16175948690550959</v>
      </c>
      <c r="G51" s="364">
        <f t="shared" si="13"/>
        <v>5.7616513367210853E-2</v>
      </c>
      <c r="H51" s="364">
        <f t="shared" si="14"/>
        <v>1</v>
      </c>
      <c r="I51" s="302"/>
      <c r="J51" s="291"/>
      <c r="K51" s="303"/>
      <c r="L51" s="304"/>
      <c r="M51" s="304"/>
      <c r="N51" s="304"/>
      <c r="O51" s="305"/>
      <c r="P51" s="306"/>
    </row>
    <row r="52" spans="1:20" ht="12.75" customHeight="1" x14ac:dyDescent="0.25">
      <c r="A52" s="52"/>
      <c r="B52" s="233"/>
      <c r="C52" s="307">
        <f>(C51+C39+C41)-C26</f>
        <v>0</v>
      </c>
      <c r="D52" s="307">
        <f>(D51+D39+D41)-D26</f>
        <v>0</v>
      </c>
      <c r="E52" s="307">
        <f>(E51+E39+E41)-E26</f>
        <v>0</v>
      </c>
      <c r="F52" s="2703" t="s">
        <v>650</v>
      </c>
      <c r="G52" s="2703"/>
      <c r="H52" s="308"/>
      <c r="I52" s="236"/>
      <c r="J52" s="291"/>
      <c r="K52" s="305"/>
      <c r="L52" s="309"/>
      <c r="M52" s="309"/>
      <c r="N52" s="309"/>
      <c r="O52" s="310"/>
      <c r="P52" s="311"/>
    </row>
    <row r="53" spans="1:20" ht="12.75" customHeight="1" x14ac:dyDescent="0.25">
      <c r="A53" s="52"/>
      <c r="B53" s="254" t="s">
        <v>557</v>
      </c>
      <c r="C53" s="312">
        <f>C39+C51</f>
        <v>60135319687</v>
      </c>
      <c r="D53" s="312">
        <f>D39+D51</f>
        <v>65559734250.519997</v>
      </c>
      <c r="E53" s="312">
        <f>E39+E51</f>
        <v>68575889091.019997</v>
      </c>
      <c r="F53" s="364">
        <f>IFERROR(((D53-C53)/C53),0)</f>
        <v>9.0203470967705549E-2</v>
      </c>
      <c r="G53" s="364">
        <f>IFERROR(((E53-D53)/D53),0)</f>
        <v>4.6006209069953286E-2</v>
      </c>
      <c r="H53" s="256"/>
      <c r="I53" s="302"/>
      <c r="J53" s="291"/>
      <c r="K53" s="310"/>
      <c r="L53" s="313"/>
      <c r="M53" s="313"/>
      <c r="N53" s="313"/>
      <c r="O53" s="310"/>
      <c r="P53" s="314"/>
    </row>
    <row r="54" spans="1:20" ht="15" x14ac:dyDescent="0.25">
      <c r="A54" s="52"/>
      <c r="B54" s="233"/>
      <c r="C54" s="307">
        <f>C53-C26</f>
        <v>0</v>
      </c>
      <c r="D54" s="307">
        <f>D53-D26</f>
        <v>0</v>
      </c>
      <c r="E54" s="307">
        <f>E53-E26</f>
        <v>0</v>
      </c>
      <c r="F54" s="2703" t="s">
        <v>650</v>
      </c>
      <c r="G54" s="2703"/>
      <c r="H54" s="308"/>
      <c r="I54" s="236"/>
      <c r="J54" s="291"/>
      <c r="K54" s="310"/>
      <c r="L54" s="313"/>
      <c r="M54" s="313"/>
      <c r="N54" s="313"/>
      <c r="O54" s="310"/>
      <c r="P54" s="315"/>
    </row>
    <row r="55" spans="1:20" ht="15.75" customHeight="1" x14ac:dyDescent="0.25">
      <c r="A55" s="54"/>
      <c r="B55" s="2704" t="s">
        <v>763</v>
      </c>
      <c r="C55" s="2704"/>
      <c r="D55" s="2704"/>
      <c r="E55" s="2704"/>
      <c r="F55" s="2704"/>
      <c r="G55" s="2704"/>
      <c r="H55" s="2704"/>
      <c r="I55" s="236"/>
      <c r="J55" s="291"/>
      <c r="K55" s="310"/>
      <c r="L55" s="313"/>
      <c r="M55" s="313"/>
      <c r="N55" s="313"/>
      <c r="O55" s="310"/>
      <c r="P55" s="311"/>
    </row>
    <row r="56" spans="1:20" ht="16.5" customHeight="1" thickBot="1" x14ac:dyDescent="0.3">
      <c r="A56" s="54"/>
      <c r="B56" s="2704" t="str">
        <f>B2</f>
        <v>PD. BPR DOMPU</v>
      </c>
      <c r="C56" s="2704"/>
      <c r="D56" s="2704"/>
      <c r="E56" s="2704"/>
      <c r="F56" s="2704"/>
      <c r="G56" s="2704"/>
      <c r="H56" s="2704"/>
      <c r="I56" s="236"/>
      <c r="J56" s="291"/>
      <c r="K56" s="310"/>
      <c r="L56" s="313"/>
      <c r="M56" s="313"/>
      <c r="N56" s="313"/>
      <c r="O56" s="310"/>
      <c r="P56" s="316"/>
      <c r="T56" s="55"/>
    </row>
    <row r="57" spans="1:20" ht="15.75" thickBot="1" x14ac:dyDescent="0.3">
      <c r="A57" s="50" t="s">
        <v>103</v>
      </c>
      <c r="B57" s="365" t="s">
        <v>40</v>
      </c>
      <c r="C57" s="366">
        <f>C3</f>
        <v>42735</v>
      </c>
      <c r="D57" s="366">
        <f>D3</f>
        <v>43100</v>
      </c>
      <c r="E57" s="367">
        <f>'CEKLIST 003 (LAPORAN KEUANGAN)'!E3</f>
        <v>43281</v>
      </c>
      <c r="F57" s="368" t="str">
        <f>F3</f>
        <v xml:space="preserve">Growth       </v>
      </c>
      <c r="G57" s="369" t="str">
        <f>G3</f>
        <v xml:space="preserve">Growth       </v>
      </c>
      <c r="H57" s="368" t="str">
        <f>H3</f>
        <v>Vertikal</v>
      </c>
      <c r="I57" s="218"/>
      <c r="J57" s="291"/>
      <c r="K57" s="298"/>
      <c r="L57" s="317"/>
      <c r="M57" s="317"/>
      <c r="N57" s="317"/>
      <c r="O57" s="310"/>
      <c r="P57" s="315"/>
    </row>
    <row r="58" spans="1:20" ht="15" x14ac:dyDescent="0.25">
      <c r="A58" s="52"/>
      <c r="B58" s="370" t="s">
        <v>504</v>
      </c>
      <c r="C58" s="371"/>
      <c r="D58" s="371"/>
      <c r="E58" s="371"/>
      <c r="F58" s="372"/>
      <c r="G58" s="373"/>
      <c r="H58" s="372"/>
      <c r="I58" s="236"/>
      <c r="J58" s="291"/>
      <c r="K58" s="291"/>
      <c r="L58" s="319"/>
      <c r="M58" s="319"/>
      <c r="N58" s="319"/>
      <c r="O58" s="319"/>
      <c r="P58" s="319"/>
    </row>
    <row r="59" spans="1:20" ht="15" x14ac:dyDescent="0.25">
      <c r="A59" s="52"/>
      <c r="B59" s="243" t="s">
        <v>651</v>
      </c>
      <c r="C59" s="234">
        <f>'CEKLIST 003 (LAPORAN KEUANGAN))'!O126</f>
        <v>13527716398</v>
      </c>
      <c r="D59" s="234">
        <f>'CEKLIST 003 (LAPORAN KEUANGAN))'!M126</f>
        <v>14266139810.66</v>
      </c>
      <c r="E59" s="234">
        <f>'CEKLIST 003 (LAPORAN KEUANGAN))'!K126</f>
        <v>7489241333.5900002</v>
      </c>
      <c r="F59" s="235">
        <f t="shared" ref="F59:G64" si="15">IFERROR(((D59-C59)/C59),0)</f>
        <v>5.4585961956533313E-2</v>
      </c>
      <c r="G59" s="318">
        <f t="shared" si="15"/>
        <v>-0.47503379099131915</v>
      </c>
      <c r="H59" s="235"/>
      <c r="I59" s="236"/>
      <c r="J59" s="291"/>
      <c r="K59" s="209"/>
      <c r="L59" s="320"/>
      <c r="M59" s="320"/>
      <c r="N59" s="320"/>
      <c r="O59" s="310"/>
      <c r="P59" s="310"/>
    </row>
    <row r="60" spans="1:20" ht="15" customHeight="1" x14ac:dyDescent="0.25">
      <c r="A60" s="52"/>
      <c r="B60" s="243" t="s">
        <v>505</v>
      </c>
      <c r="C60" s="234">
        <f>'CEKLIST 003 (LAPORAN KEUANGAN))'!O127</f>
        <v>0</v>
      </c>
      <c r="D60" s="234">
        <f>'CEKLIST 003 (LAPORAN KEUANGAN))'!M127</f>
        <v>0</v>
      </c>
      <c r="E60" s="234">
        <f>'CEKLIST 003 (LAPORAN KEUANGAN))'!K127</f>
        <v>0</v>
      </c>
      <c r="F60" s="235">
        <f t="shared" si="15"/>
        <v>0</v>
      </c>
      <c r="G60" s="318">
        <f t="shared" si="15"/>
        <v>0</v>
      </c>
      <c r="H60" s="235"/>
      <c r="I60" s="236"/>
      <c r="J60" s="291"/>
      <c r="K60" s="2705"/>
      <c r="L60" s="2705"/>
      <c r="M60" s="2705"/>
      <c r="N60" s="2705"/>
      <c r="O60" s="2705"/>
      <c r="P60" s="2705"/>
    </row>
    <row r="61" spans="1:20" ht="15" customHeight="1" x14ac:dyDescent="0.25">
      <c r="A61" s="52"/>
      <c r="B61" s="243" t="s">
        <v>506</v>
      </c>
      <c r="C61" s="234">
        <f>'CEKLIST 003 (LAPORAN KEUANGAN))'!O128</f>
        <v>698260410</v>
      </c>
      <c r="D61" s="234">
        <f>'CEKLIST 003 (LAPORAN KEUANGAN))'!M128</f>
        <v>807417117.01999998</v>
      </c>
      <c r="E61" s="234">
        <f>'CEKLIST 003 (LAPORAN KEUANGAN))'!K128</f>
        <v>469834636.31999999</v>
      </c>
      <c r="F61" s="235">
        <f t="shared" si="15"/>
        <v>0.15632664469692614</v>
      </c>
      <c r="G61" s="318">
        <f t="shared" si="15"/>
        <v>-0.41810171419940056</v>
      </c>
      <c r="H61" s="235"/>
      <c r="I61" s="236"/>
      <c r="J61" s="291"/>
      <c r="K61" s="321"/>
      <c r="L61" s="322"/>
      <c r="M61" s="322"/>
      <c r="N61" s="301"/>
      <c r="O61" s="291"/>
      <c r="P61" s="2706"/>
    </row>
    <row r="62" spans="1:20" ht="15" x14ac:dyDescent="0.25">
      <c r="A62" s="52"/>
      <c r="B62" s="243" t="s">
        <v>507</v>
      </c>
      <c r="C62" s="234">
        <f>+'CEKLIST 003 (LAPORAN KEUANGAN))'!O125</f>
        <v>125065055</v>
      </c>
      <c r="D62" s="234">
        <f>+'CEKLIST 003 (LAPORAN KEUANGAN))'!M125</f>
        <v>133823492</v>
      </c>
      <c r="E62" s="234">
        <f>+'CEKLIST 003 (LAPORAN KEUANGAN))'!K125</f>
        <v>71953129</v>
      </c>
      <c r="F62" s="235">
        <f t="shared" si="15"/>
        <v>7.0031049040837193E-2</v>
      </c>
      <c r="G62" s="318">
        <f t="shared" si="15"/>
        <v>-0.46232811650139871</v>
      </c>
      <c r="H62" s="235"/>
      <c r="I62" s="236"/>
      <c r="J62" s="291"/>
      <c r="K62" s="323"/>
      <c r="L62" s="324"/>
      <c r="M62" s="324"/>
      <c r="N62" s="325"/>
      <c r="O62" s="291"/>
      <c r="P62" s="2706"/>
    </row>
    <row r="63" spans="1:20" ht="15" x14ac:dyDescent="0.25">
      <c r="A63" s="52"/>
      <c r="B63" s="243" t="s">
        <v>508</v>
      </c>
      <c r="C63" s="234">
        <f>'CEKLIST 003 (LAPORAN KEUANGAN))'!O129</f>
        <v>1315138465</v>
      </c>
      <c r="D63" s="234">
        <f>'CEKLIST 003 (LAPORAN KEUANGAN))'!M129</f>
        <v>1280204374.21</v>
      </c>
      <c r="E63" s="234">
        <f>'CEKLIST 003 (LAPORAN KEUANGAN))'!K129</f>
        <v>433945158.24000001</v>
      </c>
      <c r="F63" s="235">
        <f t="shared" si="15"/>
        <v>-2.6563051511081733E-2</v>
      </c>
      <c r="G63" s="318">
        <f t="shared" si="15"/>
        <v>-0.6610344668539484</v>
      </c>
      <c r="H63" s="235"/>
      <c r="I63" s="236"/>
      <c r="J63" s="291"/>
      <c r="K63" s="326"/>
      <c r="L63" s="324"/>
      <c r="M63" s="324"/>
      <c r="N63" s="325"/>
      <c r="O63" s="291"/>
      <c r="P63" s="2706"/>
    </row>
    <row r="64" spans="1:20" ht="26.25" customHeight="1" x14ac:dyDescent="0.25">
      <c r="A64" s="52"/>
      <c r="B64" s="281" t="s">
        <v>509</v>
      </c>
      <c r="C64" s="241">
        <f>C59+C60+C61+C62+C63</f>
        <v>15666180328</v>
      </c>
      <c r="D64" s="241">
        <f>D59+D60+D61+D62+D63</f>
        <v>16487584793.889999</v>
      </c>
      <c r="E64" s="241">
        <f>E59+E60+E61+E62+E63</f>
        <v>8464974257.1499996</v>
      </c>
      <c r="F64" s="242">
        <f t="shared" si="15"/>
        <v>5.2431699922533881E-2</v>
      </c>
      <c r="G64" s="375">
        <f t="shared" si="15"/>
        <v>-0.48658494479513059</v>
      </c>
      <c r="H64" s="242"/>
      <c r="I64" s="327"/>
      <c r="J64" s="291"/>
      <c r="K64" s="2714"/>
      <c r="L64" s="2714"/>
      <c r="M64" s="2715"/>
      <c r="N64" s="2716"/>
      <c r="O64" s="291"/>
      <c r="P64" s="2706"/>
    </row>
    <row r="65" spans="1:21" ht="12.75" hidden="1" customHeight="1" x14ac:dyDescent="0.25">
      <c r="A65" s="52"/>
      <c r="B65" s="2707" t="s">
        <v>991</v>
      </c>
      <c r="C65" s="2708"/>
      <c r="D65" s="2708"/>
      <c r="E65" s="2708"/>
      <c r="F65" s="2708"/>
      <c r="G65" s="2708"/>
      <c r="H65" s="328"/>
      <c r="I65" s="236"/>
      <c r="J65" s="291"/>
      <c r="K65" s="2714"/>
      <c r="L65" s="2714"/>
      <c r="M65" s="2715"/>
      <c r="N65" s="2716"/>
      <c r="O65" s="322"/>
      <c r="P65" s="2706"/>
    </row>
    <row r="66" spans="1:21" ht="15" x14ac:dyDescent="0.25">
      <c r="A66" s="52"/>
      <c r="B66" s="243" t="s">
        <v>510</v>
      </c>
      <c r="C66" s="329">
        <v>0</v>
      </c>
      <c r="D66" s="329"/>
      <c r="E66" s="329"/>
      <c r="F66" s="235"/>
      <c r="G66" s="318"/>
      <c r="H66" s="235"/>
      <c r="I66" s="236"/>
      <c r="J66" s="291"/>
      <c r="K66" s="326"/>
      <c r="L66" s="291"/>
      <c r="M66" s="291"/>
      <c r="N66" s="291"/>
      <c r="O66" s="291"/>
      <c r="P66" s="291"/>
    </row>
    <row r="67" spans="1:21" ht="15" x14ac:dyDescent="0.25">
      <c r="A67" s="52"/>
      <c r="B67" s="243" t="s">
        <v>594</v>
      </c>
      <c r="C67" s="234">
        <f>-'CEKLIST 003 (LAPORAN KEUANGAN))'!O154</f>
        <v>-411742345</v>
      </c>
      <c r="D67" s="234">
        <f>-'CEKLIST 003 (LAPORAN KEUANGAN))'!M154</f>
        <v>-394916735</v>
      </c>
      <c r="E67" s="234">
        <f>-'CEKLIST 003 (LAPORAN KEUANGAN))'!K154</f>
        <v>-232050077</v>
      </c>
      <c r="F67" s="235">
        <f t="shared" ref="F67:G71" si="16">IFERROR(((D67-C67)/C67),0)</f>
        <v>-4.0864414856334484E-2</v>
      </c>
      <c r="G67" s="318">
        <f t="shared" si="16"/>
        <v>-0.4124075876399616</v>
      </c>
      <c r="H67" s="235"/>
      <c r="I67" s="236"/>
      <c r="J67" s="291"/>
      <c r="K67" s="2709"/>
      <c r="L67" s="2709"/>
      <c r="M67" s="330"/>
      <c r="N67" s="331"/>
      <c r="O67" s="291"/>
      <c r="P67" s="316"/>
    </row>
    <row r="68" spans="1:21" ht="15" x14ac:dyDescent="0.25">
      <c r="A68" s="52"/>
      <c r="B68" s="243" t="s">
        <v>595</v>
      </c>
      <c r="C68" s="234"/>
      <c r="D68" s="234"/>
      <c r="E68" s="234"/>
      <c r="F68" s="235">
        <f t="shared" si="16"/>
        <v>0</v>
      </c>
      <c r="G68" s="318">
        <f t="shared" si="16"/>
        <v>0</v>
      </c>
      <c r="H68" s="235"/>
      <c r="I68" s="236"/>
      <c r="J68" s="291"/>
      <c r="K68" s="2709"/>
      <c r="L68" s="2709"/>
      <c r="M68" s="330"/>
      <c r="N68" s="332"/>
      <c r="O68" s="291"/>
      <c r="P68" s="316"/>
      <c r="S68" s="47" t="s">
        <v>652</v>
      </c>
    </row>
    <row r="69" spans="1:21" ht="30" x14ac:dyDescent="0.25">
      <c r="A69" s="52"/>
      <c r="B69" s="243" t="s">
        <v>513</v>
      </c>
      <c r="C69" s="234">
        <f>-('CEKLIST 003 (LAPORAN KEUANGAN))'!O155+'CEKLIST 003 (LAPORAN KEUANGAN))'!O156+'CEKLIST 003 (LAPORAN KEUANGAN))'!O157+'CEKLIST 003 (LAPORAN KEUANGAN))'!O158+'CEKLIST 003 (LAPORAN KEUANGAN))'!O159+'CEKLIST 003 (LAPORAN KEUANGAN))'!O160+'CEKLIST 003 (LAPORAN KEUANGAN))'!O161+'CEKLIST 003 (LAPORAN KEUANGAN))'!O162)</f>
        <v>-6761119301</v>
      </c>
      <c r="D69" s="234">
        <f>-('CEKLIST 003 (LAPORAN KEUANGAN))'!M155+'CEKLIST 003 (LAPORAN KEUANGAN))'!M156+'CEKLIST 003 (LAPORAN KEUANGAN))'!M157+'CEKLIST 003 (LAPORAN KEUANGAN))'!M158+'CEKLIST 003 (LAPORAN KEUANGAN))'!M159+'CEKLIST 003 (LAPORAN KEUANGAN))'!M160+'CEKLIST 003 (LAPORAN KEUANGAN))'!M161+'CEKLIST 003 (LAPORAN KEUANGAN))'!M162)</f>
        <v>-7896634448.5900002</v>
      </c>
      <c r="E69" s="234">
        <f>-('CEKLIST 003 (LAPORAN KEUANGAN))'!K155+'CEKLIST 003 (LAPORAN KEUANGAN))'!K156+'CEKLIST 003 (LAPORAN KEUANGAN))'!K157+'CEKLIST 003 (LAPORAN KEUANGAN))'!K158+'CEKLIST 003 (LAPORAN KEUANGAN))'!K159+'CEKLIST 003 (LAPORAN KEUANGAN))'!K160+'CEKLIST 003 (LAPORAN KEUANGAN))'!K161+'CEKLIST 003 (LAPORAN KEUANGAN))'!K162)</f>
        <v>-4034474249.4200001</v>
      </c>
      <c r="F69" s="235">
        <f t="shared" si="16"/>
        <v>0.16794780524314257</v>
      </c>
      <c r="G69" s="318">
        <f t="shared" si="16"/>
        <v>-0.48908939932753454</v>
      </c>
      <c r="H69" s="235"/>
      <c r="I69" s="236"/>
      <c r="J69" s="291"/>
      <c r="K69" s="2709"/>
      <c r="L69" s="2709"/>
      <c r="M69" s="2710"/>
      <c r="N69" s="2710"/>
      <c r="O69" s="291"/>
      <c r="P69" s="316"/>
    </row>
    <row r="70" spans="1:21" ht="15" x14ac:dyDescent="0.25">
      <c r="A70" s="52"/>
      <c r="B70" s="243" t="s">
        <v>1760</v>
      </c>
      <c r="C70" s="234">
        <f>-'CEKLIST 003 (LAPORAN KEUANGAN))'!O163-'CEKLIST 003 (LAPORAN KEUANGAN))'!O148</f>
        <v>-1622806032</v>
      </c>
      <c r="D70" s="234">
        <f>-'CEKLIST 003 (LAPORAN KEUANGAN))'!M163-'CEKLIST 003 (LAPORAN KEUANGAN))'!M136</f>
        <v>-1765717437.1500001</v>
      </c>
      <c r="E70" s="234">
        <f>-'CEKLIST 003 (LAPORAN KEUANGAN))'!K163-'CEKLIST 003 (LAPORAN KEUANGAN))'!K136</f>
        <v>-1008209102.88</v>
      </c>
      <c r="F70" s="235">
        <f t="shared" si="16"/>
        <v>8.8064378817887021E-2</v>
      </c>
      <c r="G70" s="318">
        <f t="shared" si="16"/>
        <v>-0.42900880873254282</v>
      </c>
      <c r="H70" s="235"/>
      <c r="I70" s="236"/>
      <c r="J70" s="291"/>
      <c r="K70" s="333"/>
      <c r="L70" s="334"/>
      <c r="M70" s="333"/>
      <c r="N70" s="335"/>
      <c r="O70" s="336"/>
      <c r="P70" s="336"/>
    </row>
    <row r="71" spans="1:21" ht="15" x14ac:dyDescent="0.25">
      <c r="A71" s="52"/>
      <c r="B71" s="281" t="s">
        <v>515</v>
      </c>
      <c r="C71" s="241">
        <f>C67+C68+C69+C70</f>
        <v>-8795667678</v>
      </c>
      <c r="D71" s="241">
        <f>D67+D68+D69+D70</f>
        <v>-10057268620.74</v>
      </c>
      <c r="E71" s="241">
        <f>E67+E68+E69+E70</f>
        <v>-5274733429.3000002</v>
      </c>
      <c r="F71" s="242">
        <f t="shared" si="16"/>
        <v>0.14343435756395795</v>
      </c>
      <c r="G71" s="375">
        <f t="shared" si="16"/>
        <v>-0.47553022314403565</v>
      </c>
      <c r="H71" s="242"/>
      <c r="I71" s="236"/>
      <c r="J71" s="291"/>
      <c r="K71" s="2696"/>
      <c r="L71" s="2696"/>
      <c r="M71" s="2696"/>
      <c r="N71" s="319"/>
      <c r="O71" s="319"/>
      <c r="P71" s="337"/>
      <c r="S71" s="47" t="s">
        <v>653</v>
      </c>
    </row>
    <row r="72" spans="1:21" ht="15" x14ac:dyDescent="0.25">
      <c r="A72" s="52"/>
      <c r="B72" s="243"/>
      <c r="C72" s="234"/>
      <c r="D72" s="234"/>
      <c r="E72" s="234"/>
      <c r="F72" s="235"/>
      <c r="G72" s="338"/>
      <c r="H72" s="235"/>
      <c r="I72" s="236"/>
      <c r="J72" s="291"/>
      <c r="K72" s="2696"/>
      <c r="L72" s="2696"/>
      <c r="M72" s="2696"/>
      <c r="N72" s="319"/>
      <c r="O72" s="319"/>
      <c r="P72" s="337"/>
    </row>
    <row r="73" spans="1:21" ht="15" x14ac:dyDescent="0.25">
      <c r="A73" s="52"/>
      <c r="B73" s="281" t="s">
        <v>516</v>
      </c>
      <c r="C73" s="250">
        <f>C64+C71</f>
        <v>6870512650</v>
      </c>
      <c r="D73" s="250">
        <f>D64+D71</f>
        <v>6430316173.1499996</v>
      </c>
      <c r="E73" s="250">
        <f>E64+E71</f>
        <v>3190240827.8499994</v>
      </c>
      <c r="F73" s="242">
        <f t="shared" ref="F73:G79" si="17">IFERROR(((D73-C73)/C73),0)</f>
        <v>-6.4070397548864191E-2</v>
      </c>
      <c r="G73" s="375">
        <f t="shared" si="17"/>
        <v>-0.50387496633976459</v>
      </c>
      <c r="H73" s="242"/>
      <c r="I73" s="236"/>
      <c r="J73" s="291"/>
      <c r="K73" s="2696"/>
      <c r="L73" s="2711"/>
      <c r="M73" s="2711"/>
      <c r="N73" s="319"/>
      <c r="O73" s="319"/>
      <c r="P73" s="339"/>
    </row>
    <row r="74" spans="1:21" ht="25.5" customHeight="1" x14ac:dyDescent="0.25">
      <c r="A74" s="52"/>
      <c r="B74" s="243" t="s">
        <v>517</v>
      </c>
      <c r="C74" s="234">
        <f>'CEKLIST 003 (LAPORAN KEUANGAN))'!O169</f>
        <v>96917640</v>
      </c>
      <c r="D74" s="234">
        <f>'CEKLIST 003 (LAPORAN KEUANGAN))'!M169</f>
        <v>84313866.25</v>
      </c>
      <c r="E74" s="234">
        <f>'CEKLIST 003 (LAPORAN KEUANGAN))'!K169</f>
        <v>62751533.18</v>
      </c>
      <c r="F74" s="235">
        <f t="shared" si="17"/>
        <v>-0.13004623049013575</v>
      </c>
      <c r="G74" s="318">
        <f t="shared" si="17"/>
        <v>-0.2557388722522258</v>
      </c>
      <c r="H74" s="235"/>
      <c r="I74" s="236"/>
      <c r="J74" s="291"/>
      <c r="K74" s="2696"/>
      <c r="L74" s="2711"/>
      <c r="M74" s="2711"/>
      <c r="N74" s="319"/>
      <c r="O74" s="319"/>
      <c r="P74" s="339"/>
      <c r="U74" s="47" t="s">
        <v>654</v>
      </c>
    </row>
    <row r="75" spans="1:21" ht="15" x14ac:dyDescent="0.25">
      <c r="A75" s="52"/>
      <c r="B75" s="243" t="s">
        <v>518</v>
      </c>
      <c r="C75" s="234">
        <f>'CEKLIST 003 (LAPORAN KEUANGAN))'!O171</f>
        <v>-187118786</v>
      </c>
      <c r="D75" s="234">
        <f>'CEKLIST 003 (LAPORAN KEUANGAN))'!M171</f>
        <v>-103275758</v>
      </c>
      <c r="E75" s="234">
        <f>'CEKLIST 003 (LAPORAN KEUANGAN))'!K171</f>
        <v>-27229692</v>
      </c>
      <c r="F75" s="235">
        <f t="shared" si="17"/>
        <v>-0.44807381339038826</v>
      </c>
      <c r="G75" s="318">
        <f t="shared" si="17"/>
        <v>-0.73633994533354086</v>
      </c>
      <c r="H75" s="235"/>
      <c r="I75" s="236"/>
      <c r="J75" s="291"/>
      <c r="K75" s="2696"/>
      <c r="L75" s="291"/>
      <c r="M75" s="291"/>
      <c r="N75" s="340"/>
      <c r="O75" s="291"/>
      <c r="P75" s="332"/>
    </row>
    <row r="76" spans="1:21" ht="15" x14ac:dyDescent="0.25">
      <c r="A76" s="52"/>
      <c r="B76" s="281" t="s">
        <v>519</v>
      </c>
      <c r="C76" s="341">
        <f>C74+C75</f>
        <v>-90201146</v>
      </c>
      <c r="D76" s="341">
        <f>D74+D75</f>
        <v>-18961891.75</v>
      </c>
      <c r="E76" s="341">
        <f>E74+E75</f>
        <v>35521841.18</v>
      </c>
      <c r="F76" s="242">
        <f t="shared" si="17"/>
        <v>-0.78978214145971048</v>
      </c>
      <c r="G76" s="375">
        <f t="shared" si="17"/>
        <v>-2.8733279172949606</v>
      </c>
      <c r="H76" s="242"/>
      <c r="I76" s="236"/>
      <c r="J76" s="291"/>
      <c r="K76" s="2696"/>
      <c r="L76" s="291"/>
      <c r="M76" s="291"/>
      <c r="N76" s="291"/>
      <c r="O76" s="291"/>
      <c r="P76" s="342"/>
    </row>
    <row r="77" spans="1:21" ht="15" x14ac:dyDescent="0.25">
      <c r="A77" s="52"/>
      <c r="B77" s="281" t="s">
        <v>520</v>
      </c>
      <c r="C77" s="343">
        <f>C73+C76</f>
        <v>6780311504</v>
      </c>
      <c r="D77" s="343">
        <f>D73+D76</f>
        <v>6411354281.3999996</v>
      </c>
      <c r="E77" s="343">
        <f>E73+E76</f>
        <v>3225762669.0299993</v>
      </c>
      <c r="F77" s="235">
        <f t="shared" si="17"/>
        <v>-5.4415969293200833E-2</v>
      </c>
      <c r="G77" s="318">
        <f t="shared" si="17"/>
        <v>-0.49686719412959762</v>
      </c>
      <c r="H77" s="235"/>
      <c r="I77" s="236"/>
      <c r="J77" s="291"/>
      <c r="K77" s="2696"/>
      <c r="L77" s="291"/>
      <c r="M77" s="291"/>
      <c r="N77" s="330"/>
      <c r="O77" s="291"/>
      <c r="P77" s="342"/>
    </row>
    <row r="78" spans="1:21" ht="15" x14ac:dyDescent="0.25">
      <c r="A78" s="52"/>
      <c r="B78" s="281" t="s">
        <v>521</v>
      </c>
      <c r="C78" s="343">
        <v>0</v>
      </c>
      <c r="D78" s="343">
        <v>0</v>
      </c>
      <c r="E78" s="343">
        <v>0</v>
      </c>
      <c r="F78" s="235">
        <f t="shared" si="17"/>
        <v>0</v>
      </c>
      <c r="G78" s="318">
        <f t="shared" si="17"/>
        <v>0</v>
      </c>
      <c r="H78" s="235"/>
      <c r="I78" s="236"/>
      <c r="J78" s="291"/>
      <c r="K78" s="2696"/>
      <c r="L78" s="291"/>
      <c r="M78" s="291"/>
      <c r="N78" s="340"/>
      <c r="O78" s="291"/>
      <c r="P78" s="332"/>
    </row>
    <row r="79" spans="1:21" ht="15" x14ac:dyDescent="0.25">
      <c r="A79" s="52"/>
      <c r="B79" s="281" t="s">
        <v>522</v>
      </c>
      <c r="C79" s="343">
        <f>'CEKLIST 003 (LAPORAN KEUANGAN))'!O176</f>
        <v>-1471755258</v>
      </c>
      <c r="D79" s="343">
        <f>'CEKLIST 003 (LAPORAN KEUANGAN))'!M176</f>
        <v>-1397025442.96</v>
      </c>
      <c r="E79" s="343">
        <f>'CEKLIST 003 (LAPORAN KEUANGAN))'!K176</f>
        <v>-761315576</v>
      </c>
      <c r="F79" s="235">
        <f t="shared" si="17"/>
        <v>-5.0775979656802396E-2</v>
      </c>
      <c r="G79" s="318">
        <f t="shared" si="17"/>
        <v>-0.45504530369401569</v>
      </c>
      <c r="H79" s="235"/>
      <c r="I79" s="236"/>
      <c r="J79" s="291"/>
      <c r="K79" s="2696"/>
      <c r="L79" s="291"/>
      <c r="M79" s="291"/>
      <c r="N79" s="340"/>
      <c r="O79" s="291"/>
      <c r="P79" s="332"/>
    </row>
    <row r="80" spans="1:21" ht="15" x14ac:dyDescent="0.25">
      <c r="A80" s="52"/>
      <c r="B80" s="281"/>
      <c r="C80" s="343"/>
      <c r="D80" s="343"/>
      <c r="E80" s="343"/>
      <c r="F80" s="235"/>
      <c r="G80" s="338"/>
      <c r="H80" s="235"/>
      <c r="I80" s="236"/>
      <c r="J80" s="291"/>
      <c r="K80" s="344"/>
      <c r="L80" s="2701"/>
      <c r="M80" s="2701"/>
      <c r="N80" s="345"/>
      <c r="O80" s="291"/>
      <c r="P80" s="346"/>
    </row>
    <row r="81" spans="1:16" ht="15.75" hidden="1" thickBot="1" x14ac:dyDescent="0.3">
      <c r="A81" s="53"/>
      <c r="B81" s="243"/>
      <c r="C81" s="253"/>
      <c r="D81" s="253"/>
      <c r="E81" s="253"/>
      <c r="F81" s="235">
        <f>IFERROR(((E81-D81)/D81),0)</f>
        <v>0</v>
      </c>
      <c r="G81" s="338"/>
      <c r="H81" s="235"/>
      <c r="I81" s="236"/>
      <c r="J81" s="291"/>
      <c r="K81" s="319"/>
      <c r="L81" s="2697"/>
      <c r="M81" s="2697"/>
      <c r="N81" s="2697"/>
      <c r="O81" s="2697"/>
      <c r="P81" s="2697"/>
    </row>
    <row r="82" spans="1:16" ht="15.75" thickBot="1" x14ac:dyDescent="0.3">
      <c r="B82" s="347" t="s">
        <v>523</v>
      </c>
      <c r="C82" s="348">
        <f>C77+C78+C79</f>
        <v>5308556246</v>
      </c>
      <c r="D82" s="348">
        <f>D77+D78+D79</f>
        <v>5014328838.4399996</v>
      </c>
      <c r="E82" s="348">
        <f>E77+E78+E79</f>
        <v>2464447093.0299993</v>
      </c>
      <c r="F82" s="374">
        <f>IFERROR(((E82-D82)/D82),0)</f>
        <v>-0.50851905161514899</v>
      </c>
      <c r="G82" s="349">
        <f>IFERROR(((E82-D82)/D82),0)</f>
        <v>-0.50851905161514899</v>
      </c>
      <c r="H82" s="350"/>
      <c r="I82" s="351"/>
      <c r="J82" s="291"/>
      <c r="K82" s="326"/>
      <c r="L82" s="291"/>
      <c r="M82" s="291"/>
      <c r="N82" s="291"/>
      <c r="O82" s="291"/>
      <c r="P82" s="291"/>
    </row>
    <row r="83" spans="1:16" ht="15" hidden="1" x14ac:dyDescent="0.25">
      <c r="B83" s="212"/>
      <c r="C83" s="352">
        <f>C49-C82</f>
        <v>0</v>
      </c>
      <c r="D83" s="352">
        <f>D49-D82</f>
        <v>0</v>
      </c>
      <c r="E83" s="352">
        <f>E49-E82</f>
        <v>0</v>
      </c>
      <c r="F83" s="2699" t="s">
        <v>650</v>
      </c>
      <c r="G83" s="2699"/>
      <c r="H83" s="353"/>
      <c r="I83" s="213"/>
      <c r="J83" s="291"/>
      <c r="K83" s="319"/>
      <c r="L83" s="319"/>
      <c r="M83" s="319"/>
      <c r="N83" s="319"/>
      <c r="O83" s="319"/>
      <c r="P83" s="354"/>
    </row>
    <row r="84" spans="1:16" ht="15" hidden="1" x14ac:dyDescent="0.25">
      <c r="A84" s="56" t="s">
        <v>655</v>
      </c>
      <c r="B84" s="212"/>
      <c r="C84" s="211"/>
      <c r="D84" s="211"/>
      <c r="E84" s="211"/>
      <c r="F84" s="355"/>
      <c r="G84" s="355"/>
      <c r="H84" s="355"/>
      <c r="I84" s="213"/>
      <c r="J84" s="291"/>
      <c r="K84" s="326"/>
      <c r="L84" s="291"/>
      <c r="M84" s="291"/>
      <c r="N84" s="291"/>
      <c r="O84" s="291"/>
      <c r="P84" s="291"/>
    </row>
    <row r="85" spans="1:16" ht="40.5" hidden="1" customHeight="1" x14ac:dyDescent="0.25">
      <c r="A85" s="47">
        <v>1</v>
      </c>
      <c r="B85" s="212"/>
      <c r="C85" s="211"/>
      <c r="D85" s="211"/>
      <c r="E85" s="211"/>
      <c r="F85" s="355"/>
      <c r="G85" s="355"/>
      <c r="H85" s="355"/>
      <c r="I85" s="356"/>
      <c r="J85" s="291"/>
      <c r="K85" s="326"/>
      <c r="L85" s="291"/>
      <c r="M85" s="291"/>
      <c r="N85" s="291"/>
      <c r="O85" s="291"/>
      <c r="P85" s="291"/>
    </row>
    <row r="86" spans="1:16" ht="15" hidden="1" x14ac:dyDescent="0.25">
      <c r="B86" s="2700" t="s">
        <v>992</v>
      </c>
      <c r="C86" s="2700"/>
      <c r="D86" s="2700"/>
      <c r="E86" s="2700"/>
      <c r="F86" s="2700"/>
      <c r="G86" s="2700"/>
      <c r="H86" s="357"/>
      <c r="I86" s="213"/>
      <c r="J86" s="291"/>
      <c r="K86" s="326"/>
      <c r="L86" s="291"/>
      <c r="M86" s="291"/>
      <c r="N86" s="291"/>
      <c r="O86" s="291"/>
      <c r="P86" s="291"/>
    </row>
    <row r="87" spans="1:16" ht="42" hidden="1" customHeight="1" x14ac:dyDescent="0.25">
      <c r="A87" s="47">
        <v>2</v>
      </c>
      <c r="B87" s="212"/>
      <c r="C87" s="211"/>
      <c r="D87" s="211"/>
      <c r="E87" s="211"/>
      <c r="F87" s="355"/>
      <c r="G87" s="355"/>
      <c r="H87" s="355"/>
      <c r="I87" s="356"/>
      <c r="J87" s="291"/>
      <c r="K87" s="326"/>
      <c r="L87" s="291"/>
      <c r="M87" s="291"/>
      <c r="N87" s="291"/>
      <c r="O87" s="291"/>
      <c r="P87" s="291"/>
    </row>
    <row r="88" spans="1:16" ht="15" hidden="1" x14ac:dyDescent="0.25">
      <c r="B88" s="2700" t="s">
        <v>993</v>
      </c>
      <c r="C88" s="2700"/>
      <c r="D88" s="2700"/>
      <c r="E88" s="2700"/>
      <c r="F88" s="2700"/>
      <c r="G88" s="2700"/>
      <c r="H88" s="357"/>
      <c r="I88" s="213"/>
      <c r="J88" s="291"/>
      <c r="K88" s="326"/>
      <c r="L88" s="291"/>
      <c r="M88" s="291"/>
      <c r="N88" s="291"/>
      <c r="O88" s="291"/>
      <c r="P88" s="291"/>
    </row>
    <row r="89" spans="1:16" ht="15.75" customHeight="1" x14ac:dyDescent="0.25">
      <c r="B89" s="212"/>
      <c r="C89" s="358">
        <f>C49-C82</f>
        <v>0</v>
      </c>
      <c r="D89" s="358">
        <f>D49-D82</f>
        <v>0</v>
      </c>
      <c r="E89" s="358">
        <f>E49-E82</f>
        <v>0</v>
      </c>
      <c r="F89" s="355"/>
      <c r="G89" s="359" t="s">
        <v>650</v>
      </c>
      <c r="H89" s="355"/>
      <c r="I89" s="213"/>
      <c r="J89" s="291"/>
      <c r="K89" s="326"/>
      <c r="L89" s="291"/>
      <c r="M89" s="291"/>
      <c r="N89" s="291"/>
      <c r="O89" s="291"/>
      <c r="P89" s="291"/>
    </row>
    <row r="90" spans="1:16" ht="15" x14ac:dyDescent="0.25">
      <c r="B90" s="212"/>
      <c r="C90" s="211"/>
      <c r="D90" s="211"/>
      <c r="E90" s="211"/>
      <c r="F90" s="355"/>
      <c r="G90" s="355"/>
      <c r="H90" s="355"/>
      <c r="I90" s="213"/>
      <c r="J90" s="291"/>
      <c r="K90" s="326"/>
      <c r="L90" s="2697"/>
      <c r="M90" s="2697"/>
      <c r="N90" s="2697"/>
      <c r="O90" s="2697"/>
      <c r="P90" s="2697"/>
    </row>
    <row r="91" spans="1:16" ht="15" x14ac:dyDescent="0.35">
      <c r="B91" s="2698"/>
      <c r="C91" s="2698"/>
      <c r="D91" s="2698"/>
      <c r="E91" s="2698"/>
      <c r="F91" s="2698"/>
      <c r="G91" s="2698"/>
      <c r="H91" s="2698"/>
      <c r="I91" s="2698"/>
      <c r="J91" s="291"/>
      <c r="K91" s="2702"/>
      <c r="L91" s="2702"/>
      <c r="M91" s="2702"/>
      <c r="N91" s="2702"/>
      <c r="O91" s="319"/>
      <c r="P91" s="354"/>
    </row>
    <row r="92" spans="1:16" ht="15" x14ac:dyDescent="0.35">
      <c r="B92" s="360"/>
      <c r="C92" s="360"/>
      <c r="D92" s="360"/>
      <c r="E92" s="360"/>
      <c r="F92" s="360"/>
      <c r="G92" s="360"/>
      <c r="H92" s="361"/>
      <c r="I92" s="362"/>
      <c r="J92" s="291"/>
      <c r="K92" s="326"/>
      <c r="L92" s="2697"/>
      <c r="M92" s="2697"/>
      <c r="N92" s="2697"/>
      <c r="O92" s="2697"/>
      <c r="P92" s="2697"/>
    </row>
    <row r="93" spans="1:16" ht="15" x14ac:dyDescent="0.35">
      <c r="B93" s="360"/>
      <c r="C93" s="360"/>
      <c r="D93" s="360"/>
      <c r="E93" s="360"/>
      <c r="F93" s="360"/>
      <c r="G93" s="360"/>
      <c r="H93" s="361"/>
      <c r="I93" s="362"/>
      <c r="J93" s="291"/>
      <c r="K93" s="319"/>
      <c r="L93" s="319"/>
      <c r="M93" s="319"/>
      <c r="N93" s="319"/>
      <c r="O93" s="319"/>
      <c r="P93" s="354"/>
    </row>
    <row r="94" spans="1:16" ht="15" x14ac:dyDescent="0.35">
      <c r="B94" s="360"/>
      <c r="C94" s="360"/>
      <c r="D94" s="360"/>
      <c r="E94" s="360"/>
      <c r="F94" s="360"/>
      <c r="G94" s="360"/>
      <c r="H94" s="361"/>
      <c r="I94" s="362"/>
      <c r="J94" s="291"/>
      <c r="K94" s="326"/>
      <c r="L94" s="2697"/>
      <c r="M94" s="2697"/>
      <c r="N94" s="2697"/>
      <c r="O94" s="2697"/>
      <c r="P94" s="2697"/>
    </row>
    <row r="95" spans="1:16" ht="15" x14ac:dyDescent="0.35">
      <c r="B95" s="360"/>
      <c r="C95" s="360"/>
      <c r="D95" s="360"/>
      <c r="E95" s="360"/>
      <c r="F95" s="360"/>
      <c r="G95" s="360"/>
      <c r="H95" s="361"/>
      <c r="I95" s="362"/>
      <c r="J95" s="291"/>
      <c r="K95" s="326"/>
      <c r="L95" s="291"/>
      <c r="M95" s="291"/>
      <c r="N95" s="291"/>
      <c r="O95" s="291"/>
      <c r="P95" s="291"/>
    </row>
    <row r="96" spans="1:16" ht="15" x14ac:dyDescent="0.35">
      <c r="B96" s="360"/>
      <c r="C96" s="360"/>
      <c r="D96" s="360"/>
      <c r="E96" s="360"/>
      <c r="F96" s="360"/>
      <c r="G96" s="360"/>
      <c r="H96" s="361"/>
      <c r="I96" s="362"/>
      <c r="J96" s="291"/>
      <c r="K96" s="326"/>
      <c r="L96" s="291"/>
      <c r="M96" s="291"/>
      <c r="N96" s="291"/>
      <c r="O96" s="291"/>
      <c r="P96" s="324"/>
    </row>
    <row r="97" spans="2:16" ht="15" x14ac:dyDescent="0.35">
      <c r="B97" s="2698"/>
      <c r="C97" s="2698"/>
      <c r="D97" s="2698"/>
      <c r="E97" s="2698"/>
      <c r="F97" s="2698"/>
      <c r="G97" s="2698"/>
      <c r="H97" s="2698"/>
      <c r="I97" s="362"/>
      <c r="J97" s="291"/>
      <c r="K97" s="326"/>
      <c r="L97" s="291"/>
      <c r="M97" s="291"/>
      <c r="N97" s="291"/>
      <c r="O97" s="291"/>
      <c r="P97" s="291"/>
    </row>
    <row r="98" spans="2:16" ht="15" x14ac:dyDescent="0.25">
      <c r="B98" s="212"/>
      <c r="C98" s="211"/>
      <c r="D98" s="211"/>
      <c r="E98" s="211"/>
      <c r="F98" s="355"/>
      <c r="G98" s="355"/>
      <c r="H98" s="355"/>
      <c r="I98" s="213"/>
      <c r="J98" s="291"/>
      <c r="K98" s="326"/>
      <c r="L98" s="291"/>
      <c r="M98" s="291"/>
      <c r="N98" s="291"/>
      <c r="O98" s="291"/>
      <c r="P98" s="363"/>
    </row>
    <row r="99" spans="2:16" ht="15" x14ac:dyDescent="0.25">
      <c r="B99" s="212"/>
      <c r="C99" s="211"/>
      <c r="D99" s="211"/>
      <c r="E99" s="211"/>
      <c r="F99" s="355"/>
      <c r="G99" s="355"/>
      <c r="H99" s="355"/>
      <c r="I99" s="213"/>
      <c r="J99" s="291"/>
      <c r="K99" s="326"/>
      <c r="L99" s="291"/>
      <c r="M99" s="291"/>
      <c r="N99" s="291"/>
      <c r="O99" s="291"/>
      <c r="P99" s="291"/>
    </row>
    <row r="106" spans="2:16" x14ac:dyDescent="0.25">
      <c r="L106" s="59"/>
      <c r="M106" s="59"/>
    </row>
    <row r="108" spans="2:16" x14ac:dyDescent="0.25">
      <c r="L108" s="58"/>
      <c r="M108" s="58"/>
    </row>
  </sheetData>
  <mergeCells count="64">
    <mergeCell ref="J5:K5"/>
    <mergeCell ref="L5:P5"/>
    <mergeCell ref="B1:H1"/>
    <mergeCell ref="B2:H2"/>
    <mergeCell ref="B3:B4"/>
    <mergeCell ref="J3:K3"/>
    <mergeCell ref="L3:P3"/>
    <mergeCell ref="J6:K6"/>
    <mergeCell ref="L6:N6"/>
    <mergeCell ref="J7:K7"/>
    <mergeCell ref="L7:M7"/>
    <mergeCell ref="J8:K8"/>
    <mergeCell ref="L8:P8"/>
    <mergeCell ref="J9:K9"/>
    <mergeCell ref="L9:P9"/>
    <mergeCell ref="J13:K13"/>
    <mergeCell ref="F52:G52"/>
    <mergeCell ref="J20:K20"/>
    <mergeCell ref="J24:K24"/>
    <mergeCell ref="J33:K33"/>
    <mergeCell ref="L35:M35"/>
    <mergeCell ref="O43:P43"/>
    <mergeCell ref="O44:P44"/>
    <mergeCell ref="O41:P41"/>
    <mergeCell ref="K42:L42"/>
    <mergeCell ref="M42:P42"/>
    <mergeCell ref="J29:K29"/>
    <mergeCell ref="K50:L50"/>
    <mergeCell ref="M50:N50"/>
    <mergeCell ref="K71:M72"/>
    <mergeCell ref="K73:K74"/>
    <mergeCell ref="L73:L74"/>
    <mergeCell ref="O50:P50"/>
    <mergeCell ref="K64:L64"/>
    <mergeCell ref="M64:M65"/>
    <mergeCell ref="N64:N65"/>
    <mergeCell ref="P64:P65"/>
    <mergeCell ref="K65:L65"/>
    <mergeCell ref="M73:M74"/>
    <mergeCell ref="B65:G65"/>
    <mergeCell ref="K67:L67"/>
    <mergeCell ref="K68:L68"/>
    <mergeCell ref="K69:L69"/>
    <mergeCell ref="M69:N69"/>
    <mergeCell ref="F54:G54"/>
    <mergeCell ref="B55:H55"/>
    <mergeCell ref="B56:H56"/>
    <mergeCell ref="K60:P60"/>
    <mergeCell ref="P61:P63"/>
    <mergeCell ref="K75:K79"/>
    <mergeCell ref="L81:P81"/>
    <mergeCell ref="B97:C97"/>
    <mergeCell ref="D97:E97"/>
    <mergeCell ref="F97:H97"/>
    <mergeCell ref="F83:G83"/>
    <mergeCell ref="B86:G86"/>
    <mergeCell ref="B88:G88"/>
    <mergeCell ref="B91:C91"/>
    <mergeCell ref="D91:I91"/>
    <mergeCell ref="L92:P92"/>
    <mergeCell ref="L80:M80"/>
    <mergeCell ref="L94:P94"/>
    <mergeCell ref="L90:P90"/>
    <mergeCell ref="K91:N91"/>
  </mergeCells>
  <conditionalFormatting sqref="E11 E22 E75 E79 C67:E70">
    <cfRule type="cellIs" dxfId="28" priority="9" operator="greaterThan">
      <formula>0</formula>
    </cfRule>
  </conditionalFormatting>
  <conditionalFormatting sqref="D11">
    <cfRule type="cellIs" dxfId="27" priority="8" operator="greaterThan">
      <formula>0</formula>
    </cfRule>
  </conditionalFormatting>
  <conditionalFormatting sqref="C11">
    <cfRule type="cellIs" dxfId="26" priority="7" operator="greaterThan">
      <formula>0</formula>
    </cfRule>
  </conditionalFormatting>
  <conditionalFormatting sqref="D22">
    <cfRule type="cellIs" dxfId="25" priority="6" operator="greaterThan">
      <formula>0</formula>
    </cfRule>
  </conditionalFormatting>
  <conditionalFormatting sqref="C22">
    <cfRule type="cellIs" dxfId="24" priority="5" operator="greaterThan">
      <formula>0</formula>
    </cfRule>
  </conditionalFormatting>
  <conditionalFormatting sqref="D75">
    <cfRule type="cellIs" dxfId="23" priority="4" operator="greaterThan">
      <formula>0</formula>
    </cfRule>
  </conditionalFormatting>
  <conditionalFormatting sqref="D79">
    <cfRule type="cellIs" dxfId="22" priority="3" operator="greaterThan">
      <formula>0</formula>
    </cfRule>
  </conditionalFormatting>
  <conditionalFormatting sqref="C79">
    <cfRule type="cellIs" dxfId="21" priority="2" operator="greaterThan">
      <formula>0</formula>
    </cfRule>
  </conditionalFormatting>
  <conditionalFormatting sqref="C75">
    <cfRule type="cellIs" dxfId="20" priority="1" operator="greaterThan">
      <formula>0</formula>
    </cfRule>
  </conditionalFormatting>
  <printOptions horizontalCentered="1"/>
  <pageMargins left="0.45" right="0.45" top="0.25" bottom="0.25" header="0.3" footer="0.3"/>
  <pageSetup paperSize="9" scale="4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8"/>
  <sheetViews>
    <sheetView showGridLines="0" view="pageBreakPreview" topLeftCell="A40" workbookViewId="0">
      <selection activeCell="D77" sqref="D77"/>
    </sheetView>
  </sheetViews>
  <sheetFormatPr defaultColWidth="9" defaultRowHeight="15" x14ac:dyDescent="0.25"/>
  <cols>
    <col min="1" max="1" width="1.5703125" style="767" customWidth="1"/>
    <col min="2" max="2" width="4.85546875" style="767" bestFit="1" customWidth="1"/>
    <col min="3" max="3" width="49.7109375" style="767" customWidth="1"/>
    <col min="4" max="4" width="20.28515625" style="767" customWidth="1"/>
    <col min="5" max="5" width="11.42578125" style="767" bestFit="1" customWidth="1"/>
    <col min="6" max="6" width="19.28515625" style="767" customWidth="1"/>
    <col min="7" max="7" width="11" style="767" customWidth="1"/>
    <col min="8" max="8" width="18.7109375" style="767" bestFit="1" customWidth="1"/>
    <col min="9" max="9" width="11.28515625" style="767" hidden="1" customWidth="1"/>
    <col min="10" max="10" width="13.7109375" style="767" hidden="1" customWidth="1"/>
    <col min="11" max="11" width="1.5703125" style="767" customWidth="1"/>
    <col min="12" max="12" width="16.42578125" style="767" customWidth="1"/>
    <col min="13" max="13" width="19" style="767" bestFit="1" customWidth="1"/>
    <col min="14" max="14" width="16.85546875" style="767" bestFit="1" customWidth="1"/>
    <col min="15" max="16384" width="9" style="767"/>
  </cols>
  <sheetData>
    <row r="1" spans="1:13" ht="16.5" thickTop="1" thickBot="1" x14ac:dyDescent="0.3">
      <c r="A1" s="1946"/>
      <c r="B1" s="1947"/>
      <c r="C1" s="1948" t="s">
        <v>1199</v>
      </c>
      <c r="D1" s="1947"/>
      <c r="E1" s="1947"/>
      <c r="F1" s="1947"/>
      <c r="G1" s="1947"/>
      <c r="H1" s="1947"/>
      <c r="I1" s="1947"/>
      <c r="J1" s="1947"/>
      <c r="K1" s="1949"/>
      <c r="L1" s="1950"/>
      <c r="M1" s="1950"/>
    </row>
    <row r="2" spans="1:13" ht="15.75" thickBot="1" x14ac:dyDescent="0.3">
      <c r="A2" s="1951"/>
      <c r="B2" s="1952"/>
      <c r="C2" s="1953" t="s">
        <v>1200</v>
      </c>
      <c r="D2" s="1954">
        <f>'CEKLIST 002 (BIO DATA)'!D11</f>
        <v>43281</v>
      </c>
      <c r="E2" s="1955" t="s">
        <v>941</v>
      </c>
      <c r="F2" s="1954">
        <f>'CEKLIST 002 (BIO DATA)'!D10</f>
        <v>43100</v>
      </c>
      <c r="G2" s="1955" t="s">
        <v>941</v>
      </c>
      <c r="H2" s="1956">
        <f>'CEKLIST 002 (BIO DATA)'!D9</f>
        <v>42735</v>
      </c>
      <c r="I2" s="1957" t="s">
        <v>941</v>
      </c>
      <c r="J2" s="1958">
        <f>DATE('[4]Lembar Input I Keuangan'!$F$35,'[4]Lembar Input I Keuangan'!$E$35,'[4]Lembar Input I Keuangan'!$D$35)</f>
        <v>366</v>
      </c>
      <c r="K2" s="1959"/>
      <c r="L2" s="1950"/>
      <c r="M2" s="1950"/>
    </row>
    <row r="3" spans="1:13" ht="7.5" customHeight="1" x14ac:dyDescent="0.25">
      <c r="A3" s="1951"/>
      <c r="B3" s="1960"/>
      <c r="C3" s="1961"/>
      <c r="D3" s="1961"/>
      <c r="E3" s="1961"/>
      <c r="F3" s="1961"/>
      <c r="G3" s="1961"/>
      <c r="H3" s="1962"/>
      <c r="I3" s="1963"/>
      <c r="J3" s="1961"/>
      <c r="K3" s="1959"/>
      <c r="L3" s="1950"/>
      <c r="M3" s="1950"/>
    </row>
    <row r="4" spans="1:13" ht="15.75" customHeight="1" x14ac:dyDescent="0.25">
      <c r="A4" s="1951"/>
      <c r="B4" s="1964">
        <v>1</v>
      </c>
      <c r="C4" s="1965" t="s">
        <v>1201</v>
      </c>
      <c r="D4" s="1966">
        <f>IF(D6&lt;&gt;0,D5/D6,0)</f>
        <v>0.79167742091493443</v>
      </c>
      <c r="E4" s="1967">
        <f>IF(F4&lt;&gt;0,((D4-F4)/F4)*100%,0)</f>
        <v>-0.12048333244850093</v>
      </c>
      <c r="F4" s="1966">
        <f>IF(F6&lt;&gt;0,F5/F6,0)</f>
        <v>0.90012782033898031</v>
      </c>
      <c r="G4" s="1967">
        <f>IF(H4&lt;&gt;0,((F4-H4)/H4)*100%,0)</f>
        <v>-6.6554240041653227E-3</v>
      </c>
      <c r="H4" s="1968">
        <f>IF(H6&lt;&gt;0,H5/H6,0)</f>
        <v>0.90615869064025045</v>
      </c>
      <c r="I4" s="1969" t="e">
        <f>IF(J4&lt;&gt;0,((H4-J4)/J4)*100%,0)</f>
        <v>#REF!</v>
      </c>
      <c r="J4" s="1966" t="e">
        <f>IF(J6&lt;&gt;0,J5/J6,0)</f>
        <v>#REF!</v>
      </c>
      <c r="K4" s="1959"/>
      <c r="L4" s="1950"/>
      <c r="M4" s="1950"/>
    </row>
    <row r="5" spans="1:13" x14ac:dyDescent="0.25">
      <c r="A5" s="1951"/>
      <c r="B5" s="1970"/>
      <c r="C5" s="1971" t="s">
        <v>1202</v>
      </c>
      <c r="D5" s="1972">
        <f>D97</f>
        <v>52970770845.799995</v>
      </c>
      <c r="E5" s="1967">
        <f>IF(F5&lt;&gt;0,((D5-F5)/F5)*100%,0)</f>
        <v>-5.783235797514448E-2</v>
      </c>
      <c r="F5" s="1972">
        <f>F97</f>
        <v>56222235282.839996</v>
      </c>
      <c r="G5" s="1967">
        <f t="shared" ref="G5:I6" si="0">IF(H5&lt;&gt;0,((F5-H5)/H5)*100%,0)</f>
        <v>9.3885562884236273E-2</v>
      </c>
      <c r="H5" s="1973">
        <f>H97</f>
        <v>51396816258</v>
      </c>
      <c r="I5" s="1969">
        <f t="shared" si="0"/>
        <v>0</v>
      </c>
      <c r="J5" s="1972">
        <f>J97</f>
        <v>0</v>
      </c>
      <c r="K5" s="1959"/>
      <c r="L5" s="1950"/>
      <c r="M5" s="1950"/>
    </row>
    <row r="6" spans="1:13" s="2515" customFormat="1" ht="45" x14ac:dyDescent="0.25">
      <c r="A6" s="2507"/>
      <c r="B6" s="2508"/>
      <c r="C6" s="2516" t="s">
        <v>1203</v>
      </c>
      <c r="D6" s="2509">
        <f>D104+D105+D107+D110+D114+D118+D132+D111</f>
        <v>66909538464.014999</v>
      </c>
      <c r="E6" s="2510">
        <f>IF(F6&lt;&gt;0,((D6-F6)/F6)*100%,0)</f>
        <v>7.1233413515370395E-2</v>
      </c>
      <c r="F6" s="2509">
        <f>F104+F105+F107+F110+F114+F118+F132+F111</f>
        <v>62460279543.040001</v>
      </c>
      <c r="G6" s="2510">
        <f t="shared" si="0"/>
        <v>0.10121461305369148</v>
      </c>
      <c r="H6" s="2511">
        <f>H104+H105+H107+H110+H114+H118+H132+H111</f>
        <v>56719443061</v>
      </c>
      <c r="I6" s="2512" t="e">
        <f t="shared" si="0"/>
        <v>#REF!</v>
      </c>
      <c r="J6" s="2509" t="e">
        <f>J104+J105+J107+J110+J114+J118+J132+J111</f>
        <v>#REF!</v>
      </c>
      <c r="K6" s="2513"/>
      <c r="L6" s="2514"/>
      <c r="M6" s="2514"/>
    </row>
    <row r="7" spans="1:13" ht="6" customHeight="1" x14ac:dyDescent="0.25">
      <c r="A7" s="1951"/>
      <c r="B7" s="1970"/>
      <c r="C7" s="1974"/>
      <c r="D7" s="1971"/>
      <c r="E7" s="1967"/>
      <c r="F7" s="1971"/>
      <c r="G7" s="1967"/>
      <c r="H7" s="1975"/>
      <c r="I7" s="1969"/>
      <c r="J7" s="1971"/>
      <c r="K7" s="1959"/>
      <c r="L7" s="1950"/>
      <c r="M7" s="1950"/>
    </row>
    <row r="8" spans="1:13" x14ac:dyDescent="0.25">
      <c r="A8" s="1951"/>
      <c r="B8" s="1964">
        <v>2</v>
      </c>
      <c r="C8" s="1965" t="s">
        <v>1204</v>
      </c>
      <c r="D8" s="1966">
        <f>IF(D10&lt;&gt;0,D9/D10,0)</f>
        <v>-0.34288113242966572</v>
      </c>
      <c r="E8" s="1967">
        <f>IF(F8&lt;&gt;0,((D8-F8)/F8)*100%,0)</f>
        <v>0.71792422365532438</v>
      </c>
      <c r="F8" s="1966">
        <f>IF(F10&lt;&gt;0,F9/F10,0)</f>
        <v>-0.19959037058112969</v>
      </c>
      <c r="G8" s="1967">
        <f>IF(H8&lt;&gt;0,((F8-H8)/H8)*100%,0)</f>
        <v>-0.1383792902595786</v>
      </c>
      <c r="H8" s="1968">
        <f>IF(H10&lt;&gt;0,H9/H10,0)</f>
        <v>-0.23164528002264459</v>
      </c>
      <c r="I8" s="1969" t="e">
        <f>IF(J8&lt;&gt;0,((H8-J8)/J8)*100%,0)</f>
        <v>#REF!</v>
      </c>
      <c r="J8" s="1966" t="e">
        <f>IF(J10&lt;&gt;0,J9/J10,0)</f>
        <v>#REF!</v>
      </c>
      <c r="K8" s="1959"/>
      <c r="L8" s="1950"/>
      <c r="M8" s="1950"/>
    </row>
    <row r="9" spans="1:13" hidden="1" x14ac:dyDescent="0.25">
      <c r="A9" s="1951"/>
      <c r="B9" s="1970"/>
      <c r="C9" s="1971" t="s">
        <v>1205</v>
      </c>
      <c r="D9" s="1972">
        <f>(D106+D107+D109)-(D94+D95+D96+D108)</f>
        <v>-11423681402.889999</v>
      </c>
      <c r="E9" s="1967">
        <f>IF(F9&lt;&gt;0,((D9-F9)/F9)*100%,0)</f>
        <v>0.89775519996675535</v>
      </c>
      <c r="F9" s="1972">
        <f>(F106+F107+F109)-(F94+F95+F96+F108)</f>
        <v>-6019575866.8400002</v>
      </c>
      <c r="G9" s="1967">
        <f>IF(H9&lt;&gt;0,((F9-H9)/H9)*100%,0)</f>
        <v>2.0501796958698672E-2</v>
      </c>
      <c r="H9" s="1973">
        <f>(H106+H107+H109)-(H94+H95+H96+H108)</f>
        <v>-5898643084</v>
      </c>
      <c r="I9" s="1969">
        <f>IF(J9&lt;&gt;0,((H9-J9)/J9)*100%,0)</f>
        <v>0</v>
      </c>
      <c r="J9" s="1972">
        <f>(J106+J107+J109)-(J94+J95+J96+J108)</f>
        <v>0</v>
      </c>
      <c r="K9" s="1959"/>
      <c r="L9" s="1950"/>
      <c r="M9" s="1950"/>
    </row>
    <row r="10" spans="1:13" hidden="1" x14ac:dyDescent="0.25">
      <c r="A10" s="1951"/>
      <c r="B10" s="1970"/>
      <c r="C10" s="1971" t="s">
        <v>1206</v>
      </c>
      <c r="D10" s="1972">
        <f>D132</f>
        <v>33316739599.934998</v>
      </c>
      <c r="E10" s="1967">
        <f>IF(F10&lt;&gt;0,((D10-F10)/F10)*100%,0)</f>
        <v>0.10467922498280771</v>
      </c>
      <c r="F10" s="1972">
        <f>F132</f>
        <v>30159650735.220001</v>
      </c>
      <c r="G10" s="1967">
        <f>IF(H10&lt;&gt;0,((F10-H10)/H10)*100%,0)</f>
        <v>0.1843979438077146</v>
      </c>
      <c r="H10" s="1973">
        <f>H132</f>
        <v>25464119465</v>
      </c>
      <c r="I10" s="1969" t="e">
        <f>IF(J10&lt;&gt;0,((H10-J10)/J10)*100%,0)</f>
        <v>#REF!</v>
      </c>
      <c r="J10" s="1972" t="e">
        <f>J132</f>
        <v>#REF!</v>
      </c>
      <c r="K10" s="1959"/>
      <c r="L10" s="1950"/>
      <c r="M10" s="1950"/>
    </row>
    <row r="11" spans="1:13" ht="7.5" hidden="1" customHeight="1" x14ac:dyDescent="0.25">
      <c r="A11" s="1951"/>
      <c r="B11" s="1970"/>
      <c r="C11" s="1971"/>
      <c r="D11" s="1971"/>
      <c r="E11" s="1967"/>
      <c r="F11" s="1971"/>
      <c r="G11" s="1967"/>
      <c r="H11" s="1975"/>
      <c r="I11" s="1969"/>
      <c r="J11" s="1971"/>
      <c r="K11" s="1959"/>
      <c r="L11" s="1950"/>
      <c r="M11" s="1950"/>
    </row>
    <row r="12" spans="1:13" x14ac:dyDescent="0.25">
      <c r="A12" s="1951"/>
      <c r="B12" s="1964">
        <v>3</v>
      </c>
      <c r="C12" s="1976" t="s">
        <v>561</v>
      </c>
      <c r="D12" s="1966">
        <f>IF(D14&lt;&gt;0,D13/D14,0)</f>
        <v>0.41972357675350841</v>
      </c>
      <c r="E12" s="1967">
        <f>IF(F12&lt;&gt;0,((D12-F12)/F12)*100%,0)</f>
        <v>0.75134404971490409</v>
      </c>
      <c r="F12" s="1966">
        <f>IF(F14&lt;&gt;0,F13/F14,0)</f>
        <v>0.23965797972239317</v>
      </c>
      <c r="G12" s="1967">
        <f>IF(H12&lt;&gt;0,((F12-H12)/H12)*100%,0)</f>
        <v>-5.0666303495049081E-2</v>
      </c>
      <c r="H12" s="1968">
        <f>IF(H14&lt;&gt;0,H13/H14,0)</f>
        <v>0.25244861801989488</v>
      </c>
      <c r="I12" s="1969">
        <f>IF(J12&lt;&gt;0,((H12-J12)/J12)*100%,0)</f>
        <v>0</v>
      </c>
      <c r="J12" s="1966">
        <f>IF(J14&lt;&gt;0,J13/J14,0)</f>
        <v>0</v>
      </c>
      <c r="K12" s="1959"/>
      <c r="L12" s="1950"/>
      <c r="M12" s="1950"/>
    </row>
    <row r="13" spans="1:13" ht="30" x14ac:dyDescent="0.25">
      <c r="A13" s="1951"/>
      <c r="B13" s="1970"/>
      <c r="C13" s="1977" t="s">
        <v>1207</v>
      </c>
      <c r="D13" s="1972">
        <f>(D92+D94+D95)-(D106+D108)</f>
        <v>12100101402.889999</v>
      </c>
      <c r="E13" s="1967">
        <f>IF(F13&lt;&gt;0,((D13-F13)/F13)*100%,0)</f>
        <v>0.79726453724930957</v>
      </c>
      <c r="F13" s="1972">
        <f>(F92+F94+F95+96)-(F106+F108)</f>
        <v>6732509962.8400002</v>
      </c>
      <c r="G13" s="1967">
        <f>IF(H13&lt;&gt;0,((F13-H13)/H13)*100%,0)</f>
        <v>0.10631228408410759</v>
      </c>
      <c r="H13" s="1973">
        <f>(H92+H94+H95)-(H106+H108)</f>
        <v>6085542084</v>
      </c>
      <c r="I13" s="1969">
        <f>IF(J13&lt;&gt;0,((H13-J13)/J13)*100%,0)</f>
        <v>0</v>
      </c>
      <c r="J13" s="1972">
        <f>(J92+J94+J95)-(J106+J108)</f>
        <v>0</v>
      </c>
      <c r="K13" s="1959"/>
      <c r="L13" s="1950"/>
      <c r="M13" s="1950">
        <f>F13/F14</f>
        <v>0.23965797972239317</v>
      </c>
    </row>
    <row r="14" spans="1:13" x14ac:dyDescent="0.25">
      <c r="A14" s="1951"/>
      <c r="B14" s="1970"/>
      <c r="C14" s="1971" t="s">
        <v>1208</v>
      </c>
      <c r="D14" s="1972">
        <f>SUM(D103:D105)</f>
        <v>28828738896.400002</v>
      </c>
      <c r="E14" s="1967">
        <f>IF(F14&lt;&gt;0,((D14-F14)/F14)*100%,0)</f>
        <v>2.6220140778095952E-2</v>
      </c>
      <c r="F14" s="1972">
        <f>SUM(F103:F105)</f>
        <v>28092158544.599998</v>
      </c>
      <c r="G14" s="1967">
        <f>IF(H14&lt;&gt;0,((F14-H14)/H14)*100%,0)</f>
        <v>0.16535659500667266</v>
      </c>
      <c r="H14" s="1973">
        <f>SUM(H103:H105)</f>
        <v>24106062183</v>
      </c>
      <c r="I14" s="1969">
        <f>IF(J14&lt;&gt;0,((H14-J14)/J14)*100%,0)</f>
        <v>0</v>
      </c>
      <c r="J14" s="1972">
        <f>SUM(J103:J105)</f>
        <v>0</v>
      </c>
      <c r="K14" s="1959"/>
      <c r="L14" s="1950"/>
      <c r="M14" s="1950"/>
    </row>
    <row r="15" spans="1:13" ht="7.5" customHeight="1" x14ac:dyDescent="0.25">
      <c r="A15" s="1951"/>
      <c r="B15" s="1970"/>
      <c r="C15" s="1971"/>
      <c r="D15" s="1971"/>
      <c r="E15" s="1967"/>
      <c r="F15" s="1971"/>
      <c r="G15" s="1967"/>
      <c r="H15" s="1975"/>
      <c r="I15" s="1969"/>
      <c r="J15" s="1971"/>
      <c r="K15" s="1959"/>
      <c r="L15" s="1950"/>
      <c r="M15" s="1950"/>
    </row>
    <row r="16" spans="1:13" x14ac:dyDescent="0.25">
      <c r="A16" s="1951"/>
      <c r="B16" s="1964">
        <v>4</v>
      </c>
      <c r="C16" s="1965" t="s">
        <v>1209</v>
      </c>
      <c r="D16" s="1966">
        <f>IF(D18&lt;&gt;0,D17/D18,0)</f>
        <v>6.8683460746323477E-2</v>
      </c>
      <c r="E16" s="1967">
        <f>IF(F16&lt;&gt;0,((D16-F16)/F16)*100%,0)</f>
        <v>0.3050883739247674</v>
      </c>
      <c r="F16" s="1966">
        <f>IF(F18&lt;&gt;0,F17/F18,0)</f>
        <v>5.26274405002728E-2</v>
      </c>
      <c r="G16" s="1967">
        <f>IF(H16&lt;&gt;0,((F16-H16)/H16)*100%,0)</f>
        <v>-6.741190490268853E-2</v>
      </c>
      <c r="H16" s="1968">
        <f>IF(H18&lt;&gt;0,H17/H18,0)</f>
        <v>5.643160230860695E-2</v>
      </c>
      <c r="I16" s="1969">
        <f>IF(J16&lt;&gt;0,((H16-J16)/J16)*100%,0)</f>
        <v>0</v>
      </c>
      <c r="J16" s="1966">
        <f>IF(J18&lt;&gt;0,J17/J18,0)</f>
        <v>0</v>
      </c>
      <c r="K16" s="1959"/>
      <c r="L16" s="1950"/>
      <c r="M16" s="1950"/>
    </row>
    <row r="17" spans="1:14" hidden="1" x14ac:dyDescent="0.25">
      <c r="A17" s="1951"/>
      <c r="B17" s="1970"/>
      <c r="C17" s="1971" t="s">
        <v>1210</v>
      </c>
      <c r="D17" s="1972">
        <f>D98+D99+D100</f>
        <v>3638215860.0900002</v>
      </c>
      <c r="E17" s="1967">
        <f>IF(F17&lt;&gt;0,((D17-F17)/F17)*100%,0)</f>
        <v>0.22961203589475115</v>
      </c>
      <c r="F17" s="1972">
        <f>F98+F99+F100</f>
        <v>2958832342.1399999</v>
      </c>
      <c r="G17" s="1967">
        <f>IF(H17&lt;&gt;0,((F17-H17)/H17)*100%,0)</f>
        <v>2.0144653344660188E-2</v>
      </c>
      <c r="H17" s="1973">
        <f>H98+H99+H100</f>
        <v>2900404695</v>
      </c>
      <c r="I17" s="1969">
        <f>IF(J17&lt;&gt;0,((H17-J17)/J17)*100%,0)</f>
        <v>0</v>
      </c>
      <c r="J17" s="1972">
        <f>J98+J99+J100</f>
        <v>0</v>
      </c>
      <c r="K17" s="1959"/>
      <c r="L17" s="1972"/>
      <c r="M17" s="1978"/>
      <c r="N17" s="780"/>
    </row>
    <row r="18" spans="1:14" hidden="1" x14ac:dyDescent="0.25">
      <c r="A18" s="1951"/>
      <c r="B18" s="1970"/>
      <c r="C18" s="1971" t="s">
        <v>1202</v>
      </c>
      <c r="D18" s="1972">
        <f>D97</f>
        <v>52970770845.799995</v>
      </c>
      <c r="E18" s="1967">
        <f>IF(F18&lt;&gt;0,((D18-F18)/F18)*100%,0)</f>
        <v>-5.783235797514448E-2</v>
      </c>
      <c r="F18" s="1972">
        <f>F97</f>
        <v>56222235282.839996</v>
      </c>
      <c r="G18" s="1967">
        <f>IF(H18&lt;&gt;0,((F18-H18)/H18)*100%,0)</f>
        <v>9.3885562884236273E-2</v>
      </c>
      <c r="H18" s="1973">
        <f>H97</f>
        <v>51396816258</v>
      </c>
      <c r="I18" s="1969">
        <f>IF(J18&lt;&gt;0,((H18-J18)/J18)*100%,0)</f>
        <v>0</v>
      </c>
      <c r="J18" s="1972">
        <f>J97</f>
        <v>0</v>
      </c>
      <c r="K18" s="1959"/>
      <c r="L18" s="1950"/>
      <c r="M18" s="1950"/>
    </row>
    <row r="19" spans="1:14" ht="7.5" hidden="1" customHeight="1" x14ac:dyDescent="0.25">
      <c r="A19" s="1951"/>
      <c r="B19" s="1970"/>
      <c r="C19" s="1971"/>
      <c r="D19" s="1971"/>
      <c r="E19" s="1967"/>
      <c r="F19" s="1971"/>
      <c r="G19" s="1967"/>
      <c r="H19" s="1975"/>
      <c r="I19" s="1969"/>
      <c r="J19" s="1971"/>
      <c r="K19" s="1959"/>
      <c r="L19" s="1950"/>
      <c r="M19" s="1950"/>
    </row>
    <row r="20" spans="1:14" x14ac:dyDescent="0.25">
      <c r="A20" s="1951"/>
      <c r="B20" s="1964">
        <v>5</v>
      </c>
      <c r="C20" s="1965" t="s">
        <v>1211</v>
      </c>
      <c r="D20" s="1966">
        <f>IF(D22&lt;&gt;0,D21/D22,0)</f>
        <v>1.1873597427415847E-2</v>
      </c>
      <c r="E20" s="1967">
        <f>IF(F20&lt;&gt;0,((D20-F20)/F20)*100%,0)</f>
        <v>-0.57644709265621552</v>
      </c>
      <c r="F20" s="1966">
        <f>IF(F22&lt;&gt;0,F21/F22,0)</f>
        <v>2.8033327647019129E-2</v>
      </c>
      <c r="G20" s="1967">
        <f>IF(H20&lt;&gt;0,((F20-H20)/H20)*100%,0)</f>
        <v>-0.13369593264564464</v>
      </c>
      <c r="H20" s="1968">
        <f>IF(H22&lt;&gt;0,H21/H22,0)</f>
        <v>3.2359686054148816E-2</v>
      </c>
      <c r="I20" s="1969">
        <f>IF(J20&lt;&gt;0,((H20-J20)/J20)*100%,0)</f>
        <v>0</v>
      </c>
      <c r="J20" s="1966">
        <f>IF(J22&lt;&gt;0,J21/J22,0)</f>
        <v>0</v>
      </c>
      <c r="K20" s="1959"/>
      <c r="L20" s="1950"/>
      <c r="M20" s="1950"/>
    </row>
    <row r="21" spans="1:14" hidden="1" x14ac:dyDescent="0.25">
      <c r="A21" s="1951"/>
      <c r="B21" s="1970"/>
      <c r="C21" s="1971" t="s">
        <v>1212</v>
      </c>
      <c r="D21" s="1979">
        <f>($D$126/'[4]Lembar Input I Keuangan'!$E32)*12</f>
        <v>3225762669.0299993</v>
      </c>
      <c r="E21" s="1967">
        <f>IF(F21&lt;&gt;0,((D21-F21)/F21)*100%,0)</f>
        <v>-0.49686719412959762</v>
      </c>
      <c r="F21" s="1979">
        <f>(F126/'[4]Lembar Input I Keuangan'!E33)*12</f>
        <v>6411354281.3999996</v>
      </c>
      <c r="G21" s="1967">
        <f>IF(H21&lt;&gt;0,((F21-H21)/H21)*100%,0)</f>
        <v>-5.4415969293200833E-2</v>
      </c>
      <c r="H21" s="1980">
        <f>(H126/'[4]Lembar Input I Keuangan'!E34)*12</f>
        <v>6780311504</v>
      </c>
      <c r="I21" s="1969">
        <f>IF(J21&lt;&gt;0,((H21-J21)/J21)*100%,0)</f>
        <v>0</v>
      </c>
      <c r="J21" s="1979">
        <f>IF('[4]Lembar Input I Keuangan'!E35&lt;&gt;0,(J126/'[4]Lembar Input I Keuangan'!E35)*12,0)</f>
        <v>0</v>
      </c>
      <c r="K21" s="1959"/>
      <c r="L21" s="1950"/>
      <c r="M21" s="1950"/>
    </row>
    <row r="22" spans="1:14" hidden="1" x14ac:dyDescent="0.25">
      <c r="A22" s="1951"/>
      <c r="B22" s="1970"/>
      <c r="C22" s="1971" t="s">
        <v>1213</v>
      </c>
      <c r="D22" s="1979">
        <f>IF('[4]Lembar Input I Keuangan'!M65=0,'[4]Lembar Input I Keuangan'!K65,(('[4]Lembar Input I Keuangan'!M65+'[4]Lembar Input I Keuangan'!K65)/2))</f>
        <v>271675260067.5</v>
      </c>
      <c r="E22" s="1967">
        <f>IF(F22&lt;&gt;0,((D22-F22)/F22)*100%,0)</f>
        <v>0.18788655949898925</v>
      </c>
      <c r="F22" s="1979">
        <f>IF('[4]Lembar Input I Keuangan'!O65=0,'[4]Lembar Input I Keuangan'!M65,(('[4]Lembar Input I Keuangan'!O65+'[4]Lembar Input I Keuangan'!M65)/2))</f>
        <v>228704717546.5</v>
      </c>
      <c r="G22" s="1967">
        <f>IF(H22&lt;&gt;0,((F22-H22)/H22)*100%,0)</f>
        <v>9.1515169257556886E-2</v>
      </c>
      <c r="H22" s="1980">
        <f>IF('[4]Lembar Input I Keuangan'!Q65=0,'[4]Lembar Input I Keuangan'!O65,(('[4]Lembar Input I Keuangan'!Q65+'[4]Lembar Input I Keuangan'!O65)/2))</f>
        <v>209529582353</v>
      </c>
      <c r="I22" s="1969">
        <f>IF(J22&lt;&gt;0,((H22-J22)/J22)*100%,0)</f>
        <v>0</v>
      </c>
      <c r="J22" s="1979">
        <f>IF('[4]Lembar Input I Keuangan'!R65=0,'[4]Lembar Input I Keuangan'!Q65,(('[4]Lembar Input I Keuangan'!R65+'[4]Lembar Input I Keuangan'!Q65)/2))</f>
        <v>0</v>
      </c>
      <c r="K22" s="1959"/>
      <c r="L22" s="1950"/>
      <c r="M22" s="1950"/>
    </row>
    <row r="23" spans="1:14" ht="7.5" hidden="1" customHeight="1" x14ac:dyDescent="0.25">
      <c r="A23" s="1951"/>
      <c r="B23" s="1970"/>
      <c r="C23" s="1971"/>
      <c r="D23" s="1971"/>
      <c r="E23" s="1967"/>
      <c r="F23" s="1971"/>
      <c r="G23" s="1967"/>
      <c r="H23" s="1975"/>
      <c r="I23" s="1969"/>
      <c r="J23" s="1971"/>
      <c r="K23" s="1959"/>
      <c r="L23" s="1950"/>
      <c r="M23" s="1950"/>
    </row>
    <row r="24" spans="1:14" x14ac:dyDescent="0.25">
      <c r="A24" s="1951"/>
      <c r="B24" s="1964">
        <v>6</v>
      </c>
      <c r="C24" s="1965" t="s">
        <v>1214</v>
      </c>
      <c r="D24" s="1966">
        <f>IF(D26&lt;&gt;0,D25/D26,0)</f>
        <v>4.4308090235220053E-2</v>
      </c>
      <c r="E24" s="1967">
        <f>IF(F24&lt;&gt;0,((D24-F24)/F24)*100%,0)</f>
        <v>-0.6007085163788467</v>
      </c>
      <c r="F24" s="1966">
        <f>IF(F26&lt;&gt;0,F25/F26,0)</f>
        <v>0.11096678004096741</v>
      </c>
      <c r="G24" s="1967">
        <f>IF(H24&lt;&gt;0,((F24-H24)/H24)*100%,0)</f>
        <v>-0.15667181969743865</v>
      </c>
      <c r="H24" s="1968">
        <f>IF(H26&lt;&gt;0,H25/H26,0)</f>
        <v>0.13158196611093417</v>
      </c>
      <c r="I24" s="1969">
        <f>IF(J24&lt;&gt;0,((H24-J24)/J24)*100%,0)</f>
        <v>0</v>
      </c>
      <c r="J24" s="1966">
        <f>IF(J26&lt;&gt;0,J25/J26,0)</f>
        <v>0</v>
      </c>
      <c r="K24" s="1959"/>
      <c r="L24" s="1950"/>
      <c r="M24" s="1950"/>
    </row>
    <row r="25" spans="1:14" hidden="1" x14ac:dyDescent="0.25">
      <c r="A25" s="1951"/>
      <c r="B25" s="1970"/>
      <c r="C25" s="1971" t="s">
        <v>1212</v>
      </c>
      <c r="D25" s="1979">
        <f>(D126/'[4]Lembar Input I Keuangan'!$E32)*12</f>
        <v>3225762669.0299993</v>
      </c>
      <c r="E25" s="1967">
        <f>IF(F25&lt;&gt;0,((D25-F25)/F25)*100%,0)</f>
        <v>-0.49686719412959762</v>
      </c>
      <c r="F25" s="1979">
        <f>(F126/'[4]Lembar Input I Keuangan'!$E33)*12</f>
        <v>6411354281.3999996</v>
      </c>
      <c r="G25" s="1967">
        <f>IF(H25&lt;&gt;0,((F25-H25)/H25)*100%,0)</f>
        <v>-5.4415969293200833E-2</v>
      </c>
      <c r="H25" s="1980">
        <f>(H126/'[4]Lembar Input I Keuangan'!$E34)*12</f>
        <v>6780311504</v>
      </c>
      <c r="I25" s="1969">
        <f>IF(J25&lt;&gt;0,((H25-J25)/J25)*100%,0)</f>
        <v>0</v>
      </c>
      <c r="J25" s="1979">
        <f>IF('[4]Lembar Input I Keuangan'!$E35&lt;&gt;0,(J126/'[4]Lembar Input I Keuangan'!$E35)*12,0)</f>
        <v>0</v>
      </c>
      <c r="K25" s="1959"/>
      <c r="L25" s="1950"/>
      <c r="M25" s="1950"/>
    </row>
    <row r="26" spans="1:14" hidden="1" x14ac:dyDescent="0.25">
      <c r="A26" s="1951"/>
      <c r="B26" s="1970"/>
      <c r="C26" s="1971" t="s">
        <v>1215</v>
      </c>
      <c r="D26" s="1979">
        <f>IF('[4]Lembar Input I Keuangan'!M83=0,'[4]Lembar Input I Keuangan'!K83,(('[4]Lembar Input I Keuangan'!K83+'[4]Lembar Input I Keuangan'!M83)/2))</f>
        <v>72803017505.5</v>
      </c>
      <c r="E26" s="1967">
        <f>IF(F26&lt;&gt;0,((D26-F26)/F26)*100%,0)</f>
        <v>0.26006395455149134</v>
      </c>
      <c r="F26" s="1979">
        <f>IF('[4]Lembar Input I Keuangan'!O83=0,'[4]Lembar Input I Keuangan'!M83,(('[4]Lembar Input I Keuangan'!M83+'[4]Lembar Input I Keuangan'!O83)/2))</f>
        <v>57777239990.5</v>
      </c>
      <c r="G26" s="1967">
        <f>IF(H26&lt;&gt;0,((F26-H26)/H26)*100%,0)</f>
        <v>0.12125273741896236</v>
      </c>
      <c r="H26" s="1980">
        <f>IF('[4]Lembar Input I Keuangan'!Q83=0,'[4]Lembar Input I Keuangan'!O83,(('[4]Lembar Input I Keuangan'!O83+'[4]Lembar Input I Keuangan'!Q83)/2))</f>
        <v>51529185225</v>
      </c>
      <c r="I26" s="1969">
        <f>IF(J26&lt;&gt;0,((H26-J26)/J26)*100%,0)</f>
        <v>0</v>
      </c>
      <c r="J26" s="1979">
        <f>IF('[4]Lembar Input I Keuangan'!R83=0,'[4]Lembar Input I Keuangan'!Q83,(('[4]Lembar Input I Keuangan'!Q83+'[4]Lembar Input I Keuangan'!R83)/2))</f>
        <v>0</v>
      </c>
      <c r="K26" s="1959"/>
      <c r="L26" s="1950"/>
      <c r="M26" s="1950"/>
    </row>
    <row r="27" spans="1:14" ht="7.5" hidden="1" customHeight="1" x14ac:dyDescent="0.25">
      <c r="A27" s="1951"/>
      <c r="B27" s="1970"/>
      <c r="C27" s="1971"/>
      <c r="D27" s="1971"/>
      <c r="E27" s="1967"/>
      <c r="F27" s="1971"/>
      <c r="G27" s="1967"/>
      <c r="H27" s="1975"/>
      <c r="I27" s="1969"/>
      <c r="J27" s="1971"/>
      <c r="K27" s="1959"/>
      <c r="L27" s="1950"/>
      <c r="M27" s="1950"/>
    </row>
    <row r="28" spans="1:14" x14ac:dyDescent="0.25">
      <c r="A28" s="1951"/>
      <c r="B28" s="1964">
        <v>7</v>
      </c>
      <c r="C28" s="1965" t="s">
        <v>1216</v>
      </c>
      <c r="D28" s="1966">
        <f>IF(D30&lt;&gt;0,D29/D30,0)</f>
        <v>0.57255173506880719</v>
      </c>
      <c r="E28" s="1967">
        <f>IF(F28&lt;&gt;0,((D28-F28)/F28)*100%,0)</f>
        <v>1.5618187616970688E-2</v>
      </c>
      <c r="F28" s="1966">
        <f>IF(F30&lt;&gt;0,F29/F30,0)</f>
        <v>0.56374702821365663</v>
      </c>
      <c r="G28" s="1967">
        <f>IF(H28&lt;&gt;0,((F28-H28)/H28)*100%,0)</f>
        <v>9.806167941972227E-2</v>
      </c>
      <c r="H28" s="1968">
        <f>IF(H30&lt;&gt;0,H29/H30,0)</f>
        <v>0.51340196892361489</v>
      </c>
      <c r="I28" s="1969">
        <f>IF(J28&lt;&gt;0,((H28-J28)/J28)*100%,0)</f>
        <v>0</v>
      </c>
      <c r="J28" s="1966">
        <f>IF(J30&lt;&gt;0,J29/J30,0)</f>
        <v>0</v>
      </c>
      <c r="K28" s="1959"/>
      <c r="L28" s="1950"/>
      <c r="M28" s="1950"/>
    </row>
    <row r="29" spans="1:14" x14ac:dyDescent="0.25">
      <c r="A29" s="1951"/>
      <c r="B29" s="1970"/>
      <c r="C29" s="1971" t="s">
        <v>1217</v>
      </c>
      <c r="D29" s="1972">
        <f>D125</f>
        <v>4273214026.4200001</v>
      </c>
      <c r="E29" s="1967">
        <f>IF(F29&lt;&gt;0,((D29-F29)/F29)*100%,0)</f>
        <v>-0.48574745362561483</v>
      </c>
      <c r="F29" s="1972">
        <f>F125</f>
        <v>8309563183.5900002</v>
      </c>
      <c r="G29" s="1967">
        <f>IF(H29&lt;&gt;0,((F29-H29)/H29)*100%,0)</f>
        <v>0.14630943839627733</v>
      </c>
      <c r="H29" s="1973">
        <f>H125</f>
        <v>7248970396</v>
      </c>
      <c r="I29" s="1969">
        <f>IF(J29&lt;&gt;0,((H29-J29)/J29)*100%,0)</f>
        <v>0</v>
      </c>
      <c r="J29" s="1972">
        <f>J125</f>
        <v>0</v>
      </c>
      <c r="K29" s="1959"/>
      <c r="L29" s="1950"/>
      <c r="M29" s="1950"/>
    </row>
    <row r="30" spans="1:14" x14ac:dyDescent="0.25">
      <c r="A30" s="1951"/>
      <c r="B30" s="1970"/>
      <c r="C30" s="1971" t="s">
        <v>1218</v>
      </c>
      <c r="D30" s="1972">
        <f>D123</f>
        <v>7463454854.2699995</v>
      </c>
      <c r="E30" s="1967">
        <f>IF(F30&lt;&gt;0,((D30-F30)/F30)*100%,0)</f>
        <v>-0.49365563491825742</v>
      </c>
      <c r="F30" s="1972">
        <f>F123</f>
        <v>14739879356.74</v>
      </c>
      <c r="G30" s="1967">
        <f>IF(H30&lt;&gt;0,((F30-H30)/H30)*100%,0)</f>
        <v>4.393902444719857E-2</v>
      </c>
      <c r="H30" s="1973">
        <f>H123</f>
        <v>14119483046</v>
      </c>
      <c r="I30" s="1969">
        <f>IF(J30&lt;&gt;0,((H30-J30)/J30)*100%,0)</f>
        <v>0</v>
      </c>
      <c r="J30" s="1972">
        <f>J123</f>
        <v>0</v>
      </c>
      <c r="K30" s="1959"/>
      <c r="L30" s="1950"/>
      <c r="M30" s="1950"/>
    </row>
    <row r="31" spans="1:14" x14ac:dyDescent="0.25">
      <c r="A31" s="1951"/>
      <c r="B31" s="1970"/>
      <c r="C31" s="1965" t="s">
        <v>1219</v>
      </c>
      <c r="D31" s="1966">
        <f>D30/D29</f>
        <v>1.7465670589223234</v>
      </c>
      <c r="E31" s="1967">
        <f>IF(F31&lt;&gt;0,((D31-F31)/F31)*100%,0)</f>
        <v>-1.5378010956673521E-2</v>
      </c>
      <c r="F31" s="1966">
        <f>F30/F29</f>
        <v>1.773845270934193</v>
      </c>
      <c r="G31" s="1967">
        <f>IF(H31&lt;&gt;0,((F31-H31)/H31)*100%,0)</f>
        <v>-8.9304345336542135E-2</v>
      </c>
      <c r="H31" s="1968">
        <f>H30/H29</f>
        <v>1.9477915172327323</v>
      </c>
      <c r="I31" s="1969" t="e">
        <f>IF(J31&lt;&gt;0,((H31-J31)/J31)*100%,0)</f>
        <v>#DIV/0!</v>
      </c>
      <c r="J31" s="1966" t="e">
        <f>J30/J29</f>
        <v>#DIV/0!</v>
      </c>
      <c r="K31" s="1959"/>
      <c r="L31" s="1950"/>
      <c r="M31" s="1950"/>
    </row>
    <row r="32" spans="1:14" ht="7.5" hidden="1" customHeight="1" x14ac:dyDescent="0.25">
      <c r="A32" s="1951"/>
      <c r="B32" s="1970"/>
      <c r="C32" s="1971"/>
      <c r="D32" s="1971"/>
      <c r="E32" s="1967"/>
      <c r="F32" s="1971"/>
      <c r="G32" s="1967"/>
      <c r="H32" s="1975"/>
      <c r="I32" s="1969"/>
      <c r="J32" s="1971"/>
      <c r="K32" s="1959"/>
      <c r="L32" s="1950"/>
      <c r="M32" s="1950"/>
    </row>
    <row r="33" spans="1:14" x14ac:dyDescent="0.25">
      <c r="A33" s="1951"/>
      <c r="B33" s="1964">
        <v>8</v>
      </c>
      <c r="C33" s="1965" t="s">
        <v>1220</v>
      </c>
      <c r="D33" s="1981">
        <f>D34/D35</f>
        <v>0.98488993143825687</v>
      </c>
      <c r="E33" s="1967">
        <f>IF(F33&lt;&gt;0,((D33-F33)/F33)*100%,0)</f>
        <v>-2.1880142538129036E-2</v>
      </c>
      <c r="F33" s="1981">
        <f>F34/F35</f>
        <v>1.0069215177718134</v>
      </c>
      <c r="G33" s="1967">
        <f>IF(H33&lt;&gt;0,((F33-H33)/H33)*100%,0)</f>
        <v>-0.11568577738131268</v>
      </c>
      <c r="H33" s="1982">
        <f>H34/H35</f>
        <v>1.1386467524971537</v>
      </c>
      <c r="I33" s="1969">
        <f>IF(J33&lt;&gt;0,((H33-J33)/J33)*100%,0)</f>
        <v>0</v>
      </c>
      <c r="J33" s="1966">
        <f>IF(J35&lt;&gt;0,J34/J35,0)</f>
        <v>0</v>
      </c>
      <c r="K33" s="1959"/>
      <c r="L33" s="1950"/>
      <c r="M33" s="1950"/>
    </row>
    <row r="34" spans="1:14" x14ac:dyDescent="0.25">
      <c r="A34" s="1951"/>
      <c r="B34" s="1970"/>
      <c r="C34" s="1971" t="s">
        <v>1221</v>
      </c>
      <c r="D34" s="1972">
        <f>'CEKLIST 003 (LAPORAN KEUANGAN))'!K95-'CEKLIST 003 (LAPORAN KEUANGAN))'!K78</f>
        <v>34026925944.57</v>
      </c>
      <c r="E34" s="1967">
        <f>IF(F34&lt;&gt;0,((D34-F34)/F34)*100%,0)</f>
        <v>3.447571330405718E-2</v>
      </c>
      <c r="F34" s="1972">
        <f>'CEKLIST 003 (LAPORAN KEUANGAN))'!M95-'CEKLIST 003 (LAPORAN KEUANGAN))'!M78</f>
        <v>32892919096.079998</v>
      </c>
      <c r="G34" s="1967">
        <f>IF(H34&lt;&gt;0,((F34-H34)/H34)*100%,0)</f>
        <v>2.7360437532730809E-2</v>
      </c>
      <c r="H34" s="1972">
        <f>'CEKLIST 003 (LAPORAN KEUANGAN))'!O95-'CEKLIST 003 (LAPORAN KEUANGAN))'!O78</f>
        <v>32016922099</v>
      </c>
      <c r="I34" s="1969">
        <f>IF(J34&lt;&gt;0,((H34-J34)/J34)*100%,0)</f>
        <v>0</v>
      </c>
      <c r="J34" s="1972">
        <f>'[4]Lembar Input I Keuangan'!Q100-'[4]Lembar Input I Keuangan'!Q83</f>
        <v>0</v>
      </c>
      <c r="K34" s="1959"/>
      <c r="L34" s="1950"/>
      <c r="M34" s="1978">
        <f>'CEKLIST 003 (LAPORAN KEUANGAN))'!K95-'CEKLIST 003 (LAPORAN KEUANGAN))'!K78</f>
        <v>34026925944.57</v>
      </c>
    </row>
    <row r="35" spans="1:14" x14ac:dyDescent="0.25">
      <c r="A35" s="1951"/>
      <c r="B35" s="1970"/>
      <c r="C35" s="1971" t="s">
        <v>1064</v>
      </c>
      <c r="D35" s="1972">
        <f>'CEKLIST 003 (LAPORAN KEUANGAN))'!K78</f>
        <v>34548963146.449997</v>
      </c>
      <c r="E35" s="1967">
        <f>IF(F35&lt;&gt;0,((D35-F35)/F35)*100%,0)</f>
        <v>5.7616513367210853E-2</v>
      </c>
      <c r="F35" s="1972">
        <f>'CEKLIST 003 (LAPORAN KEUANGAN))'!M78</f>
        <v>32666815154.439999</v>
      </c>
      <c r="G35" s="1967">
        <f>IF(H35&lt;&gt;0,((F35-H35)/H35)*100%,0)</f>
        <v>0.16175948690550959</v>
      </c>
      <c r="H35" s="1972">
        <f>'CEKLIST 003 (LAPORAN KEUANGAN))'!O78</f>
        <v>28118397588</v>
      </c>
      <c r="I35" s="1969">
        <f>IF(J35&lt;&gt;0,((H35-J35)/J35)*100%,0)</f>
        <v>0</v>
      </c>
      <c r="J35" s="1972">
        <f>'[4]Lembar Input I Keuangan'!Q83</f>
        <v>0</v>
      </c>
      <c r="K35" s="1959"/>
      <c r="L35" s="1950"/>
      <c r="M35" s="1950"/>
    </row>
    <row r="36" spans="1:14" ht="7.5" customHeight="1" x14ac:dyDescent="0.25">
      <c r="A36" s="1951"/>
      <c r="B36" s="1970"/>
      <c r="C36" s="1971"/>
      <c r="D36" s="1971"/>
      <c r="E36" s="1967"/>
      <c r="F36" s="1971"/>
      <c r="G36" s="1967"/>
      <c r="H36" s="1975"/>
      <c r="I36" s="1969"/>
      <c r="J36" s="1971"/>
      <c r="K36" s="1959"/>
      <c r="L36" s="1950"/>
      <c r="M36" s="1950"/>
    </row>
    <row r="37" spans="1:14" x14ac:dyDescent="0.25">
      <c r="A37" s="1951"/>
      <c r="B37" s="1964">
        <v>9</v>
      </c>
      <c r="C37" s="1965" t="s">
        <v>1222</v>
      </c>
      <c r="D37" s="1981">
        <f>D38/D39</f>
        <v>0.50075416481096946</v>
      </c>
      <c r="E37" s="1967">
        <f>IF(F37&lt;&gt;0,((D37-F37)/F37)*100%,0)</f>
        <v>-0.29569386321665697</v>
      </c>
      <c r="F37" s="1981">
        <f>F38/F39</f>
        <v>0.71098935343369052</v>
      </c>
      <c r="G37" s="1967">
        <f>IF(H37&lt;&gt;0,((F37-H37)/H37)*100%,0)</f>
        <v>-4.074191612484462E-3</v>
      </c>
      <c r="H37" s="1982">
        <f>H38/H39</f>
        <v>0.71389791031205407</v>
      </c>
      <c r="I37" s="1969" t="e">
        <f>IF(J37&lt;&gt;0,((H37-J37)/J37)*100%,0)</f>
        <v>#REF!</v>
      </c>
      <c r="J37" s="1966" t="e">
        <f>IF(J39&lt;&gt;0,J38/J39,0)</f>
        <v>#REF!</v>
      </c>
      <c r="K37" s="1959"/>
      <c r="L37" s="1950"/>
      <c r="M37" s="1950"/>
    </row>
    <row r="38" spans="1:14" ht="30" x14ac:dyDescent="0.25">
      <c r="A38" s="1951"/>
      <c r="B38" s="1970"/>
      <c r="C38" s="1974" t="s">
        <v>1223</v>
      </c>
      <c r="D38" s="1972">
        <f>(D103+D104+D105+D106+D107+D108+D109+D110+D113+D114)-(D92+D93+D94+D95+D96)</f>
        <v>16683496112.590004</v>
      </c>
      <c r="E38" s="1967">
        <f>IF(F38&lt;&gt;0,((D38-F38)/F38)*100%,0)</f>
        <v>-0.22196764266754115</v>
      </c>
      <c r="F38" s="1972">
        <f>(F103+F104+F105+F106+F107+F108+F109+F110+F113+F114)-(F92+F93+F94+F95+F96)</f>
        <v>21443190576.019997</v>
      </c>
      <c r="G38" s="1967">
        <f>IF(H38&lt;&gt;0,((F38-H38)/H38)*100%,0)</f>
        <v>0.17957247963920933</v>
      </c>
      <c r="H38" s="1973">
        <f>(H103+H104+H105+H106+H107+H108+H109+H110+H113+H114)-(H92+H93+H94+H95+H96)</f>
        <v>18178781674</v>
      </c>
      <c r="I38" s="1969">
        <f>IF(J38&lt;&gt;0,((H38-J38)/J38)*100%,0)</f>
        <v>0</v>
      </c>
      <c r="J38" s="1972">
        <f>(J103+J104+J105+J106+J107+J108+J109+J110+J113+J114)-(J92+J93+J94+J95+J96)</f>
        <v>0</v>
      </c>
      <c r="K38" s="1959"/>
      <c r="L38" s="1950"/>
      <c r="M38" s="1950"/>
    </row>
    <row r="39" spans="1:14" x14ac:dyDescent="0.25">
      <c r="A39" s="1951"/>
      <c r="B39" s="1970"/>
      <c r="C39" s="1971" t="s">
        <v>1224</v>
      </c>
      <c r="D39" s="1972">
        <f>D132</f>
        <v>33316739599.934998</v>
      </c>
      <c r="E39" s="1967">
        <f>IF(F39&lt;&gt;0,((D39-F39)/F39)*100%,0)</f>
        <v>0.10467922498280771</v>
      </c>
      <c r="F39" s="1972">
        <f>F132</f>
        <v>30159650735.220001</v>
      </c>
      <c r="G39" s="1967">
        <f>IF(H39&lt;&gt;0,((F39-H39)/H39)*100%,0)</f>
        <v>0.1843979438077146</v>
      </c>
      <c r="H39" s="1973">
        <f>H132</f>
        <v>25464119465</v>
      </c>
      <c r="I39" s="1969" t="e">
        <f>IF(J39&lt;&gt;0,((H39-J39)/J39)*100%,0)</f>
        <v>#REF!</v>
      </c>
      <c r="J39" s="1972" t="e">
        <f>J132</f>
        <v>#REF!</v>
      </c>
      <c r="K39" s="1959"/>
      <c r="L39" s="1950"/>
      <c r="M39" s="1950"/>
    </row>
    <row r="40" spans="1:14" ht="7.5" customHeight="1" x14ac:dyDescent="0.25">
      <c r="A40" s="1951"/>
      <c r="B40" s="1970"/>
      <c r="C40" s="1971"/>
      <c r="D40" s="1971"/>
      <c r="E40" s="1967"/>
      <c r="F40" s="1971"/>
      <c r="G40" s="1967"/>
      <c r="H40" s="1975"/>
      <c r="I40" s="1969"/>
      <c r="J40" s="1971"/>
      <c r="K40" s="1959"/>
      <c r="L40" s="1950"/>
      <c r="M40" s="1950"/>
    </row>
    <row r="41" spans="1:14" x14ac:dyDescent="0.25">
      <c r="A41" s="1951"/>
      <c r="B41" s="1964">
        <v>10</v>
      </c>
      <c r="C41" s="1965" t="s">
        <v>1225</v>
      </c>
      <c r="D41" s="1966">
        <f>IF(D43&lt;&gt;0,D42/D43,0)</f>
        <v>0.5835159746465115</v>
      </c>
      <c r="E41" s="1967">
        <f>IF(F41&lt;&gt;0,((D41-F41)/F41)*100%,0)</f>
        <v>0.12805965521573923</v>
      </c>
      <c r="F41" s="1966">
        <f>IF(F43&lt;&gt;0,F42/F43,0)</f>
        <v>0.51727403949653283</v>
      </c>
      <c r="G41" s="1967">
        <f>IF(H41&lt;&gt;0,((F41-H41)/H41)*100%,0)</f>
        <v>8.8512735981975524E-2</v>
      </c>
      <c r="H41" s="1968">
        <f>IF(H43&lt;&gt;0,H42/H43,0)</f>
        <v>0.47521174755009782</v>
      </c>
      <c r="I41" s="1969" t="e">
        <f>IF(J41&lt;&gt;0,((H41-J41)/J41)*100%,0)</f>
        <v>#REF!</v>
      </c>
      <c r="J41" s="1966" t="e">
        <f>IF(J43&lt;&gt;0,J42/J43,0)</f>
        <v>#REF!</v>
      </c>
      <c r="K41" s="1959"/>
      <c r="L41" s="1950"/>
      <c r="M41" s="1950"/>
      <c r="N41" s="781"/>
    </row>
    <row r="42" spans="1:14" x14ac:dyDescent="0.25">
      <c r="A42" s="1951"/>
      <c r="B42" s="1970"/>
      <c r="C42" s="1971" t="s">
        <v>1226</v>
      </c>
      <c r="D42" s="1972">
        <f>D133</f>
        <v>34046069887.510574</v>
      </c>
      <c r="E42" s="1967">
        <f>IF(F42&lt;&gt;0,((D42-F42)/F42)*100%,0)</f>
        <v>0.10255060571176207</v>
      </c>
      <c r="F42" s="1972">
        <f>F133</f>
        <v>30879371623.52</v>
      </c>
      <c r="G42" s="1967">
        <f>IF(H42&lt;&gt;0,((F42-H42)/H42)*100%,0)</f>
        <v>0.18076412230745478</v>
      </c>
      <c r="H42" s="1973">
        <f>H133</f>
        <v>26152023964.935001</v>
      </c>
      <c r="I42" s="1969" t="e">
        <f>IF(J42&lt;&gt;0,((H42-J42)/J42)*100%,0)</f>
        <v>#REF!</v>
      </c>
      <c r="J42" s="1972" t="e">
        <f>J133</f>
        <v>#REF!</v>
      </c>
      <c r="K42" s="1959"/>
      <c r="L42" s="1950"/>
      <c r="M42" s="1983"/>
      <c r="N42" s="781"/>
    </row>
    <row r="43" spans="1:14" x14ac:dyDescent="0.25">
      <c r="A43" s="1951"/>
      <c r="B43" s="1970"/>
      <c r="C43" s="1971" t="s">
        <v>1227</v>
      </c>
      <c r="D43" s="1972">
        <f>D134</f>
        <v>58346423006.046005</v>
      </c>
      <c r="E43" s="1967">
        <f>IF(F43&lt;&gt;0,((D43-F43)/F43)*100%,0)</f>
        <v>-2.2613209670279792E-2</v>
      </c>
      <c r="F43" s="1972">
        <f>F134</f>
        <v>59696349063.979996</v>
      </c>
      <c r="G43" s="1967">
        <f>IF(H43&lt;&gt;0,((F43-H43)/H43)*100%,0)</f>
        <v>8.474993748443084E-2</v>
      </c>
      <c r="H43" s="1973">
        <f>H134</f>
        <v>55032359994.800003</v>
      </c>
      <c r="I43" s="1969" t="e">
        <f>IF(J43&lt;&gt;0,((H43-J43)/J43)*100%,0)</f>
        <v>#REF!</v>
      </c>
      <c r="J43" s="1972" t="e">
        <f>J134</f>
        <v>#REF!</v>
      </c>
      <c r="K43" s="1959"/>
      <c r="L43" s="1950"/>
      <c r="M43" s="1950"/>
      <c r="N43" s="781"/>
    </row>
    <row r="44" spans="1:14" ht="7.5" customHeight="1" x14ac:dyDescent="0.25">
      <c r="A44" s="1951"/>
      <c r="B44" s="1970"/>
      <c r="C44" s="1971"/>
      <c r="D44" s="1971"/>
      <c r="E44" s="1967"/>
      <c r="F44" s="1971"/>
      <c r="G44" s="1967"/>
      <c r="H44" s="1975"/>
      <c r="I44" s="1969"/>
      <c r="J44" s="1971"/>
      <c r="K44" s="1959"/>
      <c r="L44" s="1950"/>
      <c r="M44" s="1950"/>
    </row>
    <row r="45" spans="1:14" x14ac:dyDescent="0.25">
      <c r="A45" s="1951"/>
      <c r="B45" s="1964">
        <v>11</v>
      </c>
      <c r="C45" s="1965" t="s">
        <v>1228</v>
      </c>
      <c r="D45" s="1966">
        <f>IF(D47&lt;&gt;0,D46/D47,0)</f>
        <v>0.10812737229624191</v>
      </c>
      <c r="E45" s="1967">
        <f>IF(F45&lt;&gt;0,((D45-F45)/F45)*100%,0)</f>
        <v>-0.49745688013560502</v>
      </c>
      <c r="F45" s="1966">
        <f>IF(F47&lt;&gt;0,F46/F47,0)</f>
        <v>0.2151603872826251</v>
      </c>
      <c r="G45" s="1967">
        <f>IF(H45&lt;&gt;0,((F45-H45)/H45)*100%,0)</f>
        <v>-2.1066463057561519E-2</v>
      </c>
      <c r="H45" s="1968">
        <f>IF(H47&lt;&gt;0,H46/H47,0)</f>
        <v>0.21979059779139692</v>
      </c>
      <c r="I45" s="1969" t="e">
        <f>IF(J45&lt;&gt;0,((H45-J45)/J45)*100%,0)</f>
        <v>#REF!</v>
      </c>
      <c r="J45" s="1966" t="e">
        <f>IF(J47&lt;&gt;0,J46/J47,0)</f>
        <v>#REF!</v>
      </c>
      <c r="K45" s="1959"/>
      <c r="L45" s="1950"/>
      <c r="M45" s="1950"/>
      <c r="N45" s="782"/>
    </row>
    <row r="46" spans="1:14" x14ac:dyDescent="0.25">
      <c r="A46" s="1951"/>
      <c r="B46" s="1970"/>
      <c r="C46" s="1971" t="s">
        <v>1229</v>
      </c>
      <c r="D46" s="1979">
        <f>'CEKLIST 003 (LAPORAN KEUANGAN))'!K126-'CEKLIST 003 (LAPORAN KEUANGAN))'!K154</f>
        <v>7257191256.5900002</v>
      </c>
      <c r="E46" s="1967">
        <f>IF(F46&lt;&gt;0,((D46-F46)/F46)*100%,0)</f>
        <v>-0.47681677260858996</v>
      </c>
      <c r="F46" s="1979">
        <f>'CEKLIST 003 (LAPORAN KEUANGAN))'!M126-'CEKLIST 003 (LAPORAN KEUANGAN))'!M154</f>
        <v>13871223075.66</v>
      </c>
      <c r="G46" s="1967">
        <f>IF(H46&lt;&gt;0,((F46-H46)/H46)*100%,0)</f>
        <v>5.7582381575941949E-2</v>
      </c>
      <c r="H46" s="1979">
        <f>'CEKLIST 003 (LAPORAN KEUANGAN))'!O126-'CEKLIST 003 (LAPORAN KEUANGAN))'!O154</f>
        <v>13115974053</v>
      </c>
      <c r="I46" s="1969">
        <f>IF(J46&lt;&gt;0,((H46-J46)/J46)*100%,0)</f>
        <v>0</v>
      </c>
      <c r="J46" s="1979">
        <f>IF('[4]Lembar Input I Keuangan'!$E35&lt;&gt;0,((J121-J122)/'[4]Lembar Input I Keuangan'!$E35)*12,0)</f>
        <v>0</v>
      </c>
      <c r="K46" s="1959"/>
      <c r="L46" s="1950"/>
      <c r="M46" s="1984"/>
    </row>
    <row r="47" spans="1:14" x14ac:dyDescent="0.25">
      <c r="A47" s="1951"/>
      <c r="B47" s="1970"/>
      <c r="C47" s="1971" t="s">
        <v>1230</v>
      </c>
      <c r="D47" s="1972">
        <f>D131</f>
        <v>67117059283.629997</v>
      </c>
      <c r="E47" s="1967">
        <f>IF(F47&lt;&gt;0,((D47-F47)/F47)*100%,0)</f>
        <v>4.1071316492372875E-2</v>
      </c>
      <c r="F47" s="1972">
        <f>F131</f>
        <v>64469223405.139999</v>
      </c>
      <c r="G47" s="1967">
        <f>IF(H47&lt;&gt;0,((F47-H47)/H47)*100%,0)</f>
        <v>8.0341352773705327E-2</v>
      </c>
      <c r="H47" s="1973">
        <f>H131</f>
        <v>59674864097</v>
      </c>
      <c r="I47" s="1969" t="e">
        <f>IF(J47&lt;&gt;0,((H47-J47)/J47)*100%,0)</f>
        <v>#REF!</v>
      </c>
      <c r="J47" s="1972" t="e">
        <f>J131</f>
        <v>#REF!</v>
      </c>
      <c r="K47" s="1959"/>
      <c r="L47" s="1950"/>
      <c r="M47" s="1985"/>
    </row>
    <row r="48" spans="1:14" ht="7.5" customHeight="1" x14ac:dyDescent="0.25">
      <c r="A48" s="1951"/>
      <c r="B48" s="1970"/>
      <c r="C48" s="1971"/>
      <c r="D48" s="1971"/>
      <c r="E48" s="1967"/>
      <c r="F48" s="1971"/>
      <c r="G48" s="1967"/>
      <c r="H48" s="1975"/>
      <c r="I48" s="1969"/>
      <c r="J48" s="1971"/>
      <c r="K48" s="1959"/>
      <c r="L48" s="1950"/>
      <c r="M48" s="1950"/>
    </row>
    <row r="49" spans="1:13" x14ac:dyDescent="0.25">
      <c r="A49" s="1951"/>
      <c r="B49" s="1964">
        <v>12</v>
      </c>
      <c r="C49" s="1965" t="s">
        <v>1231</v>
      </c>
      <c r="D49" s="1966">
        <f>IF(D51&lt;&gt;0,D50/D51,0)</f>
        <v>1.9922294205255138</v>
      </c>
      <c r="E49" s="1967">
        <f>IF(F49&lt;&gt;0,((D49-F49)/F49)*100%,0)</f>
        <v>7.3372801703173009E-3</v>
      </c>
      <c r="F49" s="1966">
        <f>IF(F51&lt;&gt;0,F50/F51,0)</f>
        <v>1.9777183469162127</v>
      </c>
      <c r="G49" s="1967">
        <f>IF(H49&lt;&gt;0,((F49-H49)/H49)*100%,0)</f>
        <v>-0.2647123489395885</v>
      </c>
      <c r="H49" s="1968">
        <f>IF(H51&lt;&gt;0,H50/H51,0)</f>
        <v>2.6897206067094994</v>
      </c>
      <c r="I49" s="1969" t="e">
        <f>IF(J49&lt;&gt;0,((H49-J49)/J49)*100%,0)</f>
        <v>#REF!</v>
      </c>
      <c r="J49" s="1966" t="e">
        <f>IF(J51&lt;&gt;0,J50/J51,0)</f>
        <v>#REF!</v>
      </c>
      <c r="K49" s="1959"/>
      <c r="L49" s="1950"/>
      <c r="M49" s="1950"/>
    </row>
    <row r="50" spans="1:13" x14ac:dyDescent="0.25">
      <c r="A50" s="1951"/>
      <c r="B50" s="1970"/>
      <c r="C50" s="1971" t="s">
        <v>1232</v>
      </c>
      <c r="D50" s="1972">
        <f>D101</f>
        <v>-1061203386.61</v>
      </c>
      <c r="E50" s="1967">
        <f>IF(F50&lt;&gt;0,((D50-F50)/F50)*100%,0)</f>
        <v>0.47446517651667841</v>
      </c>
      <c r="F50" s="1972">
        <f>F101</f>
        <v>-719720888.29999995</v>
      </c>
      <c r="G50" s="1967">
        <f>IF(H50&lt;&gt;0,((F50-H50)/H50)*100%,0)</f>
        <v>-0.29430266907585162</v>
      </c>
      <c r="H50" s="1973">
        <f>H101</f>
        <v>-1019871915</v>
      </c>
      <c r="I50" s="1969">
        <f>IF(J50&lt;&gt;0,((H50-J50)/J50)*100%,0)</f>
        <v>0</v>
      </c>
      <c r="J50" s="1972">
        <f>J101</f>
        <v>0</v>
      </c>
      <c r="K50" s="1959"/>
      <c r="L50" s="1950"/>
      <c r="M50" s="1950"/>
    </row>
    <row r="51" spans="1:13" x14ac:dyDescent="0.25">
      <c r="A51" s="1951"/>
      <c r="B51" s="1970"/>
      <c r="C51" s="1971" t="s">
        <v>1233</v>
      </c>
      <c r="D51" s="1972">
        <f>-PPAP!F28</f>
        <v>-532671275.54519999</v>
      </c>
      <c r="E51" s="1967">
        <f>IF(F51&lt;&gt;0,((D51-F51)/F51)*100%,0)</f>
        <v>0.46372541306858084</v>
      </c>
      <c r="F51" s="1972">
        <f>-PPAP!G28</f>
        <v>-363914755.31500006</v>
      </c>
      <c r="G51" s="1967">
        <f>IF(H51&lt;&gt;0,((F51-H51)/H51)*100%,0)</f>
        <v>-4.0243189306373897E-2</v>
      </c>
      <c r="H51" s="1973">
        <f>-PPAP!H28</f>
        <v>-379173923.29000002</v>
      </c>
      <c r="I51" s="1969" t="e">
        <f>IF(J51&lt;&gt;0,((H51-J51)/J51)*100%,0)</f>
        <v>#REF!</v>
      </c>
      <c r="J51" s="1972" t="e">
        <f>-#REF!</f>
        <v>#REF!</v>
      </c>
      <c r="K51" s="1959"/>
      <c r="L51" s="1950"/>
      <c r="M51" s="1950"/>
    </row>
    <row r="52" spans="1:13" ht="7.5" customHeight="1" x14ac:dyDescent="0.25">
      <c r="A52" s="1951"/>
      <c r="B52" s="1970"/>
      <c r="C52" s="1971"/>
      <c r="D52" s="1971"/>
      <c r="E52" s="1967"/>
      <c r="F52" s="1971"/>
      <c r="G52" s="1967"/>
      <c r="H52" s="1975"/>
      <c r="I52" s="1969"/>
      <c r="J52" s="1971"/>
      <c r="K52" s="1959"/>
      <c r="L52" s="1950"/>
      <c r="M52" s="1950"/>
    </row>
    <row r="53" spans="1:13" x14ac:dyDescent="0.25">
      <c r="A53" s="1951"/>
      <c r="B53" s="1964">
        <v>13</v>
      </c>
      <c r="C53" s="1965" t="s">
        <v>1234</v>
      </c>
      <c r="D53" s="1966">
        <f>IF(D55&lt;&gt;0,D54/D55,0)</f>
        <v>0.75696528542693797</v>
      </c>
      <c r="E53" s="1967">
        <f>IF(F53&lt;&gt;0,((D53-F53)/F53)*100%,0)</f>
        <v>-0.1058703647786267</v>
      </c>
      <c r="F53" s="1966">
        <f>IF(F55&lt;&gt;0,F54/F55,0)</f>
        <v>0.84659456035088754</v>
      </c>
      <c r="G53" s="1967">
        <f>IF(H53&lt;&gt;0,((F53-H53)/H53)*100%,0)</f>
        <v>1.0585997144742306E-2</v>
      </c>
      <c r="H53" s="1968">
        <f>IF(H55&lt;&gt;0,H54/H55,0)</f>
        <v>0.83772639116592973</v>
      </c>
      <c r="I53" s="1969">
        <f>IF(J53&lt;&gt;0,((H53-J53)/J53)*100%,0)</f>
        <v>0</v>
      </c>
      <c r="J53" s="1966">
        <f>IF(J55&lt;&gt;0,J54/J55,0)</f>
        <v>0</v>
      </c>
      <c r="K53" s="1959"/>
      <c r="L53" s="1950"/>
      <c r="M53" s="1950"/>
    </row>
    <row r="54" spans="1:13" hidden="1" x14ac:dyDescent="0.25">
      <c r="A54" s="1951"/>
      <c r="B54" s="1970"/>
      <c r="C54" s="1971" t="s">
        <v>1235</v>
      </c>
      <c r="D54" s="1972">
        <f>(D97+D101)</f>
        <v>51909567459.189995</v>
      </c>
      <c r="E54" s="1967">
        <f>IF(F54&lt;&gt;0,((D54-F54)/F54)*100%,0)</f>
        <v>-6.4734849844991005E-2</v>
      </c>
      <c r="F54" s="1972">
        <f>(F97+F101)</f>
        <v>55502514394.539993</v>
      </c>
      <c r="G54" s="1967">
        <f>IF(H54&lt;&gt;0,((F54-H54)/H54)*100%,0)</f>
        <v>0.10174436179855763</v>
      </c>
      <c r="H54" s="1973">
        <f>(H97+H101)</f>
        <v>50376944343</v>
      </c>
      <c r="I54" s="1969">
        <f>IF(J54&lt;&gt;0,((H54-J54)/J54)*100%,0)</f>
        <v>0</v>
      </c>
      <c r="J54" s="1972">
        <f>(J97+J101)</f>
        <v>0</v>
      </c>
      <c r="K54" s="1959"/>
      <c r="L54" s="1950"/>
      <c r="M54" s="1950"/>
    </row>
    <row r="55" spans="1:13" hidden="1" x14ac:dyDescent="0.25">
      <c r="A55" s="1951"/>
      <c r="B55" s="1970"/>
      <c r="C55" s="1971" t="s">
        <v>1236</v>
      </c>
      <c r="D55" s="1972">
        <f>D91</f>
        <v>68575889091.019997</v>
      </c>
      <c r="E55" s="1967">
        <f>IF(F55&lt;&gt;0,((D55-F55)/F55)*100%,0)</f>
        <v>4.6006209069953403E-2</v>
      </c>
      <c r="F55" s="1972">
        <f>F91</f>
        <v>65559734250.519989</v>
      </c>
      <c r="G55" s="1967">
        <f>IF(H55&lt;&gt;0,((F55-H55)/H55)*100%,0)</f>
        <v>9.0203470967705424E-2</v>
      </c>
      <c r="H55" s="1973">
        <f>H91</f>
        <v>60135319687</v>
      </c>
      <c r="I55" s="1969">
        <f>IF(J55&lt;&gt;0,((H55-J55)/J55)*100%,0)</f>
        <v>0</v>
      </c>
      <c r="J55" s="1972">
        <f>J91</f>
        <v>0</v>
      </c>
      <c r="K55" s="1959"/>
      <c r="L55" s="1950"/>
      <c r="M55" s="1950"/>
    </row>
    <row r="56" spans="1:13" ht="7.5" hidden="1" customHeight="1" x14ac:dyDescent="0.25">
      <c r="A56" s="1951"/>
      <c r="B56" s="1970"/>
      <c r="C56" s="1971"/>
      <c r="D56" s="1971"/>
      <c r="E56" s="1967"/>
      <c r="F56" s="1971"/>
      <c r="G56" s="1967"/>
      <c r="H56" s="1975"/>
      <c r="I56" s="1969"/>
      <c r="J56" s="1971"/>
      <c r="K56" s="1959"/>
      <c r="L56" s="1950"/>
      <c r="M56" s="1950"/>
    </row>
    <row r="57" spans="1:13" x14ac:dyDescent="0.25">
      <c r="A57" s="1951"/>
      <c r="B57" s="1964">
        <v>14</v>
      </c>
      <c r="C57" s="1965" t="s">
        <v>1237</v>
      </c>
      <c r="D57" s="1966">
        <f>IF(D59&lt;&gt;0,D58/D59,0)</f>
        <v>4.6630684062551664E-2</v>
      </c>
      <c r="E57" s="1967">
        <f>IF(F57&lt;&gt;0,((D57-F57)/F57)*100%,0)</f>
        <v>0.11424388931070824</v>
      </c>
      <c r="F57" s="1966">
        <f>IF(F59&lt;&gt;0,F58/F59,0)</f>
        <v>4.1849620635028353E-2</v>
      </c>
      <c r="G57" s="1967">
        <f>IF(H57&lt;&gt;0,((F57-H57)/H57)*100%,0)</f>
        <v>-3.4773011417648408E-2</v>
      </c>
      <c r="H57" s="1968">
        <f>IF(H59&lt;&gt;0,H58/H59,0)</f>
        <v>4.3357283965395267E-2</v>
      </c>
      <c r="I57" s="1969" t="e">
        <f>IF(J57&lt;&gt;0,((H57-J57)/J57)*100%,0)</f>
        <v>#REF!</v>
      </c>
      <c r="J57" s="1966" t="e">
        <f>IF(J59&lt;&gt;0,J58/J59,0)</f>
        <v>#REF!</v>
      </c>
      <c r="K57" s="1959"/>
      <c r="L57" s="1950"/>
      <c r="M57" s="1950"/>
    </row>
    <row r="58" spans="1:13" hidden="1" x14ac:dyDescent="0.25">
      <c r="A58" s="1951"/>
      <c r="B58" s="1970"/>
      <c r="C58" s="1971" t="s">
        <v>1238</v>
      </c>
      <c r="D58" s="1972">
        <f>(D98*50%)+(D99*75%)+(D100*100%)</f>
        <v>3129714386.6625004</v>
      </c>
      <c r="E58" s="1967">
        <f>IF(F58&lt;&gt;0,((D58-F58)/F58)*100%,0)</f>
        <v>0.16000735273828076</v>
      </c>
      <c r="F58" s="1972">
        <f>(F98*50%)+(F99*75%)+(F100*100%)</f>
        <v>2698012542.1399999</v>
      </c>
      <c r="G58" s="1967">
        <f>IF(H58&lt;&gt;0,((F58-H58)/H58)*100%,0)</f>
        <v>4.2774630578747495E-2</v>
      </c>
      <c r="H58" s="1973">
        <f>(H98*50%)+(H99*75%)+(H100*100%)</f>
        <v>2587340028.25</v>
      </c>
      <c r="I58" s="1969">
        <f>IF(J58&lt;&gt;0,((H58-J58)/J58)*100%,0)</f>
        <v>0</v>
      </c>
      <c r="J58" s="1972">
        <f>(J98*50%)+(J99*75%)+(J100*100%)</f>
        <v>0</v>
      </c>
      <c r="K58" s="1959"/>
      <c r="L58" s="1950"/>
      <c r="M58" s="1950"/>
    </row>
    <row r="59" spans="1:13" hidden="1" x14ac:dyDescent="0.25">
      <c r="A59" s="1951"/>
      <c r="B59" s="1970"/>
      <c r="C59" s="1971" t="s">
        <v>1230</v>
      </c>
      <c r="D59" s="1972">
        <f>D131</f>
        <v>67117059283.629997</v>
      </c>
      <c r="E59" s="1967">
        <f>IF(F59&lt;&gt;0,((D59-F59)/F59)*100%,0)</f>
        <v>4.1071316492372875E-2</v>
      </c>
      <c r="F59" s="1972">
        <f>F131</f>
        <v>64469223405.139999</v>
      </c>
      <c r="G59" s="1967">
        <f>IF(H59&lt;&gt;0,((F59-H59)/H59)*100%,0)</f>
        <v>8.0341352773705327E-2</v>
      </c>
      <c r="H59" s="1973">
        <f>H131</f>
        <v>59674864097</v>
      </c>
      <c r="I59" s="1969" t="e">
        <f>IF(J59&lt;&gt;0,((H59-J59)/J59)*100%,0)</f>
        <v>#REF!</v>
      </c>
      <c r="J59" s="1972" t="e">
        <f>J131</f>
        <v>#REF!</v>
      </c>
      <c r="K59" s="1959"/>
      <c r="L59" s="1950"/>
      <c r="M59" s="1950"/>
    </row>
    <row r="60" spans="1:13" ht="7.5" hidden="1" customHeight="1" x14ac:dyDescent="0.25">
      <c r="A60" s="1951"/>
      <c r="B60" s="1970"/>
      <c r="C60" s="1971"/>
      <c r="D60" s="1971"/>
      <c r="E60" s="1967"/>
      <c r="F60" s="1971"/>
      <c r="G60" s="1967"/>
      <c r="H60" s="1975"/>
      <c r="I60" s="1969"/>
      <c r="J60" s="1971"/>
      <c r="K60" s="1959"/>
      <c r="L60" s="1950"/>
      <c r="M60" s="1950"/>
    </row>
    <row r="61" spans="1:13" x14ac:dyDescent="0.25">
      <c r="A61" s="1951"/>
      <c r="B61" s="1964">
        <v>15</v>
      </c>
      <c r="C61" s="1965" t="s">
        <v>1239</v>
      </c>
      <c r="D61" s="1966">
        <f>IF(D63&lt;&gt;0,D62/D63,0)</f>
        <v>0.1619807247789064</v>
      </c>
      <c r="E61" s="1967">
        <f>IF(F61&lt;&gt;0,((D61-F61)/F61)*100%,0)</f>
        <v>-0.49686719412959762</v>
      </c>
      <c r="F61" s="1966">
        <f>IF(F63&lt;&gt;0,F62/F63,0)</f>
        <v>0.32194427174885831</v>
      </c>
      <c r="G61" s="1967">
        <f>IF(H61&lt;&gt;0,((F61-H61)/H61)*100%,0)</f>
        <v>-0.23394311258590336</v>
      </c>
      <c r="H61" s="1968">
        <f>IF(H63&lt;&gt;0,H62/H63,0)</f>
        <v>0.42026157200363295</v>
      </c>
      <c r="I61" s="1969">
        <f>IF(J61&lt;&gt;0,((H61-J61)/J61)*100%,0)</f>
        <v>0</v>
      </c>
      <c r="J61" s="1966">
        <f>IF(J63&lt;&gt;0,J62/J63,0)</f>
        <v>0</v>
      </c>
      <c r="K61" s="1959"/>
      <c r="L61" s="1950"/>
      <c r="M61" s="1950"/>
    </row>
    <row r="62" spans="1:13" hidden="1" x14ac:dyDescent="0.25">
      <c r="A62" s="1951"/>
      <c r="B62" s="1970"/>
      <c r="C62" s="1971" t="s">
        <v>1212</v>
      </c>
      <c r="D62" s="1979">
        <f>(D126/'[4]Lembar Input I Keuangan'!E32)*12</f>
        <v>3225762669.0299993</v>
      </c>
      <c r="E62" s="1967">
        <f>IF(F62&lt;&gt;0,((D62-F62)/F62)*100%,0)</f>
        <v>-0.49686719412959762</v>
      </c>
      <c r="F62" s="1979">
        <f>(F126/'[4]Lembar Input I Keuangan'!E33)*12</f>
        <v>6411354281.3999996</v>
      </c>
      <c r="G62" s="1967">
        <f>IF(H62&lt;&gt;0,((F62-H62)/H62)*100%,0)</f>
        <v>-5.4415969293200833E-2</v>
      </c>
      <c r="H62" s="1980">
        <f>(H126/'[4]Lembar Input I Keuangan'!E34)*12</f>
        <v>6780311504</v>
      </c>
      <c r="I62" s="1969">
        <f>IF(J62&lt;&gt;0,((H62-J62)/J62)*100%,0)</f>
        <v>0</v>
      </c>
      <c r="J62" s="1979">
        <f>IF('[4]Lembar Input I Keuangan'!E35,(J126/'[4]Lembar Input I Keuangan'!E35)*12,0)</f>
        <v>0</v>
      </c>
      <c r="K62" s="1959"/>
      <c r="L62" s="1950"/>
      <c r="M62" s="1950"/>
    </row>
    <row r="63" spans="1:13" hidden="1" x14ac:dyDescent="0.25">
      <c r="A63" s="1951"/>
      <c r="B63" s="1970"/>
      <c r="C63" s="1971" t="s">
        <v>1240</v>
      </c>
      <c r="D63" s="1972">
        <f>D117</f>
        <v>19914484723</v>
      </c>
      <c r="E63" s="1967">
        <f>IF(F63&lt;&gt;0,((D63-F63)/F63)*100%,0)</f>
        <v>0</v>
      </c>
      <c r="F63" s="1972">
        <f>F117</f>
        <v>19914484723</v>
      </c>
      <c r="G63" s="1967">
        <f>IF(H63&lt;&gt;0,((F63-H63)/H63)*100%,0)</f>
        <v>0.23435223446487738</v>
      </c>
      <c r="H63" s="1973">
        <f>H117</f>
        <v>16133550997</v>
      </c>
      <c r="I63" s="1969">
        <f>IF(J63&lt;&gt;0,((H63-J63)/J63)*100%,0)</f>
        <v>0</v>
      </c>
      <c r="J63" s="1972">
        <f>J117</f>
        <v>0</v>
      </c>
      <c r="K63" s="1959"/>
      <c r="L63" s="1950"/>
      <c r="M63" s="1950"/>
    </row>
    <row r="64" spans="1:13" ht="7.5" hidden="1" customHeight="1" x14ac:dyDescent="0.25">
      <c r="A64" s="1951"/>
      <c r="B64" s="1970"/>
      <c r="C64" s="1971"/>
      <c r="D64" s="1971"/>
      <c r="E64" s="1967"/>
      <c r="F64" s="1971"/>
      <c r="G64" s="1967"/>
      <c r="H64" s="1975"/>
      <c r="I64" s="1969"/>
      <c r="J64" s="1971"/>
      <c r="K64" s="1959"/>
      <c r="L64" s="1950"/>
      <c r="M64" s="1950"/>
    </row>
    <row r="65" spans="1:13" s="787" customFormat="1" x14ac:dyDescent="0.25">
      <c r="A65" s="1986"/>
      <c r="B65" s="1987">
        <v>16</v>
      </c>
      <c r="C65" s="1988" t="s">
        <v>1241</v>
      </c>
      <c r="D65" s="1989">
        <f>IF((D67+D70+D73)&lt;&gt;0,(D66+D69+D72)/(D67+D70+D73),0)</f>
        <v>0</v>
      </c>
      <c r="E65" s="1990">
        <f t="shared" ref="E65:E74" si="1">IF(F65&lt;&gt;0,((D65-F65)/F65)*100%,0)</f>
        <v>0</v>
      </c>
      <c r="F65" s="1989">
        <f>IF((F67+F70+F73)&lt;&gt;0,(F66+F69+F72)/(F67+F70+F73),0)</f>
        <v>0</v>
      </c>
      <c r="G65" s="1990">
        <f t="shared" ref="G65:G74" si="2">IF(H65&lt;&gt;0,((F65-H65)/H65)*100%,0)</f>
        <v>0</v>
      </c>
      <c r="H65" s="1991">
        <f>IF((H67+H70+H73)&lt;&gt;0,(H66+H69+H72)/(H67+H70+H73),0)</f>
        <v>0</v>
      </c>
      <c r="I65" s="1992">
        <f t="shared" ref="I65:I82" si="3">IF(J65&lt;&gt;0,((H65-J65)/J65)*100%,0)</f>
        <v>0</v>
      </c>
      <c r="J65" s="1989">
        <f>IF((J67+J70+J73)&lt;&gt;0,(J66+J69+J72)/(J67+J70+J73),0)</f>
        <v>0</v>
      </c>
      <c r="K65" s="1993"/>
      <c r="L65" s="1994"/>
      <c r="M65" s="1994"/>
    </row>
    <row r="66" spans="1:13" hidden="1" x14ac:dyDescent="0.25">
      <c r="A66" s="1951"/>
      <c r="B66" s="1970"/>
      <c r="C66" s="1971" t="s">
        <v>1242</v>
      </c>
      <c r="D66" s="1972">
        <f>(('[4]Lembar Input I Keuangan'!K142+'[4]Lembar Input I Keuangan'!K148))</f>
        <v>0</v>
      </c>
      <c r="E66" s="1967">
        <f t="shared" si="1"/>
        <v>0</v>
      </c>
      <c r="F66" s="1972">
        <f>(('[4]Lembar Input I Keuangan'!M142+'[4]Lembar Input I Keuangan'!M148)/'[4]Lembar Input I Keuangan'!$E33)*12</f>
        <v>0</v>
      </c>
      <c r="G66" s="1967">
        <f t="shared" si="2"/>
        <v>0</v>
      </c>
      <c r="H66" s="1973">
        <f>(('[4]Lembar Input I Keuangan'!O142+'[4]Lembar Input I Keuangan'!O148)/'[4]Lembar Input I Keuangan'!$E34)*12</f>
        <v>0</v>
      </c>
      <c r="I66" s="1969">
        <f t="shared" si="3"/>
        <v>0</v>
      </c>
      <c r="J66" s="1972">
        <f>IF('[4]Lembar Input I Keuangan'!$E35&lt;&gt;0,(('[4]Lembar Input I Keuangan'!Q142+'[4]Lembar Input I Keuangan'!Q148)/'[4]Lembar Input I Keuangan'!$E35)*12,0)</f>
        <v>0</v>
      </c>
      <c r="K66" s="1959"/>
      <c r="L66" s="1950"/>
      <c r="M66" s="1950"/>
    </row>
    <row r="67" spans="1:13" hidden="1" x14ac:dyDescent="0.25">
      <c r="A67" s="1951"/>
      <c r="B67" s="1970"/>
      <c r="C67" s="1971" t="s">
        <v>1243</v>
      </c>
      <c r="D67" s="1972">
        <f>('CEKLIST 004 (RASIO KEUANGAN)'!D104+'CEKLIST 004 (RASIO KEUANGAN)'!D106)</f>
        <v>16159070434.99</v>
      </c>
      <c r="E67" s="1967">
        <f t="shared" si="1"/>
        <v>-0.13113982083759407</v>
      </c>
      <c r="F67" s="1972">
        <f>('CEKLIST 004 (RASIO KEUANGAN)'!F104+'CEKLIST 004 (RASIO KEUANGAN)'!F106)</f>
        <v>18598010154.599998</v>
      </c>
      <c r="G67" s="1967">
        <f t="shared" si="2"/>
        <v>0.20968763278341848</v>
      </c>
      <c r="H67" s="1973">
        <f>('CEKLIST 004 (RASIO KEUANGAN)'!H104+'CEKLIST 004 (RASIO KEUANGAN)'!H106)</f>
        <v>15374225255</v>
      </c>
      <c r="I67" s="1969">
        <f t="shared" si="3"/>
        <v>0</v>
      </c>
      <c r="J67" s="1972">
        <f>('CEKLIST 004 (RASIO KEUANGAN)'!J104+'CEKLIST 004 (RASIO KEUANGAN)'!J106)</f>
        <v>0</v>
      </c>
      <c r="K67" s="1959"/>
      <c r="L67" s="1950"/>
      <c r="M67" s="1950"/>
    </row>
    <row r="68" spans="1:13" s="787" customFormat="1" x14ac:dyDescent="0.25">
      <c r="A68" s="1986"/>
      <c r="B68" s="1995"/>
      <c r="C68" s="1988" t="s">
        <v>1244</v>
      </c>
      <c r="D68" s="1989">
        <f>IF(D67&lt;&gt;0,D66/D67,0)</f>
        <v>0</v>
      </c>
      <c r="E68" s="1990">
        <f t="shared" si="1"/>
        <v>0</v>
      </c>
      <c r="F68" s="1989">
        <f>IF(F67&lt;&gt;0,F66/F67,0)</f>
        <v>0</v>
      </c>
      <c r="G68" s="1990">
        <f t="shared" si="2"/>
        <v>0</v>
      </c>
      <c r="H68" s="1991">
        <f>IF(H67&lt;&gt;0,H66/H67,0)</f>
        <v>0</v>
      </c>
      <c r="I68" s="1992">
        <f t="shared" si="3"/>
        <v>0</v>
      </c>
      <c r="J68" s="1989">
        <f>IF(J67&lt;&gt;0,J66/J67,0)</f>
        <v>0</v>
      </c>
      <c r="K68" s="1993"/>
      <c r="L68" s="1994"/>
      <c r="M68" s="1994"/>
    </row>
    <row r="69" spans="1:13" hidden="1" x14ac:dyDescent="0.25">
      <c r="A69" s="1951"/>
      <c r="B69" s="1970"/>
      <c r="C69" s="1971" t="s">
        <v>1245</v>
      </c>
      <c r="D69" s="1979">
        <f>(('[4]Lembar Input I Keuangan'!K143+'[4]Lembar Input I Keuangan'!K149))</f>
        <v>0</v>
      </c>
      <c r="E69" s="1967">
        <f t="shared" si="1"/>
        <v>0</v>
      </c>
      <c r="F69" s="1979">
        <f>(('[4]Lembar Input I Keuangan'!M143+'[4]Lembar Input I Keuangan'!M149)/'[4]Lembar Input I Keuangan'!$E33)*12</f>
        <v>0</v>
      </c>
      <c r="G69" s="1967">
        <f t="shared" si="2"/>
        <v>0</v>
      </c>
      <c r="H69" s="1980">
        <f>(('[4]Lembar Input I Keuangan'!O143+'[4]Lembar Input I Keuangan'!O149)/'[4]Lembar Input I Keuangan'!$E34)*12</f>
        <v>0</v>
      </c>
      <c r="I69" s="1969">
        <f t="shared" si="3"/>
        <v>0</v>
      </c>
      <c r="J69" s="1979">
        <f>IF('[4]Lembar Input I Keuangan'!$E35&lt;&gt;0,(('[4]Lembar Input I Keuangan'!Q143+'[4]Lembar Input I Keuangan'!Q149)/'[4]Lembar Input I Keuangan'!$E35)*12,0)</f>
        <v>0</v>
      </c>
      <c r="K69" s="1959"/>
      <c r="L69" s="1950"/>
      <c r="M69" s="1950"/>
    </row>
    <row r="70" spans="1:13" hidden="1" x14ac:dyDescent="0.25">
      <c r="A70" s="1951"/>
      <c r="B70" s="1970"/>
      <c r="C70" s="1971" t="s">
        <v>1246</v>
      </c>
      <c r="D70" s="1972">
        <f>('[4]Lembar Input I Keuangan'!K70+'[4]Lembar Input I Keuangan'!K74)</f>
        <v>153002086268</v>
      </c>
      <c r="E70" s="1967">
        <f t="shared" si="1"/>
        <v>0.43189727242870884</v>
      </c>
      <c r="F70" s="1972">
        <f>('[4]Lembar Input I Keuangan'!M70+'[4]Lembar Input I Keuangan'!M74)</f>
        <v>106852697616</v>
      </c>
      <c r="G70" s="1967">
        <f t="shared" si="2"/>
        <v>0.20843596536511882</v>
      </c>
      <c r="H70" s="1973">
        <f>('[4]Lembar Input I Keuangan'!O70+'[4]Lembar Input I Keuangan'!O74)</f>
        <v>88422308404</v>
      </c>
      <c r="I70" s="1969">
        <f t="shared" si="3"/>
        <v>0</v>
      </c>
      <c r="J70" s="1972">
        <f>('[4]Lembar Input I Keuangan'!Q70+'[4]Lembar Input I Keuangan'!Q74)</f>
        <v>0</v>
      </c>
      <c r="K70" s="1959"/>
      <c r="L70" s="1950"/>
      <c r="M70" s="1950"/>
    </row>
    <row r="71" spans="1:13" s="787" customFormat="1" x14ac:dyDescent="0.25">
      <c r="A71" s="1986"/>
      <c r="B71" s="1995"/>
      <c r="C71" s="1988" t="s">
        <v>1247</v>
      </c>
      <c r="D71" s="1989">
        <f>IF(D70&lt;&gt;0,D69/D70,0)</f>
        <v>0</v>
      </c>
      <c r="E71" s="1990">
        <f t="shared" si="1"/>
        <v>0</v>
      </c>
      <c r="F71" s="1989">
        <f>IF(F70&lt;&gt;0,F69/F70,0)</f>
        <v>0</v>
      </c>
      <c r="G71" s="1990">
        <f t="shared" si="2"/>
        <v>0</v>
      </c>
      <c r="H71" s="1991">
        <f>IF(H70&lt;&gt;0,H69/H70,0)</f>
        <v>0</v>
      </c>
      <c r="I71" s="1992">
        <f t="shared" si="3"/>
        <v>0</v>
      </c>
      <c r="J71" s="1989">
        <f>IF(J70&lt;&gt;0,J69/J70,0)</f>
        <v>0</v>
      </c>
      <c r="K71" s="1993"/>
      <c r="L71" s="1994"/>
      <c r="M71" s="1994"/>
    </row>
    <row r="72" spans="1:13" hidden="1" x14ac:dyDescent="0.25">
      <c r="A72" s="1951"/>
      <c r="B72" s="1970"/>
      <c r="C72" s="1971" t="s">
        <v>1248</v>
      </c>
      <c r="D72" s="1979">
        <f>(('[4]Lembar Input I Keuangan'!K150+'[4]Lembar Input I Keuangan'!K144))</f>
        <v>0</v>
      </c>
      <c r="E72" s="1967">
        <f t="shared" si="1"/>
        <v>0</v>
      </c>
      <c r="F72" s="1979">
        <f>(('[4]Lembar Input I Keuangan'!M150+'[4]Lembar Input I Keuangan'!M144)/'[4]Lembar Input I Keuangan'!$E33)*12</f>
        <v>0</v>
      </c>
      <c r="G72" s="1967">
        <f t="shared" si="2"/>
        <v>0</v>
      </c>
      <c r="H72" s="1980">
        <f>(('[4]Lembar Input I Keuangan'!O144+'[4]Lembar Input I Keuangan'!O150)/'[4]Lembar Input I Keuangan'!$E34)*12</f>
        <v>0</v>
      </c>
      <c r="I72" s="1969">
        <f t="shared" si="3"/>
        <v>0</v>
      </c>
      <c r="J72" s="1979">
        <f>IF('[4]Lembar Input I Keuangan'!$E35&lt;&gt;0,(('[4]Lembar Input I Keuangan'!Q150+'[4]Lembar Input I Keuangan'!Q144)/'[4]Lembar Input I Keuangan'!$E35)*12,0)</f>
        <v>0</v>
      </c>
      <c r="K72" s="1959"/>
      <c r="L72" s="1950"/>
      <c r="M72" s="1950"/>
    </row>
    <row r="73" spans="1:13" hidden="1" x14ac:dyDescent="0.25">
      <c r="A73" s="1951"/>
      <c r="B73" s="1970"/>
      <c r="C73" s="1971" t="s">
        <v>1249</v>
      </c>
      <c r="D73" s="1972">
        <f>('[4]Lembar Input I Keuangan'!K75+'[4]Lembar Input I Keuangan'!K76+'[4]Lembar Input I Keuangan'!K78)</f>
        <v>43196990164</v>
      </c>
      <c r="E73" s="1967">
        <f t="shared" si="1"/>
        <v>-0.2998735757503595</v>
      </c>
      <c r="F73" s="1972">
        <f>'[4]Lembar Input I Keuangan'!M75+'[4]Lembar Input I Keuangan'!M76+'[4]Lembar Input I Keuangan'!M78</f>
        <v>61698842763</v>
      </c>
      <c r="G73" s="1967">
        <f t="shared" si="2"/>
        <v>5.9915221426930537E-2</v>
      </c>
      <c r="H73" s="1973">
        <f>'[4]Lembar Input I Keuangan'!O75+'[4]Lembar Input I Keuangan'!O76+'[4]Lembar Input I Keuangan'!O78</f>
        <v>58211111149</v>
      </c>
      <c r="I73" s="1969">
        <f t="shared" si="3"/>
        <v>0</v>
      </c>
      <c r="J73" s="1972">
        <f>'[4]Lembar Input I Keuangan'!Q75+'[4]Lembar Input I Keuangan'!Q76+'[4]Lembar Input I Keuangan'!Q78</f>
        <v>0</v>
      </c>
      <c r="K73" s="1959"/>
      <c r="L73" s="1950"/>
      <c r="M73" s="1950"/>
    </row>
    <row r="74" spans="1:13" s="787" customFormat="1" x14ac:dyDescent="0.25">
      <c r="A74" s="1986"/>
      <c r="B74" s="1995"/>
      <c r="C74" s="1988" t="s">
        <v>1250</v>
      </c>
      <c r="D74" s="1989">
        <f>IF(D73&lt;&gt;0,D72/D73,0)</f>
        <v>0</v>
      </c>
      <c r="E74" s="1990">
        <f t="shared" si="1"/>
        <v>0</v>
      </c>
      <c r="F74" s="1989">
        <f>IF(F73&lt;&gt;0,F72/F73,0)</f>
        <v>0</v>
      </c>
      <c r="G74" s="1990">
        <f t="shared" si="2"/>
        <v>0</v>
      </c>
      <c r="H74" s="1991">
        <f>IF(H73&lt;&gt;0,H72/H73,0)</f>
        <v>0</v>
      </c>
      <c r="I74" s="1969">
        <f t="shared" si="3"/>
        <v>0</v>
      </c>
      <c r="J74" s="1989">
        <f>IF(J73&lt;&gt;0,J72/J73,0)</f>
        <v>0</v>
      </c>
      <c r="K74" s="1993"/>
      <c r="L74" s="1994"/>
      <c r="M74" s="1994"/>
    </row>
    <row r="75" spans="1:13" ht="6.75" hidden="1" customHeight="1" x14ac:dyDescent="0.25">
      <c r="A75" s="1951"/>
      <c r="B75" s="1970"/>
      <c r="C75" s="1971"/>
      <c r="D75" s="1971"/>
      <c r="E75" s="1967"/>
      <c r="F75" s="1971"/>
      <c r="G75" s="1967"/>
      <c r="H75" s="1975"/>
      <c r="I75" s="1969"/>
      <c r="J75" s="1971"/>
      <c r="K75" s="1959"/>
      <c r="L75" s="1950"/>
      <c r="M75" s="1950"/>
    </row>
    <row r="76" spans="1:13" s="787" customFormat="1" x14ac:dyDescent="0.25">
      <c r="A76" s="1986"/>
      <c r="B76" s="1987">
        <v>17</v>
      </c>
      <c r="C76" s="1988" t="s">
        <v>1251</v>
      </c>
      <c r="D76" s="1989">
        <f>IF(D78&lt;&gt;0,(D77/D78),0)</f>
        <v>0.13700369355990627</v>
      </c>
      <c r="E76" s="1990">
        <f>IF(F76&lt;&gt;0,((D76-F76)/F76)*100%,0)</f>
        <v>-0.44470261548463602</v>
      </c>
      <c r="F76" s="1989">
        <f>IF(F78&lt;&gt;0,F77/F78,0)</f>
        <v>0.24672130173902457</v>
      </c>
      <c r="G76" s="1990">
        <f>IF(H76&lt;&gt;0,((F76-H76)/H76)*100%,0)</f>
        <v>-3.3187366704588529E-2</v>
      </c>
      <c r="H76" s="1991">
        <f>IF(H78&lt;&gt;0,H77/H78,0)</f>
        <v>0.25519039909322161</v>
      </c>
      <c r="I76" s="1992">
        <f t="shared" si="3"/>
        <v>0</v>
      </c>
      <c r="J76" s="1989">
        <f>IF(J78&lt;&gt;0,J77/J78,0)</f>
        <v>0</v>
      </c>
      <c r="K76" s="1993"/>
      <c r="L76" s="1994"/>
      <c r="M76" s="1994"/>
    </row>
    <row r="77" spans="1:13" x14ac:dyDescent="0.25">
      <c r="A77" s="1951"/>
      <c r="B77" s="1996"/>
      <c r="C77" s="1971" t="s">
        <v>1252</v>
      </c>
      <c r="D77" s="1972">
        <f>D46</f>
        <v>7257191256.5900002</v>
      </c>
      <c r="E77" s="1967">
        <f>IF(F77&lt;&gt;0,((D77-F77)/F77)*100%,0)</f>
        <v>-0.47681677260858996</v>
      </c>
      <c r="F77" s="1972">
        <f>F46</f>
        <v>13871223075.66</v>
      </c>
      <c r="G77" s="1967">
        <f>IF(H77&lt;&gt;0,((F77-H77)/H77)*100%,0)</f>
        <v>5.7582381575941949E-2</v>
      </c>
      <c r="H77" s="1972">
        <f>H46</f>
        <v>13115974053</v>
      </c>
      <c r="I77" s="1969">
        <f t="shared" si="3"/>
        <v>0</v>
      </c>
      <c r="J77" s="1972">
        <f>IF('[4]Lembar Input I Keuangan'!E35&lt;&gt;0,('[4]Lembar Input I Keuangan'!Q$129/'[4]Lembar Input I Keuangan'!E35)*12,0)</f>
        <v>0</v>
      </c>
      <c r="K77" s="1959"/>
      <c r="L77" s="1950"/>
      <c r="M77" s="1997"/>
    </row>
    <row r="78" spans="1:13" x14ac:dyDescent="0.25">
      <c r="A78" s="1951"/>
      <c r="B78" s="1996"/>
      <c r="C78" s="1971" t="s">
        <v>1253</v>
      </c>
      <c r="D78" s="1972">
        <f>'CEKLIST 003 (LAPORAN KEUANGAN))'!K49</f>
        <v>52970770845.799995</v>
      </c>
      <c r="E78" s="1967">
        <f>IF(F78&lt;&gt;0,((D78-F78)/F78)*100%,0)</f>
        <v>-5.783235797514448E-2</v>
      </c>
      <c r="F78" s="1972">
        <f>'CEKLIST 003 (LAPORAN KEUANGAN))'!M49</f>
        <v>56222235282.839996</v>
      </c>
      <c r="G78" s="1967">
        <f>IF(H78&lt;&gt;0,((F78-H78)/H78)*100%,0)</f>
        <v>9.3885562884236273E-2</v>
      </c>
      <c r="H78" s="1972">
        <f>'CEKLIST 003 (LAPORAN KEUANGAN))'!O49</f>
        <v>51396816258</v>
      </c>
      <c r="I78" s="1969">
        <f t="shared" si="3"/>
        <v>0</v>
      </c>
      <c r="J78" s="1972">
        <f>('[4]Lembar Input I Keuangan'!Q$52+K78)/2</f>
        <v>0</v>
      </c>
      <c r="K78" s="1959"/>
      <c r="L78" s="1950"/>
      <c r="M78" s="1950"/>
    </row>
    <row r="79" spans="1:13" ht="5.25" customHeight="1" x14ac:dyDescent="0.25">
      <c r="A79" s="768"/>
      <c r="B79" s="788"/>
      <c r="C79" s="776"/>
      <c r="D79" s="776"/>
      <c r="E79" s="776"/>
      <c r="F79" s="776"/>
      <c r="G79" s="776"/>
      <c r="H79" s="779"/>
      <c r="I79" s="789"/>
      <c r="J79" s="776"/>
      <c r="K79" s="772"/>
    </row>
    <row r="80" spans="1:13" hidden="1" x14ac:dyDescent="0.25">
      <c r="A80" s="768"/>
      <c r="B80" s="790">
        <v>18</v>
      </c>
      <c r="C80" s="783" t="s">
        <v>1254</v>
      </c>
      <c r="D80" s="791" t="e">
        <f>D81/D82</f>
        <v>#DIV/0!</v>
      </c>
      <c r="E80" s="784" t="e">
        <f>IF(F80&lt;&gt;0,((D80-F80)/F80)*100%,0)</f>
        <v>#DIV/0!</v>
      </c>
      <c r="F80" s="774" t="e">
        <f>F81/F82</f>
        <v>#DIV/0!</v>
      </c>
      <c r="G80" s="784" t="e">
        <f>IF(H80&lt;&gt;0,((F80-H80)/H80)*100%,0)</f>
        <v>#DIV/0!</v>
      </c>
      <c r="H80" s="792" t="e">
        <f>H81/H82</f>
        <v>#DIV/0!</v>
      </c>
      <c r="I80" s="793" t="e">
        <f t="shared" si="3"/>
        <v>#DIV/0!</v>
      </c>
      <c r="J80" s="774" t="e">
        <f>J81/J82</f>
        <v>#DIV/0!</v>
      </c>
      <c r="K80" s="772"/>
    </row>
    <row r="81" spans="1:14" hidden="1" x14ac:dyDescent="0.25">
      <c r="A81" s="768"/>
      <c r="B81" s="788"/>
      <c r="C81" s="776" t="s">
        <v>1255</v>
      </c>
      <c r="D81" s="777">
        <f>'[4]Lembar Input I Keuangan'!K115</f>
        <v>0</v>
      </c>
      <c r="E81" s="785">
        <f>IF(F81&lt;&gt;0,((D81-F81)/F81)*100%,0)</f>
        <v>0</v>
      </c>
      <c r="F81" s="777">
        <f>'[4]Lembar Input I Keuangan'!M115</f>
        <v>0</v>
      </c>
      <c r="G81" s="785">
        <f>IF(H81&lt;&gt;0,((F81-H81)/H81)*100%,0)</f>
        <v>0</v>
      </c>
      <c r="H81" s="778">
        <f>'[4]Lembar Input I Keuangan'!O115</f>
        <v>0</v>
      </c>
      <c r="I81" s="786">
        <f t="shared" si="3"/>
        <v>0</v>
      </c>
      <c r="J81" s="777">
        <f>'[4]Lembar Input I Keuangan'!Q115</f>
        <v>0</v>
      </c>
      <c r="K81" s="772"/>
    </row>
    <row r="82" spans="1:14" hidden="1" x14ac:dyDescent="0.25">
      <c r="A82" s="768"/>
      <c r="B82" s="788"/>
      <c r="C82" s="776" t="s">
        <v>1256</v>
      </c>
      <c r="D82" s="794" t="e">
        <f>'[4]Lembar Input I Keuangan'!K52/'[4]Lembar Input I Keuangan'!H21</f>
        <v>#DIV/0!</v>
      </c>
      <c r="E82" s="785" t="e">
        <f>IF(F82&lt;&gt;0,((D82-F82)/F82)*100%,0)</f>
        <v>#DIV/0!</v>
      </c>
      <c r="F82" s="794" t="e">
        <f>'[4]Lembar Input I Keuangan'!M52/'[4]Lembar Input I Keuangan'!J21</f>
        <v>#DIV/0!</v>
      </c>
      <c r="G82" s="785" t="e">
        <f>IF(H82&lt;&gt;0,((F82-H82)/H82)*100%,0)</f>
        <v>#DIV/0!</v>
      </c>
      <c r="H82" s="795" t="e">
        <f>'[4]Lembar Input I Keuangan'!O52/'[4]Lembar Input I Keuangan'!L21</f>
        <v>#DIV/0!</v>
      </c>
      <c r="I82" s="786" t="e">
        <f t="shared" si="3"/>
        <v>#DIV/0!</v>
      </c>
      <c r="J82" s="794" t="e">
        <f>'[4]Lembar Input I Keuangan'!Q52/'[4]Lembar Input I Keuangan'!N21</f>
        <v>#DIV/0!</v>
      </c>
      <c r="K82" s="772"/>
    </row>
    <row r="83" spans="1:14" ht="5.25" hidden="1" customHeight="1" x14ac:dyDescent="0.25">
      <c r="A83" s="768"/>
      <c r="B83" s="788"/>
      <c r="C83" s="776"/>
      <c r="D83" s="776"/>
      <c r="E83" s="776"/>
      <c r="F83" s="776"/>
      <c r="G83" s="776"/>
      <c r="H83" s="779"/>
      <c r="I83" s="789"/>
      <c r="J83" s="776"/>
      <c r="K83" s="772"/>
    </row>
    <row r="84" spans="1:14" ht="15.75" hidden="1" thickBot="1" x14ac:dyDescent="0.3">
      <c r="A84" s="768"/>
      <c r="B84" s="796">
        <v>19</v>
      </c>
      <c r="C84" s="797" t="s">
        <v>1257</v>
      </c>
      <c r="D84" s="798" t="e">
        <f>D85/D86</f>
        <v>#REF!</v>
      </c>
      <c r="E84" s="799" t="e">
        <f>IF(F84&lt;&gt;0,((D84-F84)/F84)*100%,0)</f>
        <v>#REF!</v>
      </c>
      <c r="F84" s="800" t="e">
        <f>F85/F86</f>
        <v>#REF!</v>
      </c>
      <c r="G84" s="799" t="e">
        <f>IF(H84&lt;&gt;0,((F84-H84)/H84)*100%,0)</f>
        <v>#REF!</v>
      </c>
      <c r="H84" s="801" t="e">
        <f>H85/H86</f>
        <v>#REF!</v>
      </c>
      <c r="I84" s="793" t="e">
        <f>IF(J84&lt;&gt;0,((H84-J84)/J84)*100%,0)</f>
        <v>#REF!</v>
      </c>
      <c r="J84" s="802" t="e">
        <f>J85/J86</f>
        <v>#REF!</v>
      </c>
      <c r="K84" s="772"/>
    </row>
    <row r="85" spans="1:14" hidden="1" x14ac:dyDescent="0.25">
      <c r="A85" s="768"/>
      <c r="B85" s="773"/>
      <c r="C85" s="773" t="s">
        <v>1258</v>
      </c>
      <c r="D85" s="803" t="e">
        <f>#REF!</f>
        <v>#REF!</v>
      </c>
      <c r="E85" s="804" t="e">
        <f>IF(F85&lt;&gt;0,((D85-F85)/F85)*100%,0)</f>
        <v>#REF!</v>
      </c>
      <c r="F85" s="803" t="e">
        <f>#REF!</f>
        <v>#REF!</v>
      </c>
      <c r="G85" s="804" t="e">
        <f>IF(H85&lt;&gt;0,((F85-H85)/H85)*100%,0)</f>
        <v>#REF!</v>
      </c>
      <c r="H85" s="803" t="e">
        <f>#REF!</f>
        <v>#REF!</v>
      </c>
      <c r="I85" s="785" t="e">
        <f>IF(J85&lt;&gt;0,((H85-J85)/J85)*100%,0)</f>
        <v>#REF!</v>
      </c>
      <c r="J85" s="777" t="e">
        <f>#REF!</f>
        <v>#REF!</v>
      </c>
      <c r="K85" s="772"/>
    </row>
    <row r="86" spans="1:14" hidden="1" x14ac:dyDescent="0.25">
      <c r="A86" s="768"/>
      <c r="B86" s="776"/>
      <c r="C86" s="776" t="s">
        <v>1256</v>
      </c>
      <c r="D86" s="794" t="e">
        <f>'[4]Lembar Input I Keuangan'!K52/'[4]Lembar Input I Keuangan'!H21</f>
        <v>#DIV/0!</v>
      </c>
      <c r="E86" s="785" t="e">
        <f>IF(F86&lt;&gt;0,((D86-F86)/F86)*100%,0)</f>
        <v>#DIV/0!</v>
      </c>
      <c r="F86" s="794" t="e">
        <f>'[4]Lembar Input I Keuangan'!M52/'[4]Lembar Input I Keuangan'!J21</f>
        <v>#DIV/0!</v>
      </c>
      <c r="G86" s="785" t="e">
        <f>IF(H86&lt;&gt;0,((F86-H86)/H86)*100%,0)</f>
        <v>#DIV/0!</v>
      </c>
      <c r="H86" s="794" t="e">
        <f>'[4]Lembar Input I Keuangan'!O52/'[4]Lembar Input I Keuangan'!L21</f>
        <v>#DIV/0!</v>
      </c>
      <c r="I86" s="785" t="e">
        <f>IF(J86&lt;&gt;0,((H86-J86)/J86)*100%,0)</f>
        <v>#DIV/0!</v>
      </c>
      <c r="J86" s="794" t="e">
        <f>'[4]Lembar Input I Keuangan'!Q52/'[4]Lembar Input I Keuangan'!N21</f>
        <v>#DIV/0!</v>
      </c>
      <c r="K86" s="772"/>
    </row>
    <row r="87" spans="1:14" ht="5.25" hidden="1" customHeight="1" x14ac:dyDescent="0.25">
      <c r="A87" s="768"/>
      <c r="B87" s="776"/>
      <c r="C87" s="776"/>
      <c r="D87" s="776"/>
      <c r="E87" s="776"/>
      <c r="F87" s="776"/>
      <c r="G87" s="776"/>
      <c r="H87" s="776"/>
      <c r="I87" s="776"/>
      <c r="J87" s="776"/>
      <c r="K87" s="772"/>
    </row>
    <row r="88" spans="1:14" ht="15.75" hidden="1" thickBot="1" x14ac:dyDescent="0.3">
      <c r="A88" s="805"/>
      <c r="B88" s="806"/>
      <c r="C88" s="806"/>
      <c r="D88" s="806"/>
      <c r="E88" s="806"/>
      <c r="F88" s="806"/>
      <c r="G88" s="806"/>
      <c r="H88" s="806"/>
      <c r="I88" s="806"/>
      <c r="J88" s="806"/>
      <c r="K88" s="807"/>
    </row>
    <row r="89" spans="1:14" ht="16.5" hidden="1" thickTop="1" thickBot="1" x14ac:dyDescent="0.3">
      <c r="D89" s="780">
        <f>SUM(D92:D96)</f>
        <v>12200101402.889999</v>
      </c>
      <c r="E89" s="808"/>
      <c r="F89" s="780">
        <f>SUM(F92:F96)</f>
        <v>6832509866.8400002</v>
      </c>
      <c r="H89" s="780">
        <f>SUM(H92:H96)</f>
        <v>6185542084</v>
      </c>
      <c r="J89" s="780">
        <f>IF(SUM(J92:J96)&lt;&gt;0,SUM(J92:J96),0)</f>
        <v>0</v>
      </c>
    </row>
    <row r="90" spans="1:14" ht="15.75" hidden="1" thickBot="1" x14ac:dyDescent="0.3">
      <c r="C90" s="809" t="s">
        <v>1200</v>
      </c>
      <c r="D90" s="769">
        <f>'CEKLIST 002 (BIO DATA)'!D11</f>
        <v>43281</v>
      </c>
      <c r="E90" s="770" t="s">
        <v>941</v>
      </c>
      <c r="F90" s="769">
        <f>'CEKLIST 002 (BIO DATA)'!D10</f>
        <v>43100</v>
      </c>
      <c r="G90" s="770" t="s">
        <v>941</v>
      </c>
      <c r="H90" s="769">
        <f>'CEKLIST 002 (BIO DATA)'!D9</f>
        <v>42735</v>
      </c>
      <c r="I90" s="770" t="s">
        <v>941</v>
      </c>
      <c r="J90" s="771">
        <f>DATE('[4]Lembar Input I Keuangan'!$F$35,'[4]Lembar Input I Keuangan'!$E$35,'[4]Lembar Input I Keuangan'!$D$35)</f>
        <v>366</v>
      </c>
    </row>
    <row r="91" spans="1:14" hidden="1" x14ac:dyDescent="0.25">
      <c r="C91" s="810" t="s">
        <v>1259</v>
      </c>
      <c r="D91" s="811">
        <f>'CEKLIST 003 (LAPORAN KEUANGAN))'!K62</f>
        <v>68575889091.019997</v>
      </c>
      <c r="E91" s="775">
        <f t="shared" ref="E91:E118" si="4">IF(F91&lt;&gt;0,((D91-F91)/F91)*100%,0)</f>
        <v>4.6006209069953403E-2</v>
      </c>
      <c r="F91" s="811">
        <f>'CEKLIST 003 (LAPORAN KEUANGAN))'!M62</f>
        <v>65559734250.519989</v>
      </c>
      <c r="G91" s="775">
        <f t="shared" ref="G91:G118" si="5">IF(H91&lt;&gt;0,((F91-H91)/H91)*100%,0)</f>
        <v>9.0203470967705424E-2</v>
      </c>
      <c r="H91" s="811">
        <f>'CEKLIST 003 (LAPORAN KEUANGAN))'!O62</f>
        <v>60135319687</v>
      </c>
      <c r="I91" s="775">
        <f>IF(J91&lt;&gt;0,((H91-J91)/J91)*100%,0)</f>
        <v>0</v>
      </c>
      <c r="J91" s="812">
        <f>IF('[4]Lembar Input I Keuangan'!Q65&gt;0,'[4]Lembar Input I Keuangan'!Q65,0)</f>
        <v>0</v>
      </c>
      <c r="M91" s="813"/>
    </row>
    <row r="92" spans="1:14" hidden="1" x14ac:dyDescent="0.25">
      <c r="C92" s="788" t="s">
        <v>525</v>
      </c>
      <c r="D92" s="777">
        <f>'CEKLIST 003 (LAPORAN KEUANGAN))'!K41</f>
        <v>776420000</v>
      </c>
      <c r="E92" s="775">
        <f t="shared" si="4"/>
        <v>-4.4916315469644523E-2</v>
      </c>
      <c r="F92" s="777">
        <f>'CEKLIST 003 (LAPORAN KEUANGAN))'!M41</f>
        <v>812934000</v>
      </c>
      <c r="G92" s="775">
        <f t="shared" si="5"/>
        <v>1.8335198101073897</v>
      </c>
      <c r="H92" s="777">
        <f>'CEKLIST 003 (LAPORAN KEUANGAN))'!O41</f>
        <v>286899000</v>
      </c>
      <c r="I92" s="775">
        <f t="shared" ref="I92:I118" si="6">IF(J92&lt;&gt;0,((H92-J92)/J92)*100%,0)</f>
        <v>0</v>
      </c>
      <c r="J92" s="778">
        <f>IF('[4]Lembar Input I Keuangan'!Q44&lt;&gt;0,'[4]Lembar Input I Keuangan'!Q44,0)</f>
        <v>0</v>
      </c>
    </row>
    <row r="93" spans="1:14" hidden="1" x14ac:dyDescent="0.25">
      <c r="C93" s="788" t="s">
        <v>1260</v>
      </c>
      <c r="D93" s="777">
        <f>'CEKLIST 003 (LAPORAN KEUANGAN))'!K42</f>
        <v>0</v>
      </c>
      <c r="E93" s="775">
        <f t="shared" si="4"/>
        <v>0</v>
      </c>
      <c r="F93" s="777">
        <f>'CEKLIST 003 (LAPORAN KEUANGAN))'!M42</f>
        <v>0</v>
      </c>
      <c r="G93" s="775">
        <f t="shared" si="5"/>
        <v>0</v>
      </c>
      <c r="H93" s="777">
        <f>'CEKLIST 003 (LAPORAN KEUANGAN))'!O42</f>
        <v>0</v>
      </c>
      <c r="I93" s="775">
        <f t="shared" si="6"/>
        <v>0</v>
      </c>
      <c r="J93" s="778">
        <f>IF('[4]Lembar Input I Keuangan'!Q45&lt;&gt;0,'[4]Lembar Input I Keuangan'!Q45,0)</f>
        <v>0</v>
      </c>
    </row>
    <row r="94" spans="1:14" hidden="1" x14ac:dyDescent="0.25">
      <c r="C94" s="788" t="s">
        <v>1261</v>
      </c>
      <c r="D94" s="777">
        <f>'CEKLIST 003 (LAPORAN KEUANGAN))'!K44</f>
        <v>12349294</v>
      </c>
      <c r="E94" s="775">
        <f t="shared" si="4"/>
        <v>0.1244217888069476</v>
      </c>
      <c r="F94" s="777">
        <f>'CEKLIST 003 (LAPORAN KEUANGAN))'!M44</f>
        <v>10982795</v>
      </c>
      <c r="G94" s="775">
        <f t="shared" si="5"/>
        <v>0.36993671829481545</v>
      </c>
      <c r="H94" s="777">
        <f>'CEKLIST 003 (LAPORAN KEUANGAN))'!O44</f>
        <v>8017009</v>
      </c>
      <c r="I94" s="775">
        <f t="shared" si="6"/>
        <v>0</v>
      </c>
      <c r="J94" s="778">
        <f>IF('[4]Lembar Input I Keuangan'!Q47&lt;&gt;0,'[4]Lembar Input I Keuangan'!Q47,0)</f>
        <v>0</v>
      </c>
      <c r="L94" s="780"/>
    </row>
    <row r="95" spans="1:14" hidden="1" x14ac:dyDescent="0.25">
      <c r="C95" s="788" t="s">
        <v>1262</v>
      </c>
      <c r="D95" s="777">
        <f>'CEKLIST 003 (LAPORAN KEUANGAN))'!K45</f>
        <v>11311332108.889999</v>
      </c>
      <c r="E95" s="775">
        <f t="shared" si="4"/>
        <v>0.91438671970813645</v>
      </c>
      <c r="F95" s="777">
        <f>'CEKLIST 003 (LAPORAN KEUANGAN))'!M45</f>
        <v>5908593071.8400002</v>
      </c>
      <c r="G95" s="775">
        <f t="shared" si="5"/>
        <v>2.0372062590831363E-2</v>
      </c>
      <c r="H95" s="777">
        <f>'CEKLIST 003 (LAPORAN KEUANGAN))'!O45</f>
        <v>5790626075</v>
      </c>
      <c r="I95" s="775">
        <f t="shared" si="6"/>
        <v>0</v>
      </c>
      <c r="J95" s="778">
        <f>IF('[4]Lembar Input I Keuangan'!Q48&lt;&gt;0,'[4]Lembar Input I Keuangan'!Q48,0)</f>
        <v>0</v>
      </c>
      <c r="N95" s="780">
        <f>D94+D95+D96+D97</f>
        <v>64394452248.689995</v>
      </c>
    </row>
    <row r="96" spans="1:14" hidden="1" x14ac:dyDescent="0.25">
      <c r="C96" s="788" t="s">
        <v>1263</v>
      </c>
      <c r="D96" s="777">
        <f>'CEKLIST 003 (LAPORAN KEUANGAN))'!K46</f>
        <v>100000000</v>
      </c>
      <c r="E96" s="775">
        <f t="shared" si="4"/>
        <v>0</v>
      </c>
      <c r="F96" s="777">
        <f>'CEKLIST 003 (LAPORAN KEUANGAN))'!M46</f>
        <v>100000000</v>
      </c>
      <c r="G96" s="775">
        <f t="shared" si="5"/>
        <v>0</v>
      </c>
      <c r="H96" s="777">
        <f>'CEKLIST 003 (LAPORAN KEUANGAN))'!O46</f>
        <v>100000000</v>
      </c>
      <c r="I96" s="775">
        <f t="shared" si="6"/>
        <v>0</v>
      </c>
      <c r="J96" s="778">
        <f>IF('[4]Lembar Input I Keuangan'!Q49&lt;&gt;0,'[4]Lembar Input I Keuangan'!Q49,0)</f>
        <v>0</v>
      </c>
      <c r="N96" s="780">
        <f>D104+D105+D110</f>
        <v>28449470434.989998</v>
      </c>
    </row>
    <row r="97" spans="3:14" hidden="1" x14ac:dyDescent="0.25">
      <c r="C97" s="788" t="s">
        <v>1264</v>
      </c>
      <c r="D97" s="777">
        <f>'CEKLIST 003 (LAPORAN KEUANGAN))'!K49</f>
        <v>52970770845.799995</v>
      </c>
      <c r="E97" s="775">
        <f t="shared" si="4"/>
        <v>-5.783235797514448E-2</v>
      </c>
      <c r="F97" s="777">
        <f>'CEKLIST 003 (LAPORAN KEUANGAN))'!M49</f>
        <v>56222235282.839996</v>
      </c>
      <c r="G97" s="775">
        <f t="shared" si="5"/>
        <v>9.3885562884236273E-2</v>
      </c>
      <c r="H97" s="777">
        <f>'CEKLIST 003 (LAPORAN KEUANGAN))'!O49</f>
        <v>51396816258</v>
      </c>
      <c r="I97" s="775">
        <f t="shared" si="6"/>
        <v>0</v>
      </c>
      <c r="J97" s="778">
        <f>IF('[4]Lembar Input I Keuangan'!Q52&lt;&gt;0,'[4]Lembar Input I Keuangan'!Q52,0)</f>
        <v>0</v>
      </c>
      <c r="L97" s="780"/>
      <c r="N97" s="767">
        <f>N95/N96</f>
        <v>2.263467518519827</v>
      </c>
    </row>
    <row r="98" spans="3:14" hidden="1" x14ac:dyDescent="0.25">
      <c r="C98" s="788" t="s">
        <v>1265</v>
      </c>
      <c r="D98" s="777">
        <f>'CEKLIST 003 (LAPORAN KEUANGAN))'!K51</f>
        <v>715181500</v>
      </c>
      <c r="E98" s="775">
        <f t="shared" si="4"/>
        <v>0.74897778016893524</v>
      </c>
      <c r="F98" s="777">
        <f>'CEKLIST 003 (LAPORAN KEUANGAN))'!M51</f>
        <v>408914000</v>
      </c>
      <c r="G98" s="775">
        <f t="shared" si="5"/>
        <v>-0.23010470629841864</v>
      </c>
      <c r="H98" s="777">
        <f>'CEKLIST 003 (LAPORAN KEUANGAN))'!O51</f>
        <v>531129367</v>
      </c>
      <c r="I98" s="775">
        <f t="shared" si="6"/>
        <v>0</v>
      </c>
      <c r="J98" s="778">
        <f>IF('[4]Lembar Input I Keuangan'!Q54&lt;&gt;0,'[4]Lembar Input I Keuangan'!Q54,0)</f>
        <v>0</v>
      </c>
      <c r="L98" s="813"/>
    </row>
    <row r="99" spans="3:14" hidden="1" x14ac:dyDescent="0.25">
      <c r="C99" s="788" t="s">
        <v>1266</v>
      </c>
      <c r="D99" s="777">
        <f>'CEKLIST 003 (LAPORAN KEUANGAN))'!K52</f>
        <v>603642893.71000004</v>
      </c>
      <c r="E99" s="775">
        <f t="shared" si="4"/>
        <v>1.677488049342829</v>
      </c>
      <c r="F99" s="777">
        <f>'CEKLIST 003 (LAPORAN KEUANGAN))'!M52</f>
        <v>225451200</v>
      </c>
      <c r="G99" s="775">
        <f t="shared" si="5"/>
        <v>0.1865856815854772</v>
      </c>
      <c r="H99" s="777">
        <f>'CEKLIST 003 (LAPORAN KEUANGAN))'!O52</f>
        <v>189999933</v>
      </c>
      <c r="I99" s="775">
        <f t="shared" si="6"/>
        <v>0</v>
      </c>
      <c r="J99" s="778">
        <f>IF('[4]Lembar Input I Keuangan'!Q55&lt;&gt;0,'[4]Lembar Input I Keuangan'!Q55,0)</f>
        <v>0</v>
      </c>
    </row>
    <row r="100" spans="3:14" hidden="1" x14ac:dyDescent="0.25">
      <c r="C100" s="788" t="s">
        <v>1267</v>
      </c>
      <c r="D100" s="777">
        <f>'CEKLIST 003 (LAPORAN KEUANGAN))'!K53</f>
        <v>2319391466.3800001</v>
      </c>
      <c r="E100" s="775">
        <f t="shared" si="4"/>
        <v>-2.1835867962955485E-3</v>
      </c>
      <c r="F100" s="777">
        <f>'CEKLIST 003 (LAPORAN KEUANGAN))'!M53</f>
        <v>2324467142.1399999</v>
      </c>
      <c r="G100" s="775">
        <f t="shared" si="5"/>
        <v>6.6623863818734974E-2</v>
      </c>
      <c r="H100" s="777">
        <f>'CEKLIST 003 (LAPORAN KEUANGAN))'!O53</f>
        <v>2179275395</v>
      </c>
      <c r="I100" s="775">
        <f t="shared" si="6"/>
        <v>0</v>
      </c>
      <c r="J100" s="778">
        <f>IF('[4]Lembar Input I Keuangan'!Q55&lt;&gt;0,'[4]Lembar Input I Keuangan'!Q55,0)</f>
        <v>0</v>
      </c>
    </row>
    <row r="101" spans="3:14" hidden="1" x14ac:dyDescent="0.25">
      <c r="C101" s="788" t="s">
        <v>1268</v>
      </c>
      <c r="D101" s="777">
        <f>-('CEKLIST 003 (LAPORAN KEUANGAN))'!K54)</f>
        <v>-1061203386.61</v>
      </c>
      <c r="E101" s="775">
        <f t="shared" si="4"/>
        <v>0.47446517651667841</v>
      </c>
      <c r="F101" s="777">
        <f>-('CEKLIST 003 (LAPORAN KEUANGAN))'!M54)</f>
        <v>-719720888.29999995</v>
      </c>
      <c r="G101" s="775">
        <f t="shared" si="5"/>
        <v>-0.29430266907585162</v>
      </c>
      <c r="H101" s="777">
        <f>-('CEKLIST 003 (LAPORAN KEUANGAN))'!O54)</f>
        <v>-1019871915</v>
      </c>
      <c r="I101" s="775">
        <f t="shared" si="6"/>
        <v>0</v>
      </c>
      <c r="J101" s="778">
        <f>IF(-'[4]Lembar Input I Keuangan'!Q57&lt;&gt;0,-'[4]Lembar Input I Keuangan'!Q57,0)</f>
        <v>0</v>
      </c>
    </row>
    <row r="102" spans="3:14" hidden="1" x14ac:dyDescent="0.25">
      <c r="C102" s="814" t="s">
        <v>1269</v>
      </c>
      <c r="D102" s="815">
        <f>'CEKLIST 003 (LAPORAN KEUANGAN))'!K95</f>
        <v>68575889091.019997</v>
      </c>
      <c r="E102" s="775">
        <f t="shared" si="4"/>
        <v>4.6006209069953286E-2</v>
      </c>
      <c r="F102" s="815">
        <f>'CEKLIST 003 (LAPORAN KEUANGAN))'!M95</f>
        <v>65559734250.519997</v>
      </c>
      <c r="G102" s="775">
        <f t="shared" si="5"/>
        <v>9.0203470967705549E-2</v>
      </c>
      <c r="H102" s="815">
        <f>'CEKLIST 003 (LAPORAN KEUANGAN))'!O95</f>
        <v>60135319687</v>
      </c>
      <c r="I102" s="775">
        <f t="shared" si="6"/>
        <v>0</v>
      </c>
      <c r="J102" s="816">
        <f>IF('[4]Lembar Input I Keuangan'!Q100&lt;&gt;0,'[4]Lembar Input I Keuangan'!Q100,0)</f>
        <v>0</v>
      </c>
      <c r="N102" s="780"/>
    </row>
    <row r="103" spans="3:14" hidden="1" x14ac:dyDescent="0.25">
      <c r="C103" s="788" t="s">
        <v>1270</v>
      </c>
      <c r="D103" s="777">
        <f>'CEKLIST 003 (LAPORAN KEUANGAN))'!K65</f>
        <v>379268461.41000003</v>
      </c>
      <c r="E103" s="775">
        <f t="shared" si="4"/>
        <v>-7.2122433534233546E-2</v>
      </c>
      <c r="F103" s="777">
        <f>'CEKLIST 003 (LAPORAN KEUANGAN))'!M65</f>
        <v>408748390</v>
      </c>
      <c r="G103" s="775">
        <f t="shared" si="5"/>
        <v>-0.18792290558899744</v>
      </c>
      <c r="H103" s="777">
        <f>'CEKLIST 003 (LAPORAN KEUANGAN))'!O65</f>
        <v>503336928</v>
      </c>
      <c r="I103" s="775">
        <f t="shared" si="6"/>
        <v>0</v>
      </c>
      <c r="J103" s="778">
        <f>IF('[4]Lembar Input I Keuangan'!Q68&lt;&gt;0,'[4]Lembar Input I Keuangan'!Q68,0)</f>
        <v>0</v>
      </c>
    </row>
    <row r="104" spans="3:14" hidden="1" x14ac:dyDescent="0.25">
      <c r="C104" s="788" t="s">
        <v>1119</v>
      </c>
      <c r="D104" s="777">
        <f>'CEKLIST 003 (LAPORAN KEUANGAN))'!K66</f>
        <v>16159070434.99</v>
      </c>
      <c r="E104" s="775">
        <f t="shared" si="4"/>
        <v>-0.13113982083759407</v>
      </c>
      <c r="F104" s="777">
        <f>'CEKLIST 003 (LAPORAN KEUANGAN))'!M66</f>
        <v>18598010154.599998</v>
      </c>
      <c r="G104" s="775">
        <f t="shared" si="5"/>
        <v>0.20968763278341848</v>
      </c>
      <c r="H104" s="777">
        <f>'CEKLIST 003 (LAPORAN KEUANGAN))'!O66</f>
        <v>15374225255</v>
      </c>
      <c r="I104" s="775">
        <f t="shared" si="6"/>
        <v>0</v>
      </c>
      <c r="J104" s="778">
        <f>IF('[4]Lembar Input I Keuangan'!Q68&lt;&gt;0,'[4]Lembar Input I Keuangan'!Q68,0)</f>
        <v>0</v>
      </c>
    </row>
    <row r="105" spans="3:14" hidden="1" x14ac:dyDescent="0.25">
      <c r="C105" s="788" t="s">
        <v>1271</v>
      </c>
      <c r="D105" s="777">
        <f>'CEKLIST 003 (LAPORAN KEUANGAN))'!K67</f>
        <v>12290400000</v>
      </c>
      <c r="E105" s="775">
        <f t="shared" si="4"/>
        <v>0.35276377484755761</v>
      </c>
      <c r="F105" s="777">
        <f>'CEKLIST 003 (LAPORAN KEUANGAN))'!M67</f>
        <v>9085400000</v>
      </c>
      <c r="G105" s="775">
        <f t="shared" si="5"/>
        <v>0.10413805675396488</v>
      </c>
      <c r="H105" s="777">
        <f>'CEKLIST 003 (LAPORAN KEUANGAN))'!O67</f>
        <v>8228500000</v>
      </c>
      <c r="I105" s="775">
        <f t="shared" si="6"/>
        <v>0</v>
      </c>
      <c r="J105" s="778">
        <f>IF('[4]Lembar Input I Keuangan'!Q70&lt;&gt;0,'[4]Lembar Input I Keuangan'!Q70,0)</f>
        <v>0</v>
      </c>
      <c r="K105" s="817">
        <f>(D105/H105)^(1/2)-1</f>
        <v>0.22214482186332574</v>
      </c>
      <c r="L105" s="780"/>
    </row>
    <row r="106" spans="3:14" hidden="1" x14ac:dyDescent="0.25">
      <c r="C106" s="788" t="s">
        <v>1272</v>
      </c>
      <c r="D106" s="777">
        <f>'CEKLIST 003 (LAPORAN KEUANGAN))'!K70</f>
        <v>0</v>
      </c>
      <c r="E106" s="775">
        <f t="shared" si="4"/>
        <v>0</v>
      </c>
      <c r="F106" s="777">
        <f>'CEKLIST 003 (LAPORAN KEUANGAN))'!M70</f>
        <v>0</v>
      </c>
      <c r="G106" s="775">
        <f t="shared" si="5"/>
        <v>0</v>
      </c>
      <c r="H106" s="777">
        <f>'CEKLIST 003 (LAPORAN KEUANGAN))'!O70</f>
        <v>0</v>
      </c>
      <c r="I106" s="775">
        <f t="shared" si="6"/>
        <v>0</v>
      </c>
      <c r="J106" s="778">
        <f>IF('[4]Lembar Input I Keuangan'!Q73&lt;&gt;0,'[4]Lembar Input I Keuangan'!Q73,0)</f>
        <v>0</v>
      </c>
      <c r="K106" s="767">
        <f>(G105+E105)/2</f>
        <v>0.22845091580076124</v>
      </c>
    </row>
    <row r="107" spans="3:14" hidden="1" x14ac:dyDescent="0.25">
      <c r="C107" s="788" t="s">
        <v>1273</v>
      </c>
      <c r="D107" s="777">
        <f>'CEKLIST 003 (LAPORAN KEUANGAN))'!K71</f>
        <v>0</v>
      </c>
      <c r="E107" s="775">
        <f t="shared" si="4"/>
        <v>0</v>
      </c>
      <c r="F107" s="777">
        <f>'CEKLIST 003 (LAPORAN KEUANGAN))'!M71</f>
        <v>0</v>
      </c>
      <c r="G107" s="775">
        <f t="shared" si="5"/>
        <v>0</v>
      </c>
      <c r="H107" s="777">
        <f>'CEKLIST 003 (LAPORAN KEUANGAN))'!O71</f>
        <v>0</v>
      </c>
      <c r="I107" s="775">
        <f t="shared" si="6"/>
        <v>0</v>
      </c>
      <c r="J107" s="778">
        <f>IF('[4]Lembar Input I Keuangan'!Q74&lt;&gt;0,'[4]Lembar Input I Keuangan'!Q74,0)</f>
        <v>0</v>
      </c>
    </row>
    <row r="108" spans="3:14" hidden="1" x14ac:dyDescent="0.25">
      <c r="C108" s="788" t="s">
        <v>1274</v>
      </c>
      <c r="D108" s="777">
        <f>'CEKLIST 003 (LAPORAN KEUANGAN))'!K73</f>
        <v>0</v>
      </c>
      <c r="E108" s="775">
        <f t="shared" si="4"/>
        <v>0</v>
      </c>
      <c r="F108" s="777">
        <f>'CEKLIST 003 (LAPORAN KEUANGAN))'!M73</f>
        <v>0</v>
      </c>
      <c r="G108" s="775">
        <f t="shared" si="5"/>
        <v>0</v>
      </c>
      <c r="H108" s="777">
        <f>'CEKLIST 003 (LAPORAN KEUANGAN))'!O73</f>
        <v>0</v>
      </c>
      <c r="I108" s="775">
        <f t="shared" si="6"/>
        <v>0</v>
      </c>
      <c r="J108" s="778">
        <f>IF('[4]Lembar Input I Keuangan'!Q77&lt;&gt;0,'[4]Lembar Input I Keuangan'!Q77,0)</f>
        <v>0</v>
      </c>
      <c r="K108" s="767">
        <f>LOG(10)</f>
        <v>1</v>
      </c>
    </row>
    <row r="109" spans="3:14" hidden="1" x14ac:dyDescent="0.25">
      <c r="C109" s="788" t="s">
        <v>1275</v>
      </c>
      <c r="D109" s="777"/>
      <c r="E109" s="775">
        <f t="shared" si="4"/>
        <v>0</v>
      </c>
      <c r="F109" s="777"/>
      <c r="G109" s="775">
        <f t="shared" si="5"/>
        <v>0</v>
      </c>
      <c r="H109" s="777"/>
      <c r="I109" s="775">
        <f t="shared" si="6"/>
        <v>0</v>
      </c>
      <c r="J109" s="778">
        <f>IF('[4]Lembar Input I Keuangan'!Q79&lt;&gt;0,'[4]Lembar Input I Keuangan'!Q79,0)</f>
        <v>0</v>
      </c>
    </row>
    <row r="110" spans="3:14" hidden="1" x14ac:dyDescent="0.25">
      <c r="C110" s="788" t="s">
        <v>1276</v>
      </c>
      <c r="D110" s="777"/>
      <c r="E110" s="775">
        <f t="shared" si="4"/>
        <v>0</v>
      </c>
      <c r="F110" s="777"/>
      <c r="G110" s="775">
        <f t="shared" si="5"/>
        <v>0</v>
      </c>
      <c r="H110" s="777"/>
      <c r="I110" s="775">
        <f t="shared" si="6"/>
        <v>0</v>
      </c>
      <c r="J110" s="778">
        <f>IF('[4]Lembar Input I Keuangan'!Q76&lt;&gt;0,'[4]Lembar Input I Keuangan'!Q76,0)</f>
        <v>0</v>
      </c>
    </row>
    <row r="111" spans="3:14" hidden="1" x14ac:dyDescent="0.25">
      <c r="C111" s="788" t="s">
        <v>1277</v>
      </c>
      <c r="D111" s="777">
        <f>'CEKLIST 003 (LAPORAN KEUANGAN))'!K68</f>
        <v>5143328429.0900002</v>
      </c>
      <c r="E111" s="775">
        <f t="shared" si="4"/>
        <v>0.1139451724910399</v>
      </c>
      <c r="F111" s="777">
        <f>'CEKLIST 003 (LAPORAN KEUANGAN))'!M68</f>
        <v>4617218653.2200003</v>
      </c>
      <c r="G111" s="775">
        <f t="shared" si="5"/>
        <v>-0.39664693644215915</v>
      </c>
      <c r="H111" s="777">
        <f>'CEKLIST 003 (LAPORAN KEUANGAN))'!O68</f>
        <v>7652598341</v>
      </c>
      <c r="I111" s="775">
        <f t="shared" si="6"/>
        <v>0</v>
      </c>
      <c r="J111" s="778">
        <f>IF('[4]Lembar Input I Keuangan'!Q71&lt;&gt;0,'[4]Lembar Input I Keuangan'!Q71,0)</f>
        <v>0</v>
      </c>
    </row>
    <row r="112" spans="3:14" hidden="1" x14ac:dyDescent="0.25">
      <c r="C112" s="788" t="s">
        <v>1278</v>
      </c>
      <c r="D112" s="777">
        <f>'CEKLIST 003 (LAPORAN KEUANGAN))'!K77</f>
        <v>0</v>
      </c>
      <c r="E112" s="775">
        <f t="shared" si="4"/>
        <v>0</v>
      </c>
      <c r="F112" s="777">
        <f>'CEKLIST 003 (LAPORAN KEUANGAN))'!M77</f>
        <v>0</v>
      </c>
      <c r="G112" s="775">
        <f t="shared" si="5"/>
        <v>0</v>
      </c>
      <c r="H112" s="777">
        <f>'CEKLIST 003 (LAPORAN KEUANGAN))'!O77</f>
        <v>0</v>
      </c>
      <c r="I112" s="775">
        <f t="shared" si="6"/>
        <v>0</v>
      </c>
      <c r="J112" s="778">
        <f>IF('[4]Lembar Input I Keuangan'!Q82&lt;&gt;0,'[4]Lembar Input I Keuangan'!Q82,0)</f>
        <v>0</v>
      </c>
    </row>
    <row r="113" spans="3:12" hidden="1" x14ac:dyDescent="0.25">
      <c r="C113" s="788" t="s">
        <v>1279</v>
      </c>
      <c r="D113" s="777">
        <f>'CEKLIST 003 (LAPORAN KEUANGAN))'!K72</f>
        <v>54858619.079999998</v>
      </c>
      <c r="E113" s="775">
        <f t="shared" si="4"/>
        <v>-0.70111119259380816</v>
      </c>
      <c r="F113" s="777">
        <f>'CEKLIST 003 (LAPORAN KEUANGAN))'!M72</f>
        <v>183541898.25999999</v>
      </c>
      <c r="G113" s="775">
        <f t="shared" si="5"/>
        <v>-0.28931782337345385</v>
      </c>
      <c r="H113" s="777">
        <f>'CEKLIST 003 (LAPORAN KEUANGAN))'!O72</f>
        <v>258261575</v>
      </c>
      <c r="I113" s="775">
        <f t="shared" si="6"/>
        <v>0</v>
      </c>
      <c r="J113" s="778">
        <f>IF('[4]Lembar Input I Keuangan'!Q79&lt;&gt;0,'[4]Lembar Input I Keuangan'!Q79,0)</f>
        <v>0</v>
      </c>
    </row>
    <row r="114" spans="3:12" hidden="1" x14ac:dyDescent="0.25">
      <c r="C114" s="788" t="s">
        <v>1280</v>
      </c>
      <c r="D114" s="777">
        <f>'CEKLIST 003 (LAPORAN KEUANGAN))'!K75</f>
        <v>0</v>
      </c>
      <c r="E114" s="775">
        <f t="shared" si="4"/>
        <v>0</v>
      </c>
      <c r="F114" s="777">
        <f>'CEKLIST 003 (LAPORAN KEUANGAN))'!M75</f>
        <v>0</v>
      </c>
      <c r="G114" s="775">
        <f t="shared" si="5"/>
        <v>0</v>
      </c>
      <c r="H114" s="777">
        <f>'CEKLIST 003 (LAPORAN KEUANGAN))'!O75</f>
        <v>0</v>
      </c>
      <c r="I114" s="775">
        <f t="shared" si="6"/>
        <v>0</v>
      </c>
      <c r="J114" s="778">
        <f>IF('[4]Lembar Input I Keuangan'!Q80&lt;&gt;0,'[4]Lembar Input I Keuangan'!Q80,0)</f>
        <v>0</v>
      </c>
    </row>
    <row r="115" spans="3:12" hidden="1" x14ac:dyDescent="0.25">
      <c r="C115" s="788" t="s">
        <v>1281</v>
      </c>
      <c r="D115" s="777">
        <f>'CEKLIST 003 (LAPORAN KEUANGAN))'!K76</f>
        <v>0</v>
      </c>
      <c r="E115" s="775">
        <f t="shared" si="4"/>
        <v>0</v>
      </c>
      <c r="F115" s="777">
        <f>'CEKLIST 003 (LAPORAN KEUANGAN))'!M76</f>
        <v>0</v>
      </c>
      <c r="G115" s="775">
        <f t="shared" si="5"/>
        <v>0</v>
      </c>
      <c r="H115" s="777">
        <f>'CEKLIST 003 (LAPORAN KEUANGAN))'!O76</f>
        <v>0</v>
      </c>
      <c r="I115" s="775">
        <f t="shared" si="6"/>
        <v>0</v>
      </c>
      <c r="J115" s="778">
        <f>IF('[4]Lembar Input I Keuangan'!Q81&lt;&gt;0,'[4]Lembar Input I Keuangan'!Q81,0)</f>
        <v>0</v>
      </c>
      <c r="L115" s="780">
        <f>SUM(D103:D118)</f>
        <v>88490373814.020004</v>
      </c>
    </row>
    <row r="116" spans="3:12" hidden="1" x14ac:dyDescent="0.25">
      <c r="C116" s="788" t="s">
        <v>1282</v>
      </c>
      <c r="D116" s="777">
        <f>'CEKLIST 003 (LAPORAN KEUANGAN))'!K78</f>
        <v>34548963146.449997</v>
      </c>
      <c r="E116" s="775">
        <f t="shared" si="4"/>
        <v>5.7616513367210853E-2</v>
      </c>
      <c r="F116" s="777">
        <f>'CEKLIST 003 (LAPORAN KEUANGAN))'!M78</f>
        <v>32666815154.439999</v>
      </c>
      <c r="G116" s="775">
        <f t="shared" si="5"/>
        <v>0.16175948690550959</v>
      </c>
      <c r="H116" s="777">
        <f>'CEKLIST 003 (LAPORAN KEUANGAN))'!O78</f>
        <v>28118397588</v>
      </c>
      <c r="I116" s="775">
        <f t="shared" si="6"/>
        <v>0</v>
      </c>
      <c r="J116" s="778">
        <f>IF('[4]Lembar Input I Keuangan'!Q83&lt;&gt;0,'[4]Lembar Input I Keuangan'!Q83,0)</f>
        <v>0</v>
      </c>
    </row>
    <row r="117" spans="3:12" hidden="1" x14ac:dyDescent="0.25">
      <c r="C117" s="788" t="s">
        <v>1283</v>
      </c>
      <c r="D117" s="777">
        <f>'CEKLIST 003 (LAPORAN KEUANGAN))'!K79-'CEKLIST 003 (LAPORAN KEUANGAN))'!K80</f>
        <v>19914484723</v>
      </c>
      <c r="E117" s="775">
        <f t="shared" si="4"/>
        <v>0</v>
      </c>
      <c r="F117" s="777">
        <f>'CEKLIST 003 (LAPORAN KEUANGAN))'!M79-'CEKLIST 003 (LAPORAN KEUANGAN))'!M80</f>
        <v>19914484723</v>
      </c>
      <c r="G117" s="775">
        <f t="shared" si="5"/>
        <v>0.23435223446487738</v>
      </c>
      <c r="H117" s="777">
        <f>'CEKLIST 003 (LAPORAN KEUANGAN))'!O79-'CEKLIST 003 (LAPORAN KEUANGAN))'!O80</f>
        <v>16133550997</v>
      </c>
      <c r="I117" s="775">
        <f t="shared" si="6"/>
        <v>0</v>
      </c>
      <c r="J117" s="778">
        <f>IF(('[4]Lembar Input I Keuangan'!Q84-'[4]Lembar Input I Keuangan'!Q85)&lt;&gt;0,('[4]Lembar Input I Keuangan'!Q84-'[4]Lembar Input I Keuangan'!Q85),0)</f>
        <v>0</v>
      </c>
    </row>
    <row r="118" spans="3:12" ht="15.75" hidden="1" thickBot="1" x14ac:dyDescent="0.3">
      <c r="C118" s="818" t="s">
        <v>1284</v>
      </c>
      <c r="D118" s="819">
        <f>'CEKLIST 003 (LAPORAN KEUANGAN))'!K84</f>
        <v>0</v>
      </c>
      <c r="E118" s="775">
        <f t="shared" si="4"/>
        <v>0</v>
      </c>
      <c r="F118" s="819">
        <f>'CEKLIST 003 (LAPORAN KEUANGAN))'!M84</f>
        <v>0</v>
      </c>
      <c r="G118" s="775">
        <f t="shared" si="5"/>
        <v>0</v>
      </c>
      <c r="H118" s="819">
        <f>'CEKLIST 003 (LAPORAN KEUANGAN))'!O84</f>
        <v>0</v>
      </c>
      <c r="I118" s="775">
        <f t="shared" si="6"/>
        <v>0</v>
      </c>
      <c r="J118" s="820">
        <f>IF('[4]Lembar Input I Keuangan'!Q89&lt;&gt;0,'[4]Lembar Input I Keuangan'!Q89,0)</f>
        <v>0</v>
      </c>
    </row>
    <row r="119" spans="3:12" ht="15.75" hidden="1" thickBot="1" x14ac:dyDescent="0.3">
      <c r="C119" s="821"/>
      <c r="D119" s="822"/>
      <c r="E119" s="822"/>
      <c r="F119" s="822"/>
      <c r="G119" s="822"/>
      <c r="H119" s="822"/>
      <c r="I119" s="822"/>
      <c r="J119" s="823"/>
    </row>
    <row r="120" spans="3:12" hidden="1" x14ac:dyDescent="0.25">
      <c r="C120" s="814" t="s">
        <v>1285</v>
      </c>
      <c r="D120" s="824">
        <f>'CEKLIST 003 (LAPORAN KEUANGAN))'!J39</f>
        <v>43281</v>
      </c>
      <c r="E120" s="825" t="s">
        <v>941</v>
      </c>
      <c r="F120" s="824">
        <f>'CEKLIST 003 (LAPORAN KEUANGAN))'!L39</f>
        <v>43100</v>
      </c>
      <c r="G120" s="825" t="s">
        <v>941</v>
      </c>
      <c r="H120" s="824">
        <f>'CEKLIST 003 (LAPORAN KEUANGAN))'!N39</f>
        <v>42735</v>
      </c>
      <c r="I120" s="825" t="s">
        <v>941</v>
      </c>
      <c r="J120" s="826">
        <f>DATE('[4]Lembar Input I Keuangan'!$F$35,'[4]Lembar Input I Keuangan'!$E$35,'[4]Lembar Input I Keuangan'!$D$35)</f>
        <v>366</v>
      </c>
    </row>
    <row r="121" spans="3:12" hidden="1" x14ac:dyDescent="0.25">
      <c r="C121" s="788" t="s">
        <v>1105</v>
      </c>
      <c r="D121" s="777">
        <f>'CEKLIST 003 (LAPORAN KEUANGAN))'!K124</f>
        <v>7561194462.5900002</v>
      </c>
      <c r="E121" s="775">
        <f t="shared" ref="E121:E126" si="7">IF(F121&lt;&gt;0,((D121-F121)/F121)*100%,0)</f>
        <v>-0.47491571307037456</v>
      </c>
      <c r="F121" s="777">
        <f>'CEKLIST 003 (LAPORAN KEUANGAN))'!M124</f>
        <v>14399963302.66</v>
      </c>
      <c r="G121" s="775">
        <f t="shared" ref="G121:G126" si="8">IF(H121&lt;&gt;0,((F121-H121)/H121)*100%,0)</f>
        <v>5.4727445263237369E-2</v>
      </c>
      <c r="H121" s="777">
        <f>'CEKLIST 003 (LAPORAN KEUANGAN))'!O124</f>
        <v>13652781453</v>
      </c>
      <c r="I121" s="775">
        <f t="shared" ref="I121:I126" si="9">IF(J121&lt;&gt;0,((H121-J121)/J121)*100%,0)</f>
        <v>0</v>
      </c>
      <c r="J121" s="778">
        <f>IF('[4]Lembar Input I Keuangan'!Q129&lt;&gt;0,'[4]Lembar Input I Keuangan'!Q129,0)</f>
        <v>0</v>
      </c>
      <c r="L121" s="780">
        <f>D121</f>
        <v>7561194462.5900002</v>
      </c>
    </row>
    <row r="122" spans="3:12" hidden="1" x14ac:dyDescent="0.25">
      <c r="C122" s="788" t="s">
        <v>1142</v>
      </c>
      <c r="D122" s="777">
        <f>'CEKLIST 003 (LAPORAN KEUANGAN))'!K148</f>
        <v>1001519402.88</v>
      </c>
      <c r="E122" s="775">
        <f t="shared" si="7"/>
        <v>-0.42695182975845908</v>
      </c>
      <c r="F122" s="777">
        <f>'CEKLIST 003 (LAPORAN KEUANGAN))'!M148</f>
        <v>1747705437.1500001</v>
      </c>
      <c r="G122" s="775">
        <f t="shared" si="8"/>
        <v>0.1299595968062224</v>
      </c>
      <c r="H122" s="777">
        <f>'CEKLIST 003 (LAPORAN KEUANGAN))'!O148</f>
        <v>1546697282</v>
      </c>
      <c r="I122" s="775">
        <f t="shared" si="9"/>
        <v>0</v>
      </c>
      <c r="J122" s="778">
        <f>IF('[4]Lembar Input I Keuangan'!Q153&lt;&gt;0,'[4]Lembar Input I Keuangan'!Q153,0)</f>
        <v>0</v>
      </c>
      <c r="L122" s="780">
        <f>(12/2)*L121</f>
        <v>45367166775.540001</v>
      </c>
    </row>
    <row r="123" spans="3:12" hidden="1" x14ac:dyDescent="0.25">
      <c r="C123" s="788" t="s">
        <v>1116</v>
      </c>
      <c r="D123" s="777">
        <f>'CEKLIST 003 (LAPORAN KEUANGAN))'!K150</f>
        <v>7463454854.2699995</v>
      </c>
      <c r="E123" s="775">
        <f t="shared" si="7"/>
        <v>-0.49365563491825742</v>
      </c>
      <c r="F123" s="777">
        <f>'CEKLIST 003 (LAPORAN KEUANGAN))'!M150</f>
        <v>14739879356.74</v>
      </c>
      <c r="G123" s="775">
        <f t="shared" si="8"/>
        <v>4.393902444719857E-2</v>
      </c>
      <c r="H123" s="777">
        <f>'CEKLIST 003 (LAPORAN KEUANGAN))'!O150</f>
        <v>14119483046</v>
      </c>
      <c r="I123" s="775">
        <f t="shared" si="9"/>
        <v>0</v>
      </c>
      <c r="J123" s="778">
        <f>IF('[4]Lembar Input I Keuangan'!Q137&lt;&gt;0,'[4]Lembar Input I Keuangan'!Q137,0)</f>
        <v>0</v>
      </c>
      <c r="L123" s="780">
        <f>D126</f>
        <v>3225762669.0299993</v>
      </c>
    </row>
    <row r="124" spans="3:12" hidden="1" x14ac:dyDescent="0.25">
      <c r="C124" s="788" t="s">
        <v>1166</v>
      </c>
      <c r="D124" s="777">
        <f>'CEKLIST 003 (LAPORAN KEUANGAN))'!K165</f>
        <v>4273214026.4200001</v>
      </c>
      <c r="E124" s="775">
        <f t="shared" si="7"/>
        <v>-0.48574745362561483</v>
      </c>
      <c r="F124" s="777">
        <f>'CEKLIST 003 (LAPORAN KEUANGAN))'!M165</f>
        <v>8309563183.5900002</v>
      </c>
      <c r="G124" s="775">
        <f t="shared" si="8"/>
        <v>0.14630943839627733</v>
      </c>
      <c r="H124" s="777">
        <f>'CEKLIST 003 (LAPORAN KEUANGAN))'!O165</f>
        <v>7248970396</v>
      </c>
      <c r="I124" s="775">
        <f t="shared" si="9"/>
        <v>0</v>
      </c>
      <c r="J124" s="778">
        <f>IF('[4]Lembar Input I Keuangan'!Q170&lt;&gt;0,'[4]Lembar Input I Keuangan'!Q170,0)</f>
        <v>0</v>
      </c>
      <c r="L124" s="780">
        <f>(12/2)*L123</f>
        <v>19354576014.179996</v>
      </c>
    </row>
    <row r="125" spans="3:12" hidden="1" x14ac:dyDescent="0.25">
      <c r="C125" s="788" t="s">
        <v>1286</v>
      </c>
      <c r="D125" s="777">
        <f>'CEKLIST 003 (LAPORAN KEUANGAN))'!K165</f>
        <v>4273214026.4200001</v>
      </c>
      <c r="E125" s="775">
        <f t="shared" si="7"/>
        <v>-0.48574745362561483</v>
      </c>
      <c r="F125" s="777">
        <f>'CEKLIST 003 (LAPORAN KEUANGAN))'!M165</f>
        <v>8309563183.5900002</v>
      </c>
      <c r="G125" s="775">
        <f t="shared" si="8"/>
        <v>0.14630943839627733</v>
      </c>
      <c r="H125" s="777">
        <f>'CEKLIST 003 (LAPORAN KEUANGAN))'!O165</f>
        <v>7248970396</v>
      </c>
      <c r="I125" s="775">
        <f t="shared" si="9"/>
        <v>0</v>
      </c>
      <c r="J125" s="778">
        <f>IF((+'[4]Lembar Input I Keuangan'!Q153+'[4]Lembar Input I Keuangan'!Q170)&lt;&gt;0,(+'[4]Lembar Input I Keuangan'!Q153+'[4]Lembar Input I Keuangan'!Q170),0)</f>
        <v>0</v>
      </c>
    </row>
    <row r="126" spans="3:12" hidden="1" x14ac:dyDescent="0.25">
      <c r="C126" s="788" t="s">
        <v>1177</v>
      </c>
      <c r="D126" s="777">
        <f>'CEKLIST 003 (LAPORAN KEUANGAN))'!K173</f>
        <v>3225762669.0299993</v>
      </c>
      <c r="E126" s="775">
        <f t="shared" si="7"/>
        <v>-0.49686719412959762</v>
      </c>
      <c r="F126" s="777">
        <f>'CEKLIST 003 (LAPORAN KEUANGAN))'!M173</f>
        <v>6411354281.3999996</v>
      </c>
      <c r="G126" s="775">
        <f t="shared" si="8"/>
        <v>-5.4415969293200833E-2</v>
      </c>
      <c r="H126" s="777">
        <f>'CEKLIST 003 (LAPORAN KEUANGAN))'!O173</f>
        <v>6780311504</v>
      </c>
      <c r="I126" s="775">
        <f t="shared" si="9"/>
        <v>0</v>
      </c>
      <c r="J126" s="778">
        <f>IF(+'[4]Lembar Input I Keuangan'!Q178&lt;&gt;0,+'[4]Lembar Input I Keuangan'!Q178,0)</f>
        <v>0</v>
      </c>
    </row>
    <row r="127" spans="3:12" hidden="1" x14ac:dyDescent="0.25">
      <c r="C127" s="2761"/>
      <c r="D127" s="2762"/>
      <c r="E127" s="2762"/>
      <c r="F127" s="2762"/>
      <c r="G127" s="2762"/>
      <c r="H127" s="2762"/>
      <c r="I127" s="2762"/>
      <c r="J127" s="2763"/>
    </row>
    <row r="128" spans="3:12" hidden="1" x14ac:dyDescent="0.25">
      <c r="C128" s="788" t="s">
        <v>1287</v>
      </c>
      <c r="D128" s="777">
        <f>'CEKLIST 003 (LAPORAN KEUANGAN))'!K43</f>
        <v>14146288437.83</v>
      </c>
      <c r="E128" s="775">
        <f t="shared" ref="E128:E134" si="10">IF(F128&lt;&gt;0,((D128-F128)/F128)*100%,0)</f>
        <v>0.7153278540050505</v>
      </c>
      <c r="F128" s="777">
        <f>'CEKLIST 003 (LAPORAN KEUANGAN))'!M43</f>
        <v>8246988122.3000002</v>
      </c>
      <c r="G128" s="775">
        <f t="shared" ref="G128:G134" si="11">IF(H128&lt;&gt;0,((F128-H128)/H128)*100%,0)</f>
        <v>-3.7520581306222395E-3</v>
      </c>
      <c r="H128" s="777">
        <f>'CEKLIST 003 (LAPORAN KEUANGAN))'!O43</f>
        <v>8278047839</v>
      </c>
      <c r="I128" s="775">
        <f t="shared" ref="I128:I134" si="12">IF(J128&lt;&gt;0,((H128-J128)/J128)*100%,0)</f>
        <v>0</v>
      </c>
      <c r="J128" s="778">
        <f>IF('[4]Lembar Input I Keuangan'!Q46&lt;&gt;0,'[4]Lembar Input I Keuangan'!Q46,0)</f>
        <v>0</v>
      </c>
    </row>
    <row r="129" spans="2:10" hidden="1" x14ac:dyDescent="0.25">
      <c r="C129" s="788" t="s">
        <v>1288</v>
      </c>
      <c r="D129" s="777">
        <f>'CEKLIST 003 (LAPORAN KEUANGAN))'!K69</f>
        <v>54858619.079999998</v>
      </c>
      <c r="E129" s="775">
        <f t="shared" si="10"/>
        <v>-0.70111119259380816</v>
      </c>
      <c r="F129" s="777">
        <f>'CEKLIST 003 (LAPORAN KEUANGAN))'!M69</f>
        <v>183541898.25999999</v>
      </c>
      <c r="G129" s="775">
        <f t="shared" si="11"/>
        <v>-0.28931782337345385</v>
      </c>
      <c r="H129" s="777">
        <f>'CEKLIST 003 (LAPORAN KEUANGAN))'!O69</f>
        <v>258261575</v>
      </c>
      <c r="I129" s="775">
        <f t="shared" si="12"/>
        <v>0</v>
      </c>
      <c r="J129" s="778">
        <f>IF('[4]Lembar Input I Keuangan'!Q72&lt;&gt;0,'[4]Lembar Input I Keuangan'!Q72,0)</f>
        <v>0</v>
      </c>
    </row>
    <row r="130" spans="2:10" hidden="1" x14ac:dyDescent="0.25">
      <c r="C130" s="788" t="s">
        <v>1233</v>
      </c>
      <c r="D130" s="777">
        <f>IF(PPAP!F28&lt;&gt;0,PPAP!F28,0)</f>
        <v>532671275.54519999</v>
      </c>
      <c r="E130" s="775">
        <f t="shared" si="10"/>
        <v>0.46372541306858084</v>
      </c>
      <c r="F130" s="777">
        <f>IF(PPAP!G28&lt;&gt;0,PPAP!G28,0)</f>
        <v>363914755.31500006</v>
      </c>
      <c r="G130" s="775">
        <f t="shared" si="11"/>
        <v>-4.0243189306373897E-2</v>
      </c>
      <c r="H130" s="777">
        <f>IF(PPAP!H28&lt;&gt;0,PPAP!H28,0)</f>
        <v>379173923.29000002</v>
      </c>
      <c r="I130" s="775" t="e">
        <f t="shared" si="12"/>
        <v>#REF!</v>
      </c>
      <c r="J130" s="778" t="e">
        <f>IF(#REF!&lt;&gt;0,#REF!,0)</f>
        <v>#REF!</v>
      </c>
    </row>
    <row r="131" spans="2:10" hidden="1" x14ac:dyDescent="0.25">
      <c r="C131" s="788" t="s">
        <v>1289</v>
      </c>
      <c r="D131" s="777">
        <f>IF(PPAP!F21&lt;&gt;0,PPAP!F21,0)</f>
        <v>67117059283.629997</v>
      </c>
      <c r="E131" s="775">
        <f t="shared" si="10"/>
        <v>4.1071316492372875E-2</v>
      </c>
      <c r="F131" s="777">
        <f>IF(PPAP!G21&gt;0,PPAP!G21,0)</f>
        <v>64469223405.139999</v>
      </c>
      <c r="G131" s="775">
        <f t="shared" si="11"/>
        <v>8.0341352773705327E-2</v>
      </c>
      <c r="H131" s="777">
        <f>IF(PPAP!H21&lt;&gt;0,PPAP!H21,0)</f>
        <v>59674864097</v>
      </c>
      <c r="I131" s="775" t="e">
        <f t="shared" si="12"/>
        <v>#REF!</v>
      </c>
      <c r="J131" s="778" t="e">
        <f>IF(#REF!&lt;&gt;0,#REF!,0)</f>
        <v>#REF!</v>
      </c>
    </row>
    <row r="132" spans="2:10" hidden="1" x14ac:dyDescent="0.25">
      <c r="B132" s="767" t="s">
        <v>1290</v>
      </c>
      <c r="C132" s="788" t="s">
        <v>1224</v>
      </c>
      <c r="D132" s="777">
        <f>IF(KPMM!G27&lt;&gt;0,KPMM!G27,0)</f>
        <v>33316739599.934998</v>
      </c>
      <c r="E132" s="775">
        <f t="shared" si="10"/>
        <v>0.10467922498280771</v>
      </c>
      <c r="F132" s="777">
        <f>IF(KPMM!H27&lt;&gt;0,KPMM!H27,0)</f>
        <v>30159650735.220001</v>
      </c>
      <c r="G132" s="775">
        <f t="shared" si="11"/>
        <v>0.1843979438077146</v>
      </c>
      <c r="H132" s="777">
        <f>IF(KPMM!I27&lt;&gt;0,KPMM!I27,0)</f>
        <v>25464119465</v>
      </c>
      <c r="I132" s="775" t="e">
        <f t="shared" si="12"/>
        <v>#REF!</v>
      </c>
      <c r="J132" s="778" t="e">
        <f>IF(#REF!&lt;&gt;0,#REF!,0)</f>
        <v>#REF!</v>
      </c>
    </row>
    <row r="133" spans="2:10" hidden="1" x14ac:dyDescent="0.25">
      <c r="C133" s="788" t="s">
        <v>1291</v>
      </c>
      <c r="D133" s="777">
        <f>IF(KPMM!G41&lt;&gt;0,KPMM!G41,0)</f>
        <v>34046069887.510574</v>
      </c>
      <c r="E133" s="775">
        <f t="shared" si="10"/>
        <v>0.10255060571176207</v>
      </c>
      <c r="F133" s="777">
        <f>IF(KPMM!H41&lt;&gt;0,KPMM!H41,0)</f>
        <v>30879371623.52</v>
      </c>
      <c r="G133" s="775">
        <f t="shared" si="11"/>
        <v>0.18076412230745478</v>
      </c>
      <c r="H133" s="777">
        <f>IF(KPMM!I41&lt;&gt;0,KPMM!I41,0)</f>
        <v>26152023964.935001</v>
      </c>
      <c r="I133" s="775" t="e">
        <f t="shared" si="12"/>
        <v>#REF!</v>
      </c>
      <c r="J133" s="778" t="e">
        <f>IF(#REF!&lt;&gt;0,#REF!,0)</f>
        <v>#REF!</v>
      </c>
    </row>
    <row r="134" spans="2:10" ht="15.75" hidden="1" thickBot="1" x14ac:dyDescent="0.3">
      <c r="C134" s="827" t="s">
        <v>1292</v>
      </c>
      <c r="D134" s="828">
        <f>IF(PPAP!F65&lt;&gt;0,PPAP!F65,0)</f>
        <v>58346423006.046005</v>
      </c>
      <c r="E134" s="829">
        <f t="shared" si="10"/>
        <v>-2.2613209670279792E-2</v>
      </c>
      <c r="F134" s="828">
        <f>IF(PPAP!G65&lt;&gt;0,PPAP!G65,0)</f>
        <v>59696349063.979996</v>
      </c>
      <c r="G134" s="829">
        <f t="shared" si="11"/>
        <v>8.474993748443084E-2</v>
      </c>
      <c r="H134" s="828">
        <f>IF(PPAP!H65&lt;&gt;0,PPAP!H65,0)</f>
        <v>55032359994.800003</v>
      </c>
      <c r="I134" s="829" t="e">
        <f t="shared" si="12"/>
        <v>#REF!</v>
      </c>
      <c r="J134" s="830" t="e">
        <f>IF(#REF!&lt;&gt;0,#REF!,0)</f>
        <v>#REF!</v>
      </c>
    </row>
    <row r="135" spans="2:10" hidden="1" x14ac:dyDescent="0.25"/>
    <row r="136" spans="2:10" hidden="1" x14ac:dyDescent="0.25">
      <c r="C136" s="831"/>
      <c r="D136" s="831"/>
      <c r="E136" s="831"/>
      <c r="F136" s="831"/>
      <c r="G136" s="831"/>
      <c r="H136" s="831"/>
      <c r="I136" s="831"/>
      <c r="J136" s="831"/>
    </row>
    <row r="137" spans="2:10" hidden="1" x14ac:dyDescent="0.25">
      <c r="C137" s="832" t="s">
        <v>1293</v>
      </c>
      <c r="D137" s="833"/>
      <c r="E137" s="834" t="s">
        <v>941</v>
      </c>
      <c r="F137" s="835">
        <f>DATE('[4]Lembar Input I Keuangan'!$F$33,'[4]Lembar Input I Keuangan'!$E$33,'[4]Lembar Input I Keuangan'!$D$33)</f>
        <v>42369</v>
      </c>
      <c r="G137" s="834" t="s">
        <v>941</v>
      </c>
      <c r="H137" s="835">
        <f>DATE('[4]Lembar Input I Keuangan'!$F$34,'[4]Lembar Input I Keuangan'!$E$34,'[4]Lembar Input I Keuangan'!$D$34)</f>
        <v>42004</v>
      </c>
      <c r="I137" s="834" t="s">
        <v>941</v>
      </c>
      <c r="J137" s="835">
        <f>DATE('[4]Lembar Input I Keuangan'!$F$35,'[4]Lembar Input I Keuangan'!$E$35,'[4]Lembar Input I Keuangan'!$D$35)</f>
        <v>366</v>
      </c>
    </row>
    <row r="138" spans="2:10" hidden="1" x14ac:dyDescent="0.25">
      <c r="C138" s="836" t="s">
        <v>1294</v>
      </c>
      <c r="D138" s="837"/>
      <c r="E138" s="836"/>
      <c r="F138" s="836"/>
      <c r="G138" s="836"/>
      <c r="H138" s="836"/>
      <c r="I138" s="836"/>
      <c r="J138" s="836"/>
    </row>
    <row r="139" spans="2:10" hidden="1" x14ac:dyDescent="0.25">
      <c r="C139" s="836" t="s">
        <v>1295</v>
      </c>
      <c r="D139" s="837">
        <f>IF('CEKLIST 004 (RASIO KEUANGAN)'!D98/'CEKLIST 004 (RASIO KEUANGAN)'!$D$97&lt;&gt;0,'CEKLIST 004 (RASIO KEUANGAN)'!D98/'CEKLIST 004 (RASIO KEUANGAN)'!$D$97,0)</f>
        <v>1.3501436520188117E-2</v>
      </c>
      <c r="E139" s="838"/>
      <c r="F139" s="837">
        <f>IF('CEKLIST 004 (RASIO KEUANGAN)'!F98/'CEKLIST 004 (RASIO KEUANGAN)'!$D$97&lt;&gt;0,'CEKLIST 004 (RASIO KEUANGAN)'!F98/'CEKLIST 004 (RASIO KEUANGAN)'!$F$97,0)</f>
        <v>7.2731722234602733E-3</v>
      </c>
      <c r="G139" s="836"/>
      <c r="H139" s="837">
        <f>IF('CEKLIST 004 (RASIO KEUANGAN)'!H98/'CEKLIST 004 (RASIO KEUANGAN)'!$D$97&lt;&gt;0,'CEKLIST 004 (RASIO KEUANGAN)'!H98/'CEKLIST 004 (RASIO KEUANGAN)'!$H$97,0)</f>
        <v>1.0333896254076415E-2</v>
      </c>
      <c r="I139" s="836"/>
      <c r="J139" s="837">
        <f>IF('CEKLIST 004 (RASIO KEUANGAN)'!J98/'CEKLIST 004 (RASIO KEUANGAN)'!$D$97&lt;&gt;0,'CEKLIST 004 (RASIO KEUANGAN)'!J98/'CEKLIST 004 (RASIO KEUANGAN)'!$J$97,0)</f>
        <v>0</v>
      </c>
    </row>
    <row r="140" spans="2:10" hidden="1" x14ac:dyDescent="0.25">
      <c r="C140" s="836" t="s">
        <v>1296</v>
      </c>
      <c r="D140" s="837">
        <f>IF('CEKLIST 004 (RASIO KEUANGAN)'!D99/'CEKLIST 004 (RASIO KEUANGAN)'!$D$97&lt;&gt;0,'CEKLIST 004 (RASIO KEUANGAN)'!D99/'CEKLIST 004 (RASIO KEUANGAN)'!$D$97,0)</f>
        <v>1.1395773255164218E-2</v>
      </c>
      <c r="E140" s="838"/>
      <c r="F140" s="837">
        <f>IF('CEKLIST 004 (RASIO KEUANGAN)'!F99/'CEKLIST 004 (RASIO KEUANGAN)'!$D$97&lt;&gt;0,'CEKLIST 004 (RASIO KEUANGAN)'!F99/'CEKLIST 004 (RASIO KEUANGAN)'!$F$97,0)</f>
        <v>4.0100006494905695E-3</v>
      </c>
      <c r="G140" s="836"/>
      <c r="H140" s="837">
        <f>IF('CEKLIST 004 (RASIO KEUANGAN)'!H99/'CEKLIST 004 (RASIO KEUANGAN)'!$D$97&lt;&gt;0,'CEKLIST 004 (RASIO KEUANGAN)'!H99/'CEKLIST 004 (RASIO KEUANGAN)'!$H$97,0)</f>
        <v>3.6967257280342961E-3</v>
      </c>
      <c r="I140" s="836"/>
      <c r="J140" s="837">
        <f>IF('CEKLIST 004 (RASIO KEUANGAN)'!J99/'CEKLIST 004 (RASIO KEUANGAN)'!$D$97&lt;&gt;0,'CEKLIST 004 (RASIO KEUANGAN)'!J99/'CEKLIST 004 (RASIO KEUANGAN)'!$J$97,0)</f>
        <v>0</v>
      </c>
    </row>
    <row r="141" spans="2:10" hidden="1" x14ac:dyDescent="0.25">
      <c r="C141" s="836" t="s">
        <v>1032</v>
      </c>
      <c r="D141" s="837">
        <f>IF('CEKLIST 004 (RASIO KEUANGAN)'!D100/'CEKLIST 004 (RASIO KEUANGAN)'!$D$97&lt;&gt;0,'CEKLIST 004 (RASIO KEUANGAN)'!D100/'CEKLIST 004 (RASIO KEUANGAN)'!$D$97,0)</f>
        <v>4.3786250970971143E-2</v>
      </c>
      <c r="E141" s="836"/>
      <c r="F141" s="837">
        <f>IF('CEKLIST 004 (RASIO KEUANGAN)'!F100/'CEKLIST 004 (RASIO KEUANGAN)'!$D$97&lt;&gt;0,'CEKLIST 004 (RASIO KEUANGAN)'!F100/'CEKLIST 004 (RASIO KEUANGAN)'!$F$97,0)</f>
        <v>4.1344267627321955E-2</v>
      </c>
      <c r="G141" s="836"/>
      <c r="H141" s="837">
        <f>IF('CEKLIST 004 (RASIO KEUANGAN)'!H100/'CEKLIST 004 (RASIO KEUANGAN)'!$D$97&lt;&gt;0,'CEKLIST 004 (RASIO KEUANGAN)'!H100/'CEKLIST 004 (RASIO KEUANGAN)'!$H$97,0)</f>
        <v>4.2400980326496238E-2</v>
      </c>
      <c r="I141" s="836"/>
      <c r="J141" s="837">
        <f>IF('CEKLIST 004 (RASIO KEUANGAN)'!J100/'CEKLIST 004 (RASIO KEUANGAN)'!$D$97&lt;&gt;0,'CEKLIST 004 (RASIO KEUANGAN)'!J100/'CEKLIST 004 (RASIO KEUANGAN)'!$H$97,0)</f>
        <v>0</v>
      </c>
    </row>
    <row r="142" spans="2:10" hidden="1" x14ac:dyDescent="0.25">
      <c r="C142" s="836"/>
      <c r="D142" s="836"/>
      <c r="E142" s="836"/>
      <c r="F142" s="836"/>
      <c r="G142" s="836"/>
      <c r="H142" s="836"/>
      <c r="I142" s="836"/>
      <c r="J142" s="836"/>
    </row>
    <row r="143" spans="2:10" hidden="1" x14ac:dyDescent="0.25">
      <c r="C143" s="836" t="s">
        <v>1297</v>
      </c>
      <c r="D143" s="836"/>
      <c r="E143" s="836"/>
      <c r="F143" s="836"/>
      <c r="G143" s="836"/>
      <c r="H143" s="839"/>
      <c r="I143" s="836"/>
      <c r="J143" s="836"/>
    </row>
    <row r="144" spans="2:10" hidden="1" x14ac:dyDescent="0.25">
      <c r="C144" s="840" t="s">
        <v>1298</v>
      </c>
      <c r="D144" s="837">
        <f>IF('[4]Lembar Input I Keuangan'!K44&lt;&gt;0,'[4]Lembar Input I Keuangan'!K44/'CEKLIST 004 (RASIO KEUANGAN)'!D150,0)</f>
        <v>2.2668041667248957E-2</v>
      </c>
      <c r="E144" s="836"/>
      <c r="F144" s="837">
        <f>IF('[4]Lembar Input I Keuangan'!M44&lt;&gt;0,'[4]Lembar Input I Keuangan'!M44/'CEKLIST 004 (RASIO KEUANGAN)'!F150,0)</f>
        <v>5.2411146694287545E-3</v>
      </c>
      <c r="G144" s="836"/>
      <c r="H144" s="837">
        <f>IF('[4]Lembar Input I Keuangan'!O44&lt;&gt;0,'[4]Lembar Input I Keuangan'!O44/'CEKLIST 004 (RASIO KEUANGAN)'!H150,0)</f>
        <v>1.9258807725611161E-2</v>
      </c>
      <c r="I144" s="836"/>
      <c r="J144" s="837">
        <f>IF('[4]Lembar Input I Keuangan'!Q44&lt;&gt;0,'[4]Lembar Input I Keuangan'!Q44/'CEKLIST 004 (RASIO KEUANGAN)'!J150,0)</f>
        <v>0</v>
      </c>
    </row>
    <row r="145" spans="3:10" hidden="1" x14ac:dyDescent="0.25">
      <c r="C145" s="840" t="s">
        <v>1299</v>
      </c>
      <c r="D145" s="837"/>
      <c r="E145" s="836"/>
      <c r="F145" s="837"/>
      <c r="G145" s="836"/>
      <c r="H145" s="837"/>
      <c r="I145" s="836"/>
      <c r="J145" s="837"/>
    </row>
    <row r="146" spans="3:10" hidden="1" x14ac:dyDescent="0.25">
      <c r="C146" s="840" t="s">
        <v>1300</v>
      </c>
      <c r="D146" s="837">
        <f>IF('[4]Lembar Input I Keuangan'!K47&lt;&gt;0,'[4]Lembar Input I Keuangan'!K47/'CEKLIST 004 (RASIO KEUANGAN)'!D150,0)</f>
        <v>9.2868863591214504E-2</v>
      </c>
      <c r="E146" s="836"/>
      <c r="F146" s="837">
        <f>IF('[4]Lembar Input I Keuangan'!M47&lt;&gt;0,'[4]Lembar Input I Keuangan'!M47/'CEKLIST 004 (RASIO KEUANGAN)'!F150,0)</f>
        <v>0.14307853824201835</v>
      </c>
      <c r="G146" s="836"/>
      <c r="H146" s="837">
        <f>IF('[4]Lembar Input I Keuangan'!O47&lt;&gt;0,'[4]Lembar Input I Keuangan'!O47/'CEKLIST 004 (RASIO KEUANGAN)'!H150,0)</f>
        <v>0.14856388217046332</v>
      </c>
      <c r="I146" s="836"/>
      <c r="J146" s="837">
        <f>IF('[4]Lembar Input I Keuangan'!Q47&lt;&gt;0,'[4]Lembar Input I Keuangan'!Q47/'CEKLIST 004 (RASIO KEUANGAN)'!J150,0)</f>
        <v>0</v>
      </c>
    </row>
    <row r="147" spans="3:10" hidden="1" x14ac:dyDescent="0.25">
      <c r="C147" s="840" t="s">
        <v>1301</v>
      </c>
      <c r="D147" s="837">
        <f>IF('[4]Lembar Input I Keuangan'!K48&lt;&gt;0,'[4]Lembar Input I Keuangan'!K48/'CEKLIST 004 (RASIO KEUANGAN)'!D150,0)</f>
        <v>0.6645947518353168</v>
      </c>
      <c r="E147" s="836"/>
      <c r="F147" s="837">
        <f>IF('[4]Lembar Input I Keuangan'!M48&lt;&gt;0,'[4]Lembar Input I Keuangan'!M48/'CEKLIST 004 (RASIO KEUANGAN)'!F150,0)</f>
        <v>0.48212435289078809</v>
      </c>
      <c r="G147" s="836"/>
      <c r="H147" s="837">
        <f>IF('[4]Lembar Input I Keuangan'!O48&lt;&gt;0,'[4]Lembar Input I Keuangan'!O48/'CEKLIST 004 (RASIO KEUANGAN)'!H150,0)</f>
        <v>0.3289366489498981</v>
      </c>
      <c r="I147" s="836"/>
      <c r="J147" s="837">
        <f>IF('[4]Lembar Input I Keuangan'!Q48&lt;&gt;0,'[4]Lembar Input I Keuangan'!Q48/'CEKLIST 004 (RASIO KEUANGAN)'!J150,0)</f>
        <v>0</v>
      </c>
    </row>
    <row r="148" spans="3:10" hidden="1" x14ac:dyDescent="0.25">
      <c r="C148" s="840" t="s">
        <v>1271</v>
      </c>
      <c r="D148" s="837">
        <f>IF('[4]Lembar Input I Keuangan'!K49&lt;&gt;0,'[4]Lembar Input I Keuangan'!K49/'CEKLIST 004 (RASIO KEUANGAN)'!D150,0)</f>
        <v>0.11048389113615416</v>
      </c>
      <c r="E148" s="836"/>
      <c r="F148" s="837">
        <f>IF('[4]Lembar Input I Keuangan'!M49&lt;&gt;0,'[4]Lembar Input I Keuangan'!M49/'CEKLIST 004 (RASIO KEUANGAN)'!F150,0)</f>
        <v>0.24888470563475659</v>
      </c>
      <c r="G148" s="836"/>
      <c r="H148" s="837">
        <f>IF('[4]Lembar Input I Keuangan'!O49&lt;&gt;0,'[4]Lembar Input I Keuangan'!O49/'CEKLIST 004 (RASIO KEUANGAN)'!H150,0)</f>
        <v>0.40020989271376228</v>
      </c>
      <c r="I148" s="836"/>
      <c r="J148" s="837">
        <f>IF('[4]Lembar Input I Keuangan'!Q49&lt;&gt;0,'[4]Lembar Input I Keuangan'!Q49/'CEKLIST 004 (RASIO KEUANGAN)'!J151,0)</f>
        <v>0</v>
      </c>
    </row>
    <row r="149" spans="3:10" hidden="1" x14ac:dyDescent="0.25">
      <c r="C149" s="840" t="s">
        <v>1302</v>
      </c>
      <c r="D149" s="837">
        <f>IF('[4]Lembar Input I Keuangan'!K51&lt;&gt;0,'[4]Lembar Input I Keuangan'!K51/'CEKLIST 004 (RASIO KEUANGAN)'!D150,0)</f>
        <v>-3.8753932069876922E-3</v>
      </c>
      <c r="E149" s="836"/>
      <c r="F149" s="837">
        <f>IF('[4]Lembar Input I Keuangan'!M51&lt;&gt;0,'[4]Lembar Input I Keuangan'!M51/'CEKLIST 004 (RASIO KEUANGAN)'!F150,0)</f>
        <v>-3.6550452427101692E-3</v>
      </c>
      <c r="G149" s="836"/>
      <c r="H149" s="837">
        <f>IF('[4]Lembar Input I Keuangan'!O51&lt;&gt;0,'[4]Lembar Input I Keuangan'!O51/'CEKLIST 004 (RASIO KEUANGAN)'!H150,0)</f>
        <v>-3.6457326905389425E-3</v>
      </c>
      <c r="I149" s="836"/>
      <c r="J149" s="837"/>
    </row>
    <row r="150" spans="3:10" hidden="1" x14ac:dyDescent="0.25">
      <c r="C150" s="831" t="s">
        <v>1303</v>
      </c>
      <c r="D150" s="841">
        <f>'[4]Lembar Input I Keuangan'!K44+'[4]Lembar Input I Keuangan'!K46</f>
        <v>32402913793</v>
      </c>
      <c r="E150" s="831"/>
      <c r="F150" s="841">
        <f>'[4]Lembar Input I Keuangan'!M44+'[4]Lembar Input I Keuangan'!M46</f>
        <v>28446906699</v>
      </c>
      <c r="G150" s="831"/>
      <c r="H150" s="841">
        <f>'[4]Lembar Input I Keuangan'!O44+'[4]Lembar Input I Keuangan'!O46</f>
        <v>28684948096</v>
      </c>
      <c r="I150" s="831"/>
      <c r="J150" s="841">
        <f>'[4]Lembar Input I Keuangan'!Q44+'[4]Lembar Input I Keuangan'!Q46</f>
        <v>0</v>
      </c>
    </row>
    <row r="151" spans="3:10" hidden="1" x14ac:dyDescent="0.25">
      <c r="C151" s="831"/>
      <c r="D151" s="831"/>
      <c r="E151" s="831"/>
      <c r="F151" s="831"/>
      <c r="G151" s="831"/>
      <c r="H151" s="831"/>
      <c r="I151" s="831"/>
      <c r="J151" s="831"/>
    </row>
    <row r="152" spans="3:10" hidden="1" x14ac:dyDescent="0.25">
      <c r="C152" s="831" t="s">
        <v>1304</v>
      </c>
      <c r="D152" s="841">
        <f>'CEKLIST 004 (RASIO KEUANGAN)'!D105-'CEKLIST 004 (RASIO KEUANGAN)'!F105</f>
        <v>3205000000</v>
      </c>
      <c r="E152" s="841"/>
      <c r="F152" s="841">
        <f>D105-F105</f>
        <v>3205000000</v>
      </c>
      <c r="G152" s="841"/>
      <c r="H152" s="831"/>
      <c r="I152" s="841"/>
      <c r="J152" s="831"/>
    </row>
    <row r="153" spans="3:10" hidden="1" x14ac:dyDescent="0.25">
      <c r="C153" s="831"/>
      <c r="D153" s="841">
        <f>'CEKLIST 004 (RASIO KEUANGAN)'!F105-'CEKLIST 004 (RASIO KEUANGAN)'!H105</f>
        <v>856900000</v>
      </c>
      <c r="E153" s="831"/>
      <c r="F153" s="841">
        <f>F105-H105</f>
        <v>856900000</v>
      </c>
      <c r="G153" s="831"/>
      <c r="H153" s="831"/>
      <c r="I153" s="831"/>
      <c r="J153" s="831"/>
    </row>
    <row r="154" spans="3:10" x14ac:dyDescent="0.25">
      <c r="C154" s="831"/>
      <c r="D154" s="841">
        <f>(D152+D153)/2</f>
        <v>2030950000</v>
      </c>
      <c r="E154" s="831"/>
      <c r="F154" s="841">
        <f>H105-J105</f>
        <v>8228500000</v>
      </c>
      <c r="G154" s="831"/>
      <c r="H154" s="831"/>
      <c r="I154" s="831"/>
      <c r="J154" s="831"/>
    </row>
    <row r="155" spans="3:10" x14ac:dyDescent="0.25">
      <c r="C155" s="831"/>
      <c r="D155" s="831"/>
      <c r="E155" s="831"/>
      <c r="F155" s="842">
        <f>(SUM(F152:F154))/3</f>
        <v>4096800000</v>
      </c>
      <c r="G155" s="831"/>
      <c r="H155" s="831"/>
      <c r="I155" s="831"/>
      <c r="J155" s="831"/>
    </row>
    <row r="156" spans="3:10" x14ac:dyDescent="0.25">
      <c r="C156" s="831"/>
      <c r="D156" s="831"/>
      <c r="E156" s="831"/>
      <c r="F156" s="831"/>
      <c r="G156" s="831"/>
      <c r="H156" s="831"/>
      <c r="I156" s="831"/>
      <c r="J156" s="831"/>
    </row>
    <row r="157" spans="3:10" x14ac:dyDescent="0.25">
      <c r="C157" s="831"/>
      <c r="D157" s="831"/>
      <c r="E157" s="831"/>
      <c r="F157" s="831"/>
      <c r="G157" s="831"/>
      <c r="H157" s="831"/>
      <c r="I157" s="831"/>
      <c r="J157" s="831"/>
    </row>
    <row r="158" spans="3:10" x14ac:dyDescent="0.25">
      <c r="C158" s="831"/>
      <c r="D158" s="831"/>
      <c r="E158" s="831"/>
      <c r="F158" s="831"/>
      <c r="G158" s="831"/>
      <c r="H158" s="831"/>
      <c r="I158" s="831"/>
      <c r="J158" s="831"/>
    </row>
  </sheetData>
  <mergeCells count="1">
    <mergeCell ref="C127:J127"/>
  </mergeCells>
  <pageMargins left="0.69861111111111096" right="0.69861111111111096" top="0.41944444444444401" bottom="0.6" header="0.3" footer="0.3"/>
  <pageSetup paperSize="9" scale="63" orientation="portrait" r:id="rId1"/>
  <headerFooter alignWithMargins="0"/>
  <ignoredErrors>
    <ignoredError sqref="F103:F108 H103:H108 F111:F118 H111:H118 F121:F126 H121:H126 L123 F128:F133 H128:H133 I4:I5 E5:H6" formula="1"/>
    <ignoredError sqref="I130:J132 I133 J4 J6" evalError="1"/>
    <ignoredError sqref="I6" evalError="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5"/>
  <sheetViews>
    <sheetView showGridLines="0" topLeftCell="A28" workbookViewId="0">
      <selection activeCell="G48" sqref="G48"/>
    </sheetView>
  </sheetViews>
  <sheetFormatPr defaultRowHeight="14.25" x14ac:dyDescent="0.2"/>
  <cols>
    <col min="1" max="1" width="1.42578125" style="844" customWidth="1"/>
    <col min="2" max="2" width="9.140625" style="844" customWidth="1"/>
    <col min="3" max="3" width="4.5703125" style="844" customWidth="1"/>
    <col min="4" max="4" width="32" style="844" customWidth="1"/>
    <col min="5" max="5" width="7.85546875" style="844" customWidth="1"/>
    <col min="6" max="6" width="18.28515625" style="844" bestFit="1" customWidth="1"/>
    <col min="7" max="7" width="18.85546875" style="844" customWidth="1"/>
    <col min="8" max="8" width="18.85546875" style="844" bestFit="1" customWidth="1"/>
    <col min="9" max="9" width="18.85546875" style="844" hidden="1" customWidth="1"/>
    <col min="10" max="10" width="9.140625" style="844"/>
    <col min="11" max="11" width="15.7109375" style="844" bestFit="1" customWidth="1"/>
    <col min="12" max="16384" width="9.140625" style="844"/>
  </cols>
  <sheetData>
    <row r="1" spans="2:9" ht="15" thickBot="1" x14ac:dyDescent="0.25"/>
    <row r="2" spans="2:9" ht="15.75" thickBot="1" x14ac:dyDescent="0.3">
      <c r="B2" s="845"/>
      <c r="C2" s="921" t="s">
        <v>1498</v>
      </c>
      <c r="D2" s="922"/>
      <c r="E2" s="922"/>
      <c r="F2" s="923"/>
      <c r="G2" s="924" t="str">
        <f>'CEKLIST 002 (BIO DATA)'!D15</f>
        <v>PD. BPR DOMPU</v>
      </c>
      <c r="H2" s="925"/>
      <c r="I2" s="925"/>
    </row>
    <row r="4" spans="2:9" x14ac:dyDescent="0.2">
      <c r="B4" s="2787" t="s">
        <v>103</v>
      </c>
      <c r="C4" s="2789" t="s">
        <v>1375</v>
      </c>
      <c r="D4" s="2790"/>
      <c r="E4" s="2793" t="s">
        <v>1326</v>
      </c>
      <c r="F4" s="2794"/>
      <c r="G4" s="2794"/>
      <c r="H4" s="2794"/>
      <c r="I4" s="2795"/>
    </row>
    <row r="5" spans="2:9" ht="15" x14ac:dyDescent="0.25">
      <c r="B5" s="2788"/>
      <c r="C5" s="2791"/>
      <c r="D5" s="2792"/>
      <c r="E5" s="926"/>
      <c r="F5" s="927">
        <f>'CEKLIST 002 (BIO DATA)'!D11</f>
        <v>43281</v>
      </c>
      <c r="G5" s="927">
        <f>'CEKLIST 002 (BIO DATA)'!D10</f>
        <v>43100</v>
      </c>
      <c r="H5" s="927">
        <f>'CEKLIST 002 (BIO DATA)'!D9</f>
        <v>42735</v>
      </c>
      <c r="I5" s="927">
        <f>DATE('[5]Lembar Input I Keuangan'!$F$35,'[5]Lembar Input I Keuangan'!$E$35,'[5]Lembar Input I Keuangan'!$D$35)</f>
        <v>366</v>
      </c>
    </row>
    <row r="6" spans="2:9" x14ac:dyDescent="0.2">
      <c r="B6" s="740"/>
      <c r="D6" s="733"/>
      <c r="E6" s="751"/>
      <c r="F6" s="740"/>
      <c r="G6" s="740"/>
      <c r="H6" s="740"/>
      <c r="I6" s="740"/>
    </row>
    <row r="7" spans="2:9" x14ac:dyDescent="0.2">
      <c r="B7" s="749" t="s">
        <v>247</v>
      </c>
      <c r="C7" s="733" t="s">
        <v>1376</v>
      </c>
      <c r="E7" s="751"/>
      <c r="F7" s="856">
        <v>0</v>
      </c>
      <c r="G7" s="856">
        <v>0</v>
      </c>
      <c r="H7" s="856">
        <v>0</v>
      </c>
      <c r="I7" s="856">
        <v>0</v>
      </c>
    </row>
    <row r="8" spans="2:9" x14ac:dyDescent="0.2">
      <c r="B8" s="749"/>
      <c r="D8" s="733"/>
      <c r="E8" s="751"/>
      <c r="F8" s="740"/>
      <c r="G8" s="740"/>
      <c r="H8" s="740"/>
      <c r="I8" s="740"/>
    </row>
    <row r="9" spans="2:9" x14ac:dyDescent="0.2">
      <c r="B9" s="928" t="s">
        <v>248</v>
      </c>
      <c r="C9" s="929" t="s">
        <v>1377</v>
      </c>
      <c r="D9" s="863"/>
      <c r="E9" s="930"/>
      <c r="F9" s="865">
        <f>SUM(F10:F13)</f>
        <v>14146288437.83</v>
      </c>
      <c r="G9" s="865">
        <f>SUM(G10:G13)</f>
        <v>8246988122.3000002</v>
      </c>
      <c r="H9" s="865">
        <f>SUM(H10:H13)</f>
        <v>8278047839</v>
      </c>
      <c r="I9" s="865">
        <f>SUM(I10:I13)</f>
        <v>0</v>
      </c>
    </row>
    <row r="10" spans="2:9" x14ac:dyDescent="0.2">
      <c r="B10" s="931"/>
      <c r="C10" s="756" t="s">
        <v>1025</v>
      </c>
      <c r="D10" s="756"/>
      <c r="E10" s="751"/>
      <c r="F10" s="870">
        <f>'CEKLIST 003 (LAPORAN KEUANGAN))'!K43</f>
        <v>14146288437.83</v>
      </c>
      <c r="G10" s="870">
        <f>'CEKLIST 003 (LAPORAN KEUANGAN))'!M43</f>
        <v>8246988122.3000002</v>
      </c>
      <c r="H10" s="870">
        <f>'CEKLIST 003 (LAPORAN KEUANGAN))'!O43</f>
        <v>8278047839</v>
      </c>
      <c r="I10" s="870">
        <f>'[5]Lembar Input I Keuangan'!Q46</f>
        <v>0</v>
      </c>
    </row>
    <row r="11" spans="2:9" x14ac:dyDescent="0.2">
      <c r="B11" s="749"/>
      <c r="C11" s="733" t="s">
        <v>1028</v>
      </c>
      <c r="D11" s="733"/>
      <c r="E11" s="751"/>
      <c r="F11" s="751">
        <v>0</v>
      </c>
      <c r="G11" s="751">
        <v>0</v>
      </c>
      <c r="H11" s="751">
        <v>0</v>
      </c>
      <c r="I11" s="751"/>
    </row>
    <row r="12" spans="2:9" x14ac:dyDescent="0.2">
      <c r="B12" s="749"/>
      <c r="C12" s="733" t="s">
        <v>1030</v>
      </c>
      <c r="D12" s="733"/>
      <c r="E12" s="751"/>
      <c r="F12" s="751">
        <v>0</v>
      </c>
      <c r="G12" s="751">
        <v>0</v>
      </c>
      <c r="H12" s="751">
        <v>0</v>
      </c>
      <c r="I12" s="751"/>
    </row>
    <row r="13" spans="2:9" x14ac:dyDescent="0.2">
      <c r="B13" s="749"/>
      <c r="C13" s="733" t="s">
        <v>1032</v>
      </c>
      <c r="D13" s="733"/>
      <c r="E13" s="751"/>
      <c r="F13" s="751">
        <v>0</v>
      </c>
      <c r="G13" s="751">
        <v>0</v>
      </c>
      <c r="H13" s="751">
        <v>0</v>
      </c>
      <c r="I13" s="751"/>
    </row>
    <row r="14" spans="2:9" x14ac:dyDescent="0.2">
      <c r="B14" s="749"/>
      <c r="D14" s="733"/>
      <c r="E14" s="751"/>
      <c r="F14" s="751"/>
      <c r="G14" s="751"/>
      <c r="H14" s="751"/>
      <c r="I14" s="751"/>
    </row>
    <row r="15" spans="2:9" x14ac:dyDescent="0.2">
      <c r="B15" s="932" t="s">
        <v>338</v>
      </c>
      <c r="C15" s="929" t="s">
        <v>1378</v>
      </c>
      <c r="D15" s="863"/>
      <c r="E15" s="930"/>
      <c r="F15" s="865">
        <f>SUM(PPAP!F16:F19)</f>
        <v>52970770845.799995</v>
      </c>
      <c r="G15" s="865">
        <f>SUM(PPAP!G16:G19)</f>
        <v>56222235282.839996</v>
      </c>
      <c r="H15" s="865">
        <f>SUM(PPAP!H16:H19)</f>
        <v>51396816258</v>
      </c>
      <c r="I15" s="865">
        <f>SUM(PPAP!I16:I19)</f>
        <v>0</v>
      </c>
    </row>
    <row r="16" spans="2:9" x14ac:dyDescent="0.2">
      <c r="B16" s="749"/>
      <c r="C16" s="733" t="s">
        <v>1025</v>
      </c>
      <c r="D16" s="733"/>
      <c r="E16" s="751"/>
      <c r="F16" s="870">
        <f>'CEKLIST 003 (LAPORAN KEUANGAN))'!K50</f>
        <v>49332554985.709999</v>
      </c>
      <c r="G16" s="870">
        <f>'CEKLIST 003 (LAPORAN KEUANGAN))'!M50</f>
        <v>53263402940.699997</v>
      </c>
      <c r="H16" s="870">
        <f>'CEKLIST 003 (LAPORAN KEUANGAN))'!O50</f>
        <v>48496411563</v>
      </c>
      <c r="I16" s="870">
        <f>'[5]Lembar Input I Keuangan'!Q53</f>
        <v>0</v>
      </c>
    </row>
    <row r="17" spans="2:11" x14ac:dyDescent="0.2">
      <c r="B17" s="749"/>
      <c r="C17" s="733" t="s">
        <v>1028</v>
      </c>
      <c r="D17" s="733"/>
      <c r="E17" s="751"/>
      <c r="F17" s="870">
        <f>'CEKLIST 003 (LAPORAN KEUANGAN))'!K51</f>
        <v>715181500</v>
      </c>
      <c r="G17" s="870">
        <f>'CEKLIST 003 (LAPORAN KEUANGAN))'!M51</f>
        <v>408914000</v>
      </c>
      <c r="H17" s="870">
        <f>'CEKLIST 003 (LAPORAN KEUANGAN))'!O51</f>
        <v>531129367</v>
      </c>
      <c r="I17" s="870">
        <f>'[5]Lembar Input I Keuangan'!Q54</f>
        <v>0</v>
      </c>
    </row>
    <row r="18" spans="2:11" x14ac:dyDescent="0.2">
      <c r="B18" s="749"/>
      <c r="C18" s="733" t="s">
        <v>1030</v>
      </c>
      <c r="D18" s="733"/>
      <c r="E18" s="751"/>
      <c r="F18" s="870">
        <f>'CEKLIST 003 (LAPORAN KEUANGAN))'!K52</f>
        <v>603642893.71000004</v>
      </c>
      <c r="G18" s="870">
        <f>'CEKLIST 003 (LAPORAN KEUANGAN))'!M52</f>
        <v>225451200</v>
      </c>
      <c r="H18" s="870">
        <f>'CEKLIST 003 (LAPORAN KEUANGAN))'!O52</f>
        <v>189999933</v>
      </c>
      <c r="I18" s="870">
        <f>'[5]Lembar Input I Keuangan'!Q55</f>
        <v>0</v>
      </c>
    </row>
    <row r="19" spans="2:11" x14ac:dyDescent="0.2">
      <c r="B19" s="749"/>
      <c r="C19" s="733" t="s">
        <v>1032</v>
      </c>
      <c r="D19" s="733"/>
      <c r="E19" s="751"/>
      <c r="F19" s="870">
        <f>'CEKLIST 003 (LAPORAN KEUANGAN))'!K53</f>
        <v>2319391466.3800001</v>
      </c>
      <c r="G19" s="870">
        <f>'CEKLIST 003 (LAPORAN KEUANGAN))'!M53</f>
        <v>2324467142.1399999</v>
      </c>
      <c r="H19" s="870">
        <f>'CEKLIST 003 (LAPORAN KEUANGAN))'!O53</f>
        <v>2179275395</v>
      </c>
      <c r="I19" s="870">
        <f>'[5]Lembar Input I Keuangan'!Q56</f>
        <v>0</v>
      </c>
    </row>
    <row r="20" spans="2:11" x14ac:dyDescent="0.2">
      <c r="B20" s="749"/>
      <c r="D20" s="733"/>
      <c r="E20" s="751"/>
      <c r="F20" s="740"/>
      <c r="G20" s="740"/>
      <c r="H20" s="740"/>
      <c r="I20" s="740"/>
    </row>
    <row r="21" spans="2:11" ht="15" x14ac:dyDescent="0.25">
      <c r="B21" s="928" t="s">
        <v>340</v>
      </c>
      <c r="C21" s="933" t="s">
        <v>1289</v>
      </c>
      <c r="D21" s="863"/>
      <c r="E21" s="930"/>
      <c r="F21" s="901">
        <f>F15+F9</f>
        <v>67117059283.629997</v>
      </c>
      <c r="G21" s="901">
        <f>G15+G9</f>
        <v>64469223405.139999</v>
      </c>
      <c r="H21" s="901">
        <f>H15+H9</f>
        <v>59674864097</v>
      </c>
      <c r="I21" s="901">
        <f>I15+I9</f>
        <v>0</v>
      </c>
    </row>
    <row r="22" spans="2:11" ht="15" x14ac:dyDescent="0.25">
      <c r="B22" s="934"/>
      <c r="C22" s="935"/>
      <c r="D22" s="936"/>
      <c r="E22" s="751"/>
      <c r="F22" s="937"/>
      <c r="G22" s="937"/>
      <c r="H22" s="937"/>
      <c r="I22" s="937"/>
    </row>
    <row r="23" spans="2:11" s="733" customFormat="1" ht="15" x14ac:dyDescent="0.25">
      <c r="B23" s="934"/>
      <c r="C23" s="938" t="s">
        <v>1379</v>
      </c>
      <c r="D23" s="739"/>
      <c r="E23" s="751"/>
      <c r="F23" s="939"/>
      <c r="G23" s="939"/>
      <c r="H23" s="939"/>
      <c r="I23" s="939"/>
    </row>
    <row r="24" spans="2:11" s="733" customFormat="1" ht="15" x14ac:dyDescent="0.25">
      <c r="B24" s="934"/>
      <c r="C24" s="733" t="s">
        <v>1028</v>
      </c>
      <c r="D24" s="739"/>
      <c r="E24" s="751"/>
      <c r="F24" s="940">
        <f>F17*10%</f>
        <v>71518150</v>
      </c>
      <c r="G24" s="940">
        <f>G16*10%</f>
        <v>5326340294.0699997</v>
      </c>
      <c r="H24" s="940">
        <f>H17*10%</f>
        <v>53112936.700000003</v>
      </c>
      <c r="I24" s="940">
        <f>+I17*50%</f>
        <v>0</v>
      </c>
    </row>
    <row r="25" spans="2:11" s="733" customFormat="1" ht="15" x14ac:dyDescent="0.25">
      <c r="B25" s="934"/>
      <c r="C25" s="733" t="s">
        <v>1030</v>
      </c>
      <c r="D25" s="739"/>
      <c r="E25" s="751"/>
      <c r="F25" s="940">
        <f>F18*50%</f>
        <v>301821446.85500002</v>
      </c>
      <c r="G25" s="940">
        <f>G18*50%</f>
        <v>112725600</v>
      </c>
      <c r="H25" s="940">
        <f>H18*50%</f>
        <v>94999966.5</v>
      </c>
      <c r="I25" s="940">
        <f>+I18*50%</f>
        <v>0</v>
      </c>
    </row>
    <row r="26" spans="2:11" s="733" customFormat="1" ht="15" x14ac:dyDescent="0.25">
      <c r="B26" s="934"/>
      <c r="C26" s="733" t="s">
        <v>1032</v>
      </c>
      <c r="D26" s="739"/>
      <c r="E26" s="751"/>
      <c r="F26" s="940">
        <f>F19*100%</f>
        <v>2319391466.3800001</v>
      </c>
      <c r="G26" s="940">
        <f>G19*100%</f>
        <v>2324467142.1399999</v>
      </c>
      <c r="H26" s="940">
        <f>H19*100%</f>
        <v>2179275395</v>
      </c>
      <c r="I26" s="940">
        <f>+I19*50%</f>
        <v>0</v>
      </c>
    </row>
    <row r="27" spans="2:11" s="733" customFormat="1" ht="15" x14ac:dyDescent="0.25">
      <c r="B27" s="934"/>
      <c r="D27" s="739"/>
      <c r="E27" s="751"/>
      <c r="F27" s="939"/>
      <c r="G27" s="939"/>
      <c r="H27" s="939"/>
      <c r="I27" s="939"/>
    </row>
    <row r="28" spans="2:11" s="733" customFormat="1" ht="15" x14ac:dyDescent="0.25">
      <c r="B28" s="934"/>
      <c r="C28" s="941" t="s">
        <v>1380</v>
      </c>
      <c r="D28" s="942"/>
      <c r="E28" s="943"/>
      <c r="F28" s="944">
        <f>(F16*0.5%)+IF((F17-F24)*10%&lt;0,0,((F17-F24)*10%))+IF((F18-F25)*50%&lt;0,0,(F18-F25)*50%)+IF((F19-F26)*100%&lt;0,0,(F19-F26)*100%)+(F10*0.5%)</f>
        <v>532671275.54519999</v>
      </c>
      <c r="G28" s="944">
        <f>(G16*0.5%)+IF((G17-G24)*10%&lt;0,0,((G17-G24)*10%))+IF((G18-G25)*50%&lt;0,0,(G18-G25)*50%)+IF((G19-G26)*100%&lt;0,0,(G19-G26)*100%)+(G10*0.5%)</f>
        <v>363914755.31500006</v>
      </c>
      <c r="H28" s="944">
        <f>(H16*0.5%)+IF((H17-H24)*10%&lt;0,0,((H17-H24)*10%))+IF((H18-H25)*50%&lt;0,0,(H18-H25)*50%)+IF((H19-H26)*100%&lt;0,0,(H19-H26)*100%)+(H10*0.5%)</f>
        <v>379173923.29000002</v>
      </c>
      <c r="I28" s="944">
        <f>(I16*0.5%)+IF((I17-I24)*10%&lt;0,0,((I17-I24)*10%))+IF((I18-I25)*50%&lt;0,0,(I18-I25)*50%)+IF((I19-I26)*100%&lt;0,0,(I19-I26)*100%)+(I10*0.5%)</f>
        <v>0</v>
      </c>
    </row>
    <row r="29" spans="2:11" s="733" customFormat="1" ht="15" hidden="1" x14ac:dyDescent="0.25">
      <c r="B29" s="934"/>
      <c r="D29" s="739"/>
      <c r="E29" s="943"/>
      <c r="F29" s="939"/>
      <c r="G29" s="939"/>
      <c r="H29" s="939"/>
      <c r="I29" s="939"/>
    </row>
    <row r="30" spans="2:11" x14ac:dyDescent="0.2">
      <c r="B30" s="945"/>
      <c r="C30" s="946" t="s">
        <v>1232</v>
      </c>
      <c r="D30" s="947"/>
      <c r="E30" s="930"/>
      <c r="F30" s="948">
        <f>'CEKLIST 003 (LAPORAN KEUANGAN))'!K54</f>
        <v>1061203386.61</v>
      </c>
      <c r="G30" s="948">
        <f>'CEKLIST 003 (LAPORAN KEUANGAN))'!M54</f>
        <v>719720888.29999995</v>
      </c>
      <c r="H30" s="948">
        <f>'CEKLIST 003 (LAPORAN KEUANGAN))'!O54</f>
        <v>1019871915</v>
      </c>
      <c r="I30" s="948">
        <f>'[5]Lembar Input I Keuangan'!Q57</f>
        <v>0</v>
      </c>
      <c r="K30" s="949">
        <f>G30-F30</f>
        <v>-341482498.31000006</v>
      </c>
    </row>
    <row r="31" spans="2:11" hidden="1" x14ac:dyDescent="0.2">
      <c r="B31" s="950"/>
      <c r="C31" s="951" t="s">
        <v>1381</v>
      </c>
      <c r="D31" s="952"/>
      <c r="E31" s="943"/>
      <c r="F31" s="953">
        <f>SUM(F17:F19)/F21</f>
        <v>5.420702126884408E-2</v>
      </c>
      <c r="G31" s="953">
        <f>SUM(G17:G19)/G21</f>
        <v>4.5895268871876907E-2</v>
      </c>
      <c r="H31" s="953">
        <f>SUM(H17:H19)/H21</f>
        <v>4.8603457065029332E-2</v>
      </c>
      <c r="I31" s="953" t="e">
        <f>SUM(I17:I19)/I21</f>
        <v>#DIV/0!</v>
      </c>
    </row>
    <row r="32" spans="2:11" x14ac:dyDescent="0.2">
      <c r="B32" s="954"/>
      <c r="C32" s="951" t="s">
        <v>1382</v>
      </c>
      <c r="D32" s="952"/>
      <c r="E32" s="943"/>
      <c r="F32" s="953">
        <f>SUM(F17:F19)/F15</f>
        <v>6.8683460746323477E-2</v>
      </c>
      <c r="G32" s="953">
        <f>SUM(G17:G19)/G15</f>
        <v>5.26274405002728E-2</v>
      </c>
      <c r="H32" s="953">
        <f>SUM(H17:H19)/H15</f>
        <v>5.643160230860695E-2</v>
      </c>
      <c r="I32" s="953" t="e">
        <f>SUM(I17:I19)/I15</f>
        <v>#DIV/0!</v>
      </c>
    </row>
    <row r="33" spans="2:9" x14ac:dyDescent="0.2">
      <c r="B33" s="955"/>
      <c r="C33" s="956" t="s">
        <v>1383</v>
      </c>
      <c r="D33" s="957"/>
      <c r="E33" s="943"/>
      <c r="F33" s="958">
        <f>'[5]Lembar Input I Keuangan'!K57/PPAP!F28</f>
        <v>6.2789515702282159</v>
      </c>
      <c r="G33" s="958">
        <f>'[5]Lembar Input I Keuangan'!M57/PPAP!G28</f>
        <v>8.9702791775353035</v>
      </c>
      <c r="H33" s="958">
        <f>'[5]Lembar Input I Keuangan'!O57/PPAP!H28</f>
        <v>6.3760565969905674</v>
      </c>
      <c r="I33" s="958" t="e">
        <f>'[5]Lembar Input I Keuangan'!Q57/PPAP!I28</f>
        <v>#DIV/0!</v>
      </c>
    </row>
    <row r="34" spans="2:9" x14ac:dyDescent="0.2">
      <c r="B34" s="959"/>
      <c r="C34" s="960" t="s">
        <v>1384</v>
      </c>
      <c r="D34" s="961"/>
      <c r="E34" s="943"/>
      <c r="F34" s="962">
        <f>IF(F30&gt;F28,0,F30-F28)</f>
        <v>0</v>
      </c>
      <c r="G34" s="962">
        <f>IF(G30&gt;G28,0,G30-G28)</f>
        <v>0</v>
      </c>
      <c r="H34" s="962">
        <f>IF(H30&gt;H28,0,H30-H28)</f>
        <v>0</v>
      </c>
      <c r="I34" s="962">
        <f>IF(I30&gt;I28,0,I30-I28)</f>
        <v>0</v>
      </c>
    </row>
    <row r="35" spans="2:9" s="963" customFormat="1" x14ac:dyDescent="0.2">
      <c r="B35" s="733" t="s">
        <v>1385</v>
      </c>
      <c r="E35" s="964"/>
      <c r="F35" s="964"/>
      <c r="G35" s="965"/>
      <c r="H35" s="964"/>
      <c r="I35" s="964"/>
    </row>
    <row r="36" spans="2:9" s="963" customFormat="1" ht="15" thickBot="1" x14ac:dyDescent="0.25">
      <c r="B36" s="733"/>
      <c r="E36" s="964"/>
      <c r="F36" s="964"/>
      <c r="G36" s="965"/>
      <c r="H36" s="964"/>
      <c r="I36" s="964"/>
    </row>
    <row r="37" spans="2:9" ht="15.75" thickBot="1" x14ac:dyDescent="0.3">
      <c r="B37" s="845"/>
      <c r="C37" s="966" t="s">
        <v>1499</v>
      </c>
      <c r="D37" s="967"/>
      <c r="E37" s="968"/>
      <c r="F37" s="969"/>
      <c r="G37" s="924" t="str">
        <f>'CEKLIST 002 (BIO DATA)'!D15</f>
        <v>PD. BPR DOMPU</v>
      </c>
      <c r="H37" s="925"/>
      <c r="I37" s="925"/>
    </row>
    <row r="39" spans="2:9" ht="15" x14ac:dyDescent="0.25">
      <c r="B39" s="970"/>
      <c r="C39" s="2796" t="s">
        <v>40</v>
      </c>
      <c r="D39" s="2797"/>
      <c r="E39" s="2796" t="s">
        <v>1386</v>
      </c>
      <c r="F39" s="2793" t="s">
        <v>1326</v>
      </c>
      <c r="G39" s="2800"/>
      <c r="H39" s="2800"/>
      <c r="I39" s="2800"/>
    </row>
    <row r="40" spans="2:9" ht="14.25" customHeight="1" x14ac:dyDescent="0.25">
      <c r="B40" s="971"/>
      <c r="C40" s="2798"/>
      <c r="D40" s="2799"/>
      <c r="E40" s="2798"/>
      <c r="F40" s="848">
        <f>'CEKLIST 002 (BIO DATA)'!D11</f>
        <v>43281</v>
      </c>
      <c r="G40" s="848">
        <f>'CEKLIST 002 (BIO DATA)'!D10</f>
        <v>43100</v>
      </c>
      <c r="H40" s="848">
        <f>'CEKLIST 002 (BIO DATA)'!D9</f>
        <v>42735</v>
      </c>
      <c r="I40" s="848">
        <f>DATE('[5]Lembar Input I Keuangan'!$F$35,'[5]Lembar Input I Keuangan'!$E$35,'[5]Lembar Input I Keuangan'!$D$35)</f>
        <v>366</v>
      </c>
    </row>
    <row r="41" spans="2:9" ht="15" x14ac:dyDescent="0.2">
      <c r="B41" s="972"/>
      <c r="C41" s="973"/>
      <c r="D41" s="974"/>
      <c r="E41" s="975"/>
      <c r="F41" s="975"/>
      <c r="G41" s="975"/>
      <c r="H41" s="975"/>
      <c r="I41" s="975"/>
    </row>
    <row r="42" spans="2:9" x14ac:dyDescent="0.2">
      <c r="B42" s="976" t="s">
        <v>247</v>
      </c>
      <c r="C42" s="977" t="s">
        <v>22</v>
      </c>
      <c r="D42" s="978" t="s">
        <v>525</v>
      </c>
      <c r="E42" s="979">
        <v>0</v>
      </c>
      <c r="F42" s="980">
        <f>'CEKLIST 003 (LAPORAN KEUANGAN))'!K41</f>
        <v>776420000</v>
      </c>
      <c r="G42" s="980">
        <f>'CEKLIST 003 (LAPORAN KEUANGAN))'!M41</f>
        <v>812934000</v>
      </c>
      <c r="H42" s="980">
        <f>'CEKLIST 003 (LAPORAN KEUANGAN))'!O41</f>
        <v>286899000</v>
      </c>
      <c r="I42" s="980">
        <f>'[5]Lembar Input I Keuangan'!Q44</f>
        <v>0</v>
      </c>
    </row>
    <row r="43" spans="2:9" x14ac:dyDescent="0.2">
      <c r="B43" s="749"/>
      <c r="C43" s="977" t="s">
        <v>1387</v>
      </c>
      <c r="D43" s="978" t="s">
        <v>1388</v>
      </c>
      <c r="E43" s="979"/>
      <c r="F43" s="980">
        <f>'[5]Lembar Input I Keuangan'!K45</f>
        <v>0</v>
      </c>
      <c r="G43" s="980">
        <f>'[5]Lembar Input I Keuangan'!M45</f>
        <v>0</v>
      </c>
      <c r="H43" s="980">
        <f>'[5]Lembar Input I Keuangan'!O45</f>
        <v>0</v>
      </c>
      <c r="I43" s="980">
        <f>'[5]Lembar Input I Keuangan'!Q45</f>
        <v>0</v>
      </c>
    </row>
    <row r="44" spans="2:9" x14ac:dyDescent="0.2">
      <c r="B44" s="749"/>
      <c r="C44" s="981" t="s">
        <v>1387</v>
      </c>
      <c r="D44" s="2780" t="s">
        <v>1389</v>
      </c>
      <c r="E44" s="982"/>
      <c r="F44" s="983"/>
      <c r="G44" s="983"/>
      <c r="H44" s="983"/>
      <c r="I44" s="983"/>
    </row>
    <row r="45" spans="2:9" x14ac:dyDescent="0.2">
      <c r="B45" s="749"/>
      <c r="C45" s="984"/>
      <c r="D45" s="2782"/>
      <c r="E45" s="2775"/>
      <c r="F45" s="985"/>
      <c r="G45" s="985"/>
      <c r="H45" s="985"/>
      <c r="I45" s="985"/>
    </row>
    <row r="46" spans="2:9" x14ac:dyDescent="0.2">
      <c r="B46" s="749"/>
      <c r="C46" s="984"/>
      <c r="D46" s="986"/>
      <c r="E46" s="2775"/>
      <c r="F46" s="985"/>
      <c r="G46" s="985"/>
      <c r="H46" s="985"/>
      <c r="I46" s="985"/>
    </row>
    <row r="47" spans="2:9" x14ac:dyDescent="0.2">
      <c r="B47" s="749"/>
      <c r="C47" s="984"/>
      <c r="D47" s="987"/>
      <c r="E47" s="2784"/>
      <c r="F47" s="985"/>
      <c r="G47" s="985"/>
      <c r="H47" s="985"/>
      <c r="I47" s="985"/>
    </row>
    <row r="48" spans="2:9" x14ac:dyDescent="0.2">
      <c r="B48" s="988" t="s">
        <v>248</v>
      </c>
      <c r="C48" s="981" t="s">
        <v>22</v>
      </c>
      <c r="D48" s="2785" t="s">
        <v>1390</v>
      </c>
      <c r="E48" s="2774">
        <v>20</v>
      </c>
      <c r="F48" s="983">
        <f>'CEKLIST 003 (LAPORAN KEUANGAN))'!K43</f>
        <v>14146288437.83</v>
      </c>
      <c r="G48" s="983">
        <f>'CEKLIST 003 (LAPORAN KEUANGAN))'!M43</f>
        <v>8246988122.3000002</v>
      </c>
      <c r="H48" s="983">
        <f>'CEKLIST 003 (LAPORAN KEUANGAN))'!O43</f>
        <v>8278047839</v>
      </c>
      <c r="I48" s="983">
        <f>'[5]Lembar Input I Keuangan'!Q46</f>
        <v>0</v>
      </c>
    </row>
    <row r="49" spans="2:9" x14ac:dyDescent="0.2">
      <c r="B49" s="749"/>
      <c r="C49" s="989"/>
      <c r="D49" s="2786"/>
      <c r="E49" s="2784"/>
      <c r="F49" s="990"/>
      <c r="G49" s="990"/>
      <c r="H49" s="990"/>
      <c r="I49" s="990"/>
    </row>
    <row r="50" spans="2:9" s="963" customFormat="1" ht="28.5" x14ac:dyDescent="0.2">
      <c r="B50" s="749"/>
      <c r="C50" s="981" t="s">
        <v>1387</v>
      </c>
      <c r="D50" s="991" t="s">
        <v>1391</v>
      </c>
      <c r="E50" s="992">
        <v>20</v>
      </c>
      <c r="F50" s="983"/>
      <c r="G50" s="983"/>
      <c r="H50" s="983"/>
      <c r="I50" s="983"/>
    </row>
    <row r="51" spans="2:9" s="996" customFormat="1" ht="15" x14ac:dyDescent="0.2">
      <c r="B51" s="931"/>
      <c r="C51" s="993"/>
      <c r="D51" s="994"/>
      <c r="E51" s="931"/>
      <c r="F51" s="995"/>
      <c r="G51" s="995"/>
      <c r="H51" s="995"/>
      <c r="I51" s="995"/>
    </row>
    <row r="52" spans="2:9" x14ac:dyDescent="0.2">
      <c r="B52" s="749"/>
      <c r="C52" s="981" t="s">
        <v>1387</v>
      </c>
      <c r="D52" s="2780" t="s">
        <v>1392</v>
      </c>
      <c r="E52" s="992">
        <v>20</v>
      </c>
      <c r="F52" s="983"/>
      <c r="G52" s="983"/>
      <c r="H52" s="983"/>
      <c r="I52" s="983"/>
    </row>
    <row r="53" spans="2:9" x14ac:dyDescent="0.2">
      <c r="B53" s="749"/>
      <c r="C53" s="984"/>
      <c r="D53" s="2782"/>
      <c r="E53" s="2775"/>
      <c r="F53" s="985"/>
      <c r="G53" s="985"/>
      <c r="H53" s="985"/>
      <c r="I53" s="985"/>
    </row>
    <row r="54" spans="2:9" x14ac:dyDescent="0.2">
      <c r="B54" s="749"/>
      <c r="C54" s="984"/>
      <c r="D54" s="987"/>
      <c r="E54" s="2784"/>
      <c r="F54" s="985"/>
      <c r="G54" s="985"/>
      <c r="H54" s="985"/>
      <c r="I54" s="985"/>
    </row>
    <row r="55" spans="2:9" x14ac:dyDescent="0.2">
      <c r="B55" s="749" t="s">
        <v>338</v>
      </c>
      <c r="C55" s="2776" t="s">
        <v>1393</v>
      </c>
      <c r="D55" s="2777"/>
      <c r="E55" s="992">
        <v>20</v>
      </c>
      <c r="F55" s="983"/>
      <c r="G55" s="983"/>
      <c r="H55" s="983"/>
      <c r="I55" s="983"/>
    </row>
    <row r="56" spans="2:9" x14ac:dyDescent="0.2">
      <c r="B56" s="749"/>
      <c r="C56" s="2778"/>
      <c r="D56" s="2779"/>
      <c r="E56" s="749"/>
      <c r="F56" s="997"/>
      <c r="G56" s="985"/>
      <c r="H56" s="985"/>
      <c r="I56" s="985"/>
    </row>
    <row r="57" spans="2:9" x14ac:dyDescent="0.2">
      <c r="B57" s="749" t="s">
        <v>340</v>
      </c>
      <c r="C57" s="2776" t="s">
        <v>1394</v>
      </c>
      <c r="D57" s="2780"/>
      <c r="E57" s="2774">
        <v>100</v>
      </c>
      <c r="F57" s="983">
        <f>'CEKLIST 003 (LAPORAN KEUANGAN))'!K49</f>
        <v>52970770845.799995</v>
      </c>
      <c r="G57" s="983">
        <f>'CEKLIST 003 (LAPORAN KEUANGAN))'!M49</f>
        <v>56222235282.839996</v>
      </c>
      <c r="H57" s="983">
        <f>'CEKLIST 003 (LAPORAN KEUANGAN))'!O49</f>
        <v>51396816258</v>
      </c>
      <c r="I57" s="983">
        <f>'[5]Lembar Input I Keuangan'!Q52</f>
        <v>0</v>
      </c>
    </row>
    <row r="58" spans="2:9" x14ac:dyDescent="0.2">
      <c r="B58" s="749" t="s">
        <v>298</v>
      </c>
      <c r="C58" s="2781"/>
      <c r="D58" s="2782"/>
      <c r="E58" s="2775"/>
      <c r="F58" s="985"/>
      <c r="G58" s="985"/>
      <c r="H58" s="985"/>
      <c r="I58" s="985"/>
    </row>
    <row r="59" spans="2:9" x14ac:dyDescent="0.2">
      <c r="B59" s="749"/>
      <c r="C59" s="998"/>
      <c r="D59" s="999"/>
      <c r="E59" s="2775"/>
      <c r="F59" s="985"/>
      <c r="G59" s="985"/>
      <c r="H59" s="985"/>
      <c r="I59" s="985"/>
    </row>
    <row r="60" spans="2:9" x14ac:dyDescent="0.2">
      <c r="B60" s="749"/>
      <c r="C60" s="998"/>
      <c r="D60" s="999"/>
      <c r="E60" s="2783"/>
      <c r="F60" s="985"/>
      <c r="G60" s="985"/>
      <c r="H60" s="985"/>
      <c r="I60" s="985"/>
    </row>
    <row r="61" spans="2:9" x14ac:dyDescent="0.2">
      <c r="B61" s="749" t="s">
        <v>341</v>
      </c>
      <c r="C61" s="1000" t="s">
        <v>1395</v>
      </c>
      <c r="D61" s="1001"/>
      <c r="E61" s="2774">
        <v>100</v>
      </c>
      <c r="F61" s="983">
        <f>('CEKLIST 003 (LAPORAN KEUANGAN))'!K56-'CEKLIST 003 (LAPORAN KEUANGAN))'!K57+'CEKLIST 003 (LAPORAN KEUANGAN))'!K58-'CEKLIST 003 (LAPORAN KEUANGAN))'!K59)</f>
        <v>1356082674</v>
      </c>
      <c r="G61" s="983">
        <f>('CEKLIST 003 (LAPORAN KEUANGAN))'!M56-'CEKLIST 003 (LAPORAN KEUANGAN))'!M57+'CEKLIST 003 (LAPORAN KEUANGAN))'!M58-'CEKLIST 003 (LAPORAN KEUANGAN))'!M59)</f>
        <v>1464614876</v>
      </c>
      <c r="H61" s="983">
        <f>('CEKLIST 003 (LAPORAN KEUANGAN))'!O56-'CEKLIST 003 (LAPORAN KEUANGAN))'!O57+'CEKLIST 003 (LAPORAN KEUANGAN))'!O58-'CEKLIST 003 (LAPORAN KEUANGAN))'!O59)</f>
        <v>1533877374</v>
      </c>
      <c r="I61" s="983">
        <f>('[5]Lembar Input I Keuangan'!Q59-'[5]Lembar Input I Keuangan'!Q60)+('[5]Lembar Input I Keuangan'!Q61-'[5]Lembar Input I Keuangan'!Q62)</f>
        <v>0</v>
      </c>
    </row>
    <row r="62" spans="2:9" s="963" customFormat="1" x14ac:dyDescent="0.2">
      <c r="B62" s="931"/>
      <c r="C62" s="1002"/>
      <c r="D62" s="756"/>
      <c r="E62" s="2775"/>
      <c r="F62" s="985"/>
      <c r="G62" s="985"/>
      <c r="H62" s="985"/>
      <c r="I62" s="985"/>
    </row>
    <row r="63" spans="2:9" s="1007" customFormat="1" x14ac:dyDescent="0.2">
      <c r="B63" s="1003" t="s">
        <v>342</v>
      </c>
      <c r="C63" s="1004" t="s">
        <v>1396</v>
      </c>
      <c r="D63" s="1005"/>
      <c r="E63" s="2766">
        <v>100</v>
      </c>
      <c r="F63" s="1006">
        <f>'CEKLIST 003 (LAPORAN KEUANGAN))'!K60</f>
        <v>1190311798.6800001</v>
      </c>
      <c r="G63" s="1006">
        <f>'CEKLIST 003 (LAPORAN KEUANGAN))'!M60</f>
        <v>360101280.68000001</v>
      </c>
      <c r="H63" s="1006">
        <f>'CEKLIST 003 (LAPORAN KEUANGAN))'!O60</f>
        <v>446056795</v>
      </c>
      <c r="I63" s="1006">
        <f>'[5]Lembar Input I Keuangan'!Q63</f>
        <v>0</v>
      </c>
    </row>
    <row r="64" spans="2:9" ht="15" x14ac:dyDescent="0.25">
      <c r="B64" s="1008"/>
      <c r="C64" s="1009"/>
      <c r="D64" s="1010"/>
      <c r="E64" s="2766"/>
      <c r="F64" s="1006"/>
      <c r="G64" s="1006"/>
      <c r="H64" s="1006"/>
      <c r="I64" s="1006"/>
    </row>
    <row r="65" spans="2:9" ht="15" customHeight="1" x14ac:dyDescent="0.25">
      <c r="B65" s="1011">
        <v>7</v>
      </c>
      <c r="C65" s="2772" t="s">
        <v>1397</v>
      </c>
      <c r="D65" s="2773"/>
      <c r="E65" s="1012"/>
      <c r="F65" s="1013">
        <f>+(F42*E42)+(F48*E48/100)+(F57*E57/100)+(F61*E61/100)+(F63*E63/100)</f>
        <v>58346423006.046005</v>
      </c>
      <c r="G65" s="1014">
        <f>+(G42*$E$42)+(G48*$E$48/100)+(G57*$E$57/100)+(G61*$E$61/100)+(G63*$E$63/100)</f>
        <v>59696349063.979996</v>
      </c>
      <c r="H65" s="1014">
        <f>+(H42*$E$42)+(H48*$E$48/100)+(H57*$E$57/100)+(H61*$E$61/100)+(H63*$E$63/100)</f>
        <v>55032359994.800003</v>
      </c>
      <c r="I65" s="1014">
        <f>+(I42*$E$42)+(I48*$E$48/100)+(I57*$E$57/100)+(I61*$E$61/100)+(I63*$E$63/100)</f>
        <v>0</v>
      </c>
    </row>
    <row r="66" spans="2:9" ht="15" customHeight="1" x14ac:dyDescent="0.2">
      <c r="B66" s="867"/>
      <c r="C66" s="1015"/>
      <c r="D66" s="1015"/>
      <c r="E66" s="1016"/>
      <c r="F66" s="896"/>
      <c r="G66" s="1017"/>
      <c r="H66" s="1017"/>
      <c r="I66" s="1017"/>
    </row>
    <row r="67" spans="2:9" x14ac:dyDescent="0.2">
      <c r="B67" s="756"/>
      <c r="C67" s="1018"/>
      <c r="D67" s="756"/>
      <c r="E67" s="1016"/>
      <c r="F67" s="896"/>
      <c r="G67" s="896"/>
      <c r="H67" s="896"/>
      <c r="I67" s="896"/>
    </row>
    <row r="68" spans="2:9" x14ac:dyDescent="0.2">
      <c r="B68" s="756"/>
      <c r="C68" s="1018"/>
      <c r="D68" s="756"/>
      <c r="E68" s="1016"/>
      <c r="F68" s="896"/>
      <c r="G68" s="896"/>
      <c r="H68" s="896"/>
      <c r="I68" s="896"/>
    </row>
    <row r="69" spans="2:9" x14ac:dyDescent="0.2">
      <c r="B69" s="756"/>
      <c r="C69" s="1018"/>
      <c r="D69" s="756"/>
      <c r="E69" s="1016"/>
      <c r="F69" s="896"/>
      <c r="G69" s="896"/>
      <c r="H69" s="896"/>
      <c r="I69" s="896"/>
    </row>
    <row r="70" spans="2:9" x14ac:dyDescent="0.2">
      <c r="B70" s="756"/>
      <c r="C70" s="1018"/>
      <c r="D70" s="756"/>
      <c r="E70" s="1016"/>
      <c r="F70" s="896"/>
      <c r="G70" s="896"/>
      <c r="H70" s="896"/>
      <c r="I70" s="896"/>
    </row>
    <row r="71" spans="2:9" x14ac:dyDescent="0.2">
      <c r="B71" s="756"/>
      <c r="C71" s="1018"/>
      <c r="D71" s="756"/>
      <c r="E71" s="1016"/>
      <c r="F71" s="896"/>
      <c r="G71" s="896"/>
      <c r="H71" s="896"/>
      <c r="I71" s="896"/>
    </row>
    <row r="72" spans="2:9" x14ac:dyDescent="0.2">
      <c r="B72" s="756"/>
      <c r="C72" s="1018"/>
      <c r="D72" s="756"/>
      <c r="E72" s="1016"/>
      <c r="F72" s="896"/>
      <c r="G72" s="896"/>
      <c r="H72" s="896"/>
      <c r="I72" s="896"/>
    </row>
    <row r="73" spans="2:9" x14ac:dyDescent="0.2">
      <c r="B73" s="756"/>
      <c r="C73" s="1018"/>
      <c r="D73" s="756"/>
      <c r="E73" s="1016"/>
      <c r="F73" s="896"/>
      <c r="G73" s="896"/>
      <c r="H73" s="896"/>
      <c r="I73" s="896"/>
    </row>
    <row r="74" spans="2:9" x14ac:dyDescent="0.2">
      <c r="B74" s="756"/>
      <c r="C74" s="1018"/>
      <c r="D74" s="756"/>
      <c r="E74" s="1016"/>
      <c r="F74" s="896"/>
      <c r="G74" s="896"/>
      <c r="H74" s="896"/>
      <c r="I74" s="896"/>
    </row>
    <row r="75" spans="2:9" s="1020" customFormat="1" x14ac:dyDescent="0.2">
      <c r="B75" s="964"/>
      <c r="C75" s="1019"/>
      <c r="D75" s="964"/>
      <c r="E75" s="964"/>
      <c r="F75" s="965"/>
      <c r="G75" s="965"/>
      <c r="H75" s="965"/>
      <c r="I75" s="965"/>
    </row>
    <row r="76" spans="2:9" s="964" customFormat="1" x14ac:dyDescent="0.2">
      <c r="C76" s="1019"/>
      <c r="F76" s="1021"/>
      <c r="G76" s="1021"/>
      <c r="H76" s="1021"/>
      <c r="I76" s="1021"/>
    </row>
    <row r="77" spans="2:9" s="1020" customFormat="1" x14ac:dyDescent="0.2">
      <c r="B77" s="964"/>
      <c r="C77" s="964"/>
      <c r="D77" s="964"/>
      <c r="E77" s="964"/>
      <c r="F77" s="964"/>
      <c r="G77" s="964"/>
      <c r="H77" s="964"/>
      <c r="I77" s="964"/>
    </row>
    <row r="78" spans="2:9" x14ac:dyDescent="0.2">
      <c r="B78" s="756"/>
      <c r="C78" s="756"/>
      <c r="D78" s="756"/>
      <c r="E78" s="756"/>
      <c r="F78" s="756"/>
      <c r="G78" s="756"/>
      <c r="H78" s="756"/>
      <c r="I78" s="756"/>
    </row>
    <row r="79" spans="2:9" x14ac:dyDescent="0.2">
      <c r="B79" s="756"/>
      <c r="C79" s="756"/>
      <c r="D79" s="756"/>
      <c r="E79" s="756"/>
      <c r="F79" s="756"/>
      <c r="G79" s="756"/>
      <c r="H79" s="756"/>
      <c r="I79" s="756"/>
    </row>
    <row r="80" spans="2:9" x14ac:dyDescent="0.2">
      <c r="B80" s="756"/>
      <c r="C80" s="756"/>
      <c r="D80" s="756"/>
      <c r="E80" s="756"/>
      <c r="F80" s="756"/>
      <c r="G80" s="756"/>
      <c r="H80" s="756"/>
      <c r="I80" s="756"/>
    </row>
    <row r="81" spans="2:9" ht="15" x14ac:dyDescent="0.25">
      <c r="B81" s="739"/>
      <c r="C81" s="1022"/>
      <c r="D81" s="1022"/>
      <c r="E81" s="1022"/>
      <c r="F81" s="1023"/>
      <c r="G81" s="2767"/>
      <c r="H81" s="2767"/>
      <c r="I81" s="2767"/>
    </row>
    <row r="82" spans="2:9" x14ac:dyDescent="0.2">
      <c r="B82" s="756"/>
      <c r="C82" s="756"/>
      <c r="D82" s="756"/>
      <c r="E82" s="756"/>
      <c r="F82" s="756"/>
      <c r="G82" s="756"/>
      <c r="H82" s="756"/>
      <c r="I82" s="756"/>
    </row>
    <row r="83" spans="2:9" ht="14.25" customHeight="1" x14ac:dyDescent="0.2">
      <c r="B83" s="1016"/>
      <c r="C83" s="2768"/>
      <c r="D83" s="2768"/>
      <c r="E83" s="2769"/>
      <c r="F83" s="2771"/>
      <c r="G83" s="2771"/>
      <c r="H83" s="2771"/>
      <c r="I83" s="2771"/>
    </row>
    <row r="84" spans="2:9" ht="15" x14ac:dyDescent="0.2">
      <c r="B84" s="1024"/>
      <c r="C84" s="2768"/>
      <c r="D84" s="2768"/>
      <c r="E84" s="2770"/>
      <c r="F84" s="1025"/>
      <c r="G84" s="1025"/>
      <c r="H84" s="1025"/>
      <c r="I84" s="1025"/>
    </row>
    <row r="85" spans="2:9" ht="15" x14ac:dyDescent="0.2">
      <c r="B85" s="1024"/>
      <c r="C85" s="1024"/>
      <c r="D85" s="1023"/>
      <c r="E85" s="1023"/>
      <c r="F85" s="1023"/>
      <c r="G85" s="1023"/>
      <c r="H85" s="1023"/>
      <c r="I85" s="1023"/>
    </row>
    <row r="86" spans="2:9" x14ac:dyDescent="0.2">
      <c r="B86" s="867"/>
      <c r="C86" s="1026"/>
      <c r="D86" s="1027"/>
      <c r="E86" s="1027"/>
      <c r="F86" s="1028"/>
      <c r="G86" s="1028"/>
      <c r="H86" s="1028"/>
      <c r="I86" s="1028"/>
    </row>
    <row r="87" spans="2:9" x14ac:dyDescent="0.2">
      <c r="B87" s="867"/>
      <c r="C87" s="1026"/>
      <c r="D87" s="1027"/>
      <c r="E87" s="1027"/>
      <c r="F87" s="1028"/>
      <c r="G87" s="1028"/>
      <c r="H87" s="1028"/>
      <c r="I87" s="1028"/>
    </row>
    <row r="88" spans="2:9" x14ac:dyDescent="0.2">
      <c r="B88" s="867"/>
      <c r="C88" s="1026"/>
      <c r="D88" s="2764"/>
      <c r="E88" s="1029"/>
      <c r="F88" s="1028"/>
      <c r="G88" s="1028"/>
      <c r="H88" s="1028"/>
      <c r="I88" s="1028"/>
    </row>
    <row r="89" spans="2:9" s="733" customFormat="1" x14ac:dyDescent="0.2">
      <c r="B89" s="867"/>
      <c r="C89" s="1026"/>
      <c r="D89" s="2764"/>
      <c r="E89" s="2764"/>
      <c r="F89" s="1028"/>
      <c r="G89" s="1028"/>
      <c r="H89" s="1028"/>
      <c r="I89" s="1028"/>
    </row>
    <row r="90" spans="2:9" x14ac:dyDescent="0.2">
      <c r="B90" s="867"/>
      <c r="C90" s="1026"/>
      <c r="D90" s="994"/>
      <c r="E90" s="2764"/>
      <c r="F90" s="1028"/>
      <c r="G90" s="1028"/>
      <c r="H90" s="1028"/>
      <c r="I90" s="1028"/>
    </row>
    <row r="91" spans="2:9" x14ac:dyDescent="0.2">
      <c r="B91" s="867"/>
      <c r="C91" s="1026"/>
      <c r="D91" s="1030"/>
      <c r="E91" s="2764"/>
      <c r="F91" s="1028"/>
      <c r="G91" s="1028"/>
      <c r="H91" s="1028"/>
      <c r="I91" s="1028"/>
    </row>
    <row r="92" spans="2:9" x14ac:dyDescent="0.2">
      <c r="B92" s="867"/>
      <c r="C92" s="1026"/>
      <c r="D92" s="2764"/>
      <c r="E92" s="2764"/>
      <c r="F92" s="1028"/>
      <c r="G92" s="1028"/>
      <c r="H92" s="1028"/>
      <c r="I92" s="1028"/>
    </row>
    <row r="93" spans="2:9" x14ac:dyDescent="0.2">
      <c r="B93" s="867"/>
      <c r="C93" s="1026"/>
      <c r="D93" s="2764"/>
      <c r="E93" s="2764"/>
      <c r="F93" s="1028"/>
      <c r="G93" s="1028"/>
      <c r="H93" s="1028"/>
      <c r="I93" s="1028"/>
    </row>
    <row r="94" spans="2:9" s="733" customFormat="1" x14ac:dyDescent="0.2">
      <c r="B94" s="867"/>
      <c r="C94" s="1026"/>
      <c r="D94" s="994"/>
      <c r="E94" s="756"/>
      <c r="F94" s="1028"/>
      <c r="G94" s="1028"/>
      <c r="H94" s="1028"/>
      <c r="I94" s="1028"/>
    </row>
    <row r="95" spans="2:9" s="963" customFormat="1" x14ac:dyDescent="0.2">
      <c r="B95" s="867"/>
      <c r="C95" s="1026"/>
      <c r="D95" s="994"/>
      <c r="E95" s="756"/>
      <c r="F95" s="750"/>
      <c r="G95" s="750"/>
      <c r="H95" s="750"/>
      <c r="I95" s="750"/>
    </row>
    <row r="96" spans="2:9" x14ac:dyDescent="0.2">
      <c r="B96" s="867"/>
      <c r="C96" s="1026"/>
      <c r="D96" s="2764"/>
      <c r="E96" s="756"/>
      <c r="F96" s="1028"/>
      <c r="G96" s="1028"/>
      <c r="H96" s="1028"/>
      <c r="I96" s="1028"/>
    </row>
    <row r="97" spans="2:9" s="733" customFormat="1" x14ac:dyDescent="0.2">
      <c r="B97" s="867"/>
      <c r="C97" s="1026"/>
      <c r="D97" s="2764"/>
      <c r="E97" s="2764"/>
      <c r="F97" s="1028"/>
      <c r="G97" s="1028"/>
      <c r="H97" s="1028"/>
      <c r="I97" s="1028"/>
    </row>
    <row r="98" spans="2:9" x14ac:dyDescent="0.2">
      <c r="B98" s="867"/>
      <c r="C98" s="1026"/>
      <c r="D98" s="1030"/>
      <c r="E98" s="2764"/>
      <c r="F98" s="1028"/>
      <c r="G98" s="1028"/>
      <c r="H98" s="1028"/>
      <c r="I98" s="1028"/>
    </row>
    <row r="99" spans="2:9" x14ac:dyDescent="0.2">
      <c r="B99" s="867"/>
      <c r="C99" s="2764"/>
      <c r="D99" s="2765"/>
      <c r="E99" s="756"/>
      <c r="F99" s="1028"/>
      <c r="G99" s="1028"/>
      <c r="H99" s="1028"/>
      <c r="I99" s="1028"/>
    </row>
    <row r="100" spans="2:9" s="733" customFormat="1" x14ac:dyDescent="0.2">
      <c r="B100" s="867"/>
      <c r="C100" s="2765"/>
      <c r="D100" s="2765"/>
      <c r="E100" s="756"/>
      <c r="F100" s="1030"/>
      <c r="G100" s="1028"/>
      <c r="H100" s="1028"/>
      <c r="I100" s="1028"/>
    </row>
    <row r="101" spans="2:9" x14ac:dyDescent="0.2">
      <c r="B101" s="867"/>
      <c r="C101" s="2764"/>
      <c r="D101" s="2764"/>
      <c r="E101" s="2764"/>
      <c r="F101" s="1028"/>
      <c r="G101" s="1028"/>
      <c r="H101" s="1028"/>
      <c r="I101" s="1028"/>
    </row>
    <row r="102" spans="2:9" s="733" customFormat="1" x14ac:dyDescent="0.2">
      <c r="B102" s="867"/>
      <c r="C102" s="2764"/>
      <c r="D102" s="2764"/>
      <c r="E102" s="2764"/>
      <c r="F102" s="1028"/>
      <c r="G102" s="1028"/>
      <c r="H102" s="1028"/>
      <c r="I102" s="1028"/>
    </row>
    <row r="103" spans="2:9" x14ac:dyDescent="0.2">
      <c r="B103" s="867"/>
      <c r="C103" s="1031"/>
      <c r="D103" s="1032"/>
      <c r="E103" s="2764"/>
      <c r="F103" s="1028"/>
      <c r="G103" s="1028"/>
      <c r="H103" s="1028"/>
      <c r="I103" s="1028"/>
    </row>
    <row r="104" spans="2:9" x14ac:dyDescent="0.2">
      <c r="B104" s="867"/>
      <c r="C104" s="1031"/>
      <c r="D104" s="1032"/>
      <c r="E104" s="2765"/>
      <c r="F104" s="1028"/>
      <c r="G104" s="1028"/>
      <c r="H104" s="1028"/>
      <c r="I104" s="1028"/>
    </row>
    <row r="105" spans="2:9" x14ac:dyDescent="0.2">
      <c r="B105" s="867"/>
      <c r="C105" s="1015"/>
      <c r="D105" s="756"/>
      <c r="E105" s="2764"/>
      <c r="F105" s="1028"/>
      <c r="G105" s="1028"/>
      <c r="H105" s="1028"/>
      <c r="I105" s="1028"/>
    </row>
    <row r="106" spans="2:9" s="963" customFormat="1" x14ac:dyDescent="0.2">
      <c r="B106" s="867"/>
      <c r="C106" s="867"/>
      <c r="D106" s="756"/>
      <c r="E106" s="2764"/>
      <c r="F106" s="1028"/>
      <c r="G106" s="1028"/>
      <c r="H106" s="1028"/>
      <c r="I106" s="1028"/>
    </row>
    <row r="107" spans="2:9" x14ac:dyDescent="0.2">
      <c r="B107" s="867"/>
      <c r="C107" s="1015"/>
      <c r="D107" s="756"/>
      <c r="E107" s="2764"/>
      <c r="F107" s="1028"/>
      <c r="G107" s="1028"/>
      <c r="H107" s="1028"/>
      <c r="I107" s="1028"/>
    </row>
    <row r="108" spans="2:9" ht="15" x14ac:dyDescent="0.25">
      <c r="B108" s="755"/>
      <c r="C108" s="755"/>
      <c r="D108" s="756"/>
      <c r="E108" s="2764"/>
      <c r="F108" s="1028"/>
      <c r="G108" s="1028"/>
      <c r="H108" s="1028"/>
      <c r="I108" s="1028"/>
    </row>
    <row r="109" spans="2:9" x14ac:dyDescent="0.2">
      <c r="B109" s="756"/>
      <c r="C109" s="756"/>
      <c r="D109" s="756"/>
      <c r="E109" s="756"/>
      <c r="F109" s="1033"/>
      <c r="G109" s="1033"/>
      <c r="H109" s="1033"/>
      <c r="I109" s="1033"/>
    </row>
    <row r="110" spans="2:9" s="733" customFormat="1" x14ac:dyDescent="0.2">
      <c r="B110" s="756"/>
      <c r="C110" s="756"/>
      <c r="D110" s="756"/>
      <c r="E110" s="756"/>
      <c r="F110" s="756"/>
      <c r="G110" s="756"/>
      <c r="H110" s="756"/>
      <c r="I110" s="756"/>
    </row>
    <row r="111" spans="2:9" s="733" customFormat="1" x14ac:dyDescent="0.2">
      <c r="B111" s="756"/>
      <c r="C111" s="756"/>
      <c r="D111" s="756"/>
      <c r="E111" s="756"/>
      <c r="F111" s="756"/>
      <c r="G111" s="756"/>
      <c r="H111" s="756"/>
      <c r="I111" s="756"/>
    </row>
    <row r="112" spans="2:9" x14ac:dyDescent="0.2">
      <c r="B112" s="756"/>
      <c r="C112" s="756"/>
      <c r="D112" s="756"/>
      <c r="E112" s="756"/>
      <c r="F112" s="756"/>
      <c r="G112" s="756"/>
      <c r="H112" s="756"/>
      <c r="I112" s="756"/>
    </row>
    <row r="113" spans="2:9" x14ac:dyDescent="0.2">
      <c r="B113" s="756"/>
      <c r="C113" s="756"/>
      <c r="D113" s="756"/>
      <c r="E113" s="756"/>
      <c r="F113" s="756"/>
      <c r="G113" s="756"/>
      <c r="H113" s="756"/>
      <c r="I113" s="756"/>
    </row>
    <row r="114" spans="2:9" x14ac:dyDescent="0.2">
      <c r="B114" s="756"/>
      <c r="C114" s="756"/>
      <c r="D114" s="756"/>
      <c r="E114" s="756"/>
      <c r="F114" s="1034"/>
      <c r="G114" s="1034"/>
      <c r="H114" s="1034"/>
      <c r="I114" s="1034"/>
    </row>
    <row r="115" spans="2:9" s="963" customFormat="1" x14ac:dyDescent="0.2">
      <c r="F115" s="1035"/>
      <c r="G115" s="1035"/>
      <c r="H115" s="1035"/>
      <c r="I115" s="1035"/>
    </row>
  </sheetData>
  <protectedRanges>
    <protectedRange sqref="F24:I26 F88:I88 F94:I94 F96:I96 F99:I99 F65:I73 F11:I13" name="Range1"/>
    <protectedRange sqref="F50:I50 F52:I52 F55:I55 F44:I44" name="Range1_1"/>
  </protectedRanges>
  <mergeCells count="33">
    <mergeCell ref="B4:B5"/>
    <mergeCell ref="C4:D5"/>
    <mergeCell ref="E4:I4"/>
    <mergeCell ref="C39:D40"/>
    <mergeCell ref="E39:E40"/>
    <mergeCell ref="F39:I39"/>
    <mergeCell ref="E61:E62"/>
    <mergeCell ref="C55:D56"/>
    <mergeCell ref="C57:D58"/>
    <mergeCell ref="E57:E60"/>
    <mergeCell ref="D44:D45"/>
    <mergeCell ref="E45:E47"/>
    <mergeCell ref="D48:D49"/>
    <mergeCell ref="E48:E49"/>
    <mergeCell ref="D52:D53"/>
    <mergeCell ref="E53:E54"/>
    <mergeCell ref="E63:E64"/>
    <mergeCell ref="G81:I81"/>
    <mergeCell ref="C83:D84"/>
    <mergeCell ref="E83:E84"/>
    <mergeCell ref="F83:I83"/>
    <mergeCell ref="C65:D65"/>
    <mergeCell ref="D88:D89"/>
    <mergeCell ref="E89:E91"/>
    <mergeCell ref="E105:E106"/>
    <mergeCell ref="E107:E108"/>
    <mergeCell ref="D92:D93"/>
    <mergeCell ref="E92:E93"/>
    <mergeCell ref="D96:D97"/>
    <mergeCell ref="E97:E98"/>
    <mergeCell ref="C99:D100"/>
    <mergeCell ref="C101:D102"/>
    <mergeCell ref="E101:E104"/>
  </mergeCells>
  <pageMargins left="0.69861111111111107" right="0.69861111111111107" top="0.75" bottom="0.75" header="0.3" footer="0.3"/>
  <pageSetup paperSize="9" scale="8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6"/>
  <sheetViews>
    <sheetView topLeftCell="A25" zoomScale="60" workbookViewId="0">
      <selection activeCell="E41" sqref="E41"/>
    </sheetView>
  </sheetViews>
  <sheetFormatPr defaultColWidth="9" defaultRowHeight="15.75" x14ac:dyDescent="0.25"/>
  <cols>
    <col min="1" max="1" width="10.5703125" style="1041" customWidth="1"/>
    <col min="2" max="2" width="4.140625" style="1041" bestFit="1" customWidth="1"/>
    <col min="3" max="3" width="75.140625" style="1041" bestFit="1" customWidth="1"/>
    <col min="4" max="4" width="13.42578125" style="1041" customWidth="1"/>
    <col min="5" max="5" width="16.7109375" style="1041" customWidth="1"/>
    <col min="6" max="6" width="30.140625" style="1041" bestFit="1" customWidth="1"/>
    <col min="7" max="7" width="29.140625" style="1041" customWidth="1"/>
    <col min="8" max="8" width="26.85546875" style="1041" customWidth="1"/>
    <col min="9" max="11" width="12.140625" style="1041" customWidth="1"/>
    <col min="12" max="12" width="10.7109375" style="1041" customWidth="1"/>
    <col min="13" max="14" width="10.5703125" style="1041" customWidth="1"/>
    <col min="15" max="15" width="28.140625" style="1040" customWidth="1"/>
    <col min="16" max="16" width="9" style="1040"/>
    <col min="17" max="17" width="9.5703125" style="1040" bestFit="1" customWidth="1"/>
    <col min="18" max="18" width="4.42578125" style="1041" bestFit="1" customWidth="1"/>
    <col min="19" max="16384" width="9" style="1041"/>
  </cols>
  <sheetData>
    <row r="1" spans="1:38" ht="21.75" thickTop="1" x14ac:dyDescent="0.35">
      <c r="A1" s="1036"/>
      <c r="B1" s="1037"/>
      <c r="C1" s="1037"/>
      <c r="D1" s="1037"/>
      <c r="E1" s="1037"/>
      <c r="F1" s="1037"/>
      <c r="G1" s="1037"/>
      <c r="H1" s="1037"/>
      <c r="I1" s="1037"/>
      <c r="J1" s="1037"/>
      <c r="K1" s="1037"/>
      <c r="L1" s="1037"/>
      <c r="M1" s="1038"/>
      <c r="N1" s="1039"/>
    </row>
    <row r="2" spans="1:38" ht="21.75" thickBot="1" x14ac:dyDescent="0.4">
      <c r="A2" s="1042"/>
      <c r="B2" s="1039"/>
      <c r="C2" s="1039"/>
      <c r="D2" s="1039"/>
      <c r="E2" s="1039"/>
      <c r="F2" s="1039"/>
      <c r="G2" s="1039"/>
      <c r="H2" s="1039"/>
      <c r="I2" s="1039"/>
      <c r="J2" s="1039"/>
      <c r="K2" s="1039"/>
      <c r="L2" s="1039"/>
      <c r="M2" s="1043"/>
      <c r="N2" s="1039"/>
    </row>
    <row r="3" spans="1:38" ht="21" x14ac:dyDescent="0.35">
      <c r="A3" s="1042"/>
      <c r="B3" s="2872" t="s">
        <v>1398</v>
      </c>
      <c r="C3" s="2873"/>
      <c r="D3" s="1039"/>
      <c r="E3" s="1039"/>
      <c r="F3" s="1039"/>
      <c r="G3" s="1044" t="s">
        <v>1399</v>
      </c>
      <c r="H3" s="1045" t="str">
        <f>'CEKLIST 002 (BIO DATA)'!D15</f>
        <v>PD. BPR DOMPU</v>
      </c>
      <c r="I3" s="1046"/>
      <c r="J3" s="1046"/>
      <c r="K3" s="1046"/>
      <c r="L3" s="1039"/>
      <c r="M3" s="1043"/>
      <c r="N3" s="1039"/>
    </row>
    <row r="4" spans="1:38" ht="21" x14ac:dyDescent="0.35">
      <c r="A4" s="1042"/>
      <c r="B4" s="2874"/>
      <c r="C4" s="2875"/>
      <c r="D4" s="1039"/>
      <c r="E4" s="1039"/>
      <c r="F4" s="1039"/>
      <c r="G4" s="1047" t="s">
        <v>1400</v>
      </c>
      <c r="H4" s="1048">
        <f>'CEKLIST 002 (BIO DATA)'!D11</f>
        <v>43281</v>
      </c>
      <c r="I4" s="1049"/>
      <c r="J4" s="1049"/>
      <c r="K4" s="1049"/>
      <c r="L4" s="1039"/>
      <c r="M4" s="1043"/>
      <c r="N4" s="1039"/>
    </row>
    <row r="5" spans="1:38" ht="21.75" thickBot="1" x14ac:dyDescent="0.4">
      <c r="A5" s="1042"/>
      <c r="B5" s="2876"/>
      <c r="C5" s="2877"/>
      <c r="D5" s="1039"/>
      <c r="E5" s="1039"/>
      <c r="F5" s="1039"/>
      <c r="G5" s="1050" t="s">
        <v>1401</v>
      </c>
      <c r="H5" s="1051"/>
      <c r="I5" s="1039"/>
      <c r="J5" s="1039"/>
      <c r="K5" s="1039"/>
      <c r="L5" s="1039"/>
      <c r="M5" s="1043"/>
      <c r="N5" s="1039"/>
    </row>
    <row r="6" spans="1:38" ht="21.75" thickBot="1" x14ac:dyDescent="0.4">
      <c r="A6" s="1042"/>
      <c r="B6" s="1039"/>
      <c r="C6" s="1039"/>
      <c r="D6" s="1039"/>
      <c r="E6" s="1039"/>
      <c r="F6" s="1039"/>
      <c r="G6" s="1052"/>
      <c r="H6" s="1039"/>
      <c r="I6" s="1039"/>
      <c r="J6" s="1039"/>
      <c r="K6" s="1039"/>
      <c r="L6" s="1053" t="s">
        <v>1402</v>
      </c>
      <c r="M6" s="1043"/>
      <c r="N6" s="1039"/>
    </row>
    <row r="7" spans="1:38" ht="21.75" thickBot="1" x14ac:dyDescent="0.4">
      <c r="A7" s="1042"/>
      <c r="B7" s="1054"/>
      <c r="C7" s="2873" t="s">
        <v>1403</v>
      </c>
      <c r="D7" s="2872" t="s">
        <v>1404</v>
      </c>
      <c r="E7" s="2873"/>
      <c r="F7" s="2878" t="s">
        <v>1405</v>
      </c>
      <c r="G7" s="2879"/>
      <c r="H7" s="2880"/>
      <c r="I7" s="1055"/>
      <c r="J7" s="1055"/>
      <c r="K7" s="1055"/>
      <c r="L7" s="2864" t="s">
        <v>1406</v>
      </c>
      <c r="M7" s="1043"/>
      <c r="N7" s="1039"/>
    </row>
    <row r="8" spans="1:38" ht="21.75" thickBot="1" x14ac:dyDescent="0.4">
      <c r="A8" s="1042"/>
      <c r="B8" s="1056"/>
      <c r="C8" s="2875"/>
      <c r="D8" s="2876"/>
      <c r="E8" s="2877"/>
      <c r="F8" s="1057" t="s">
        <v>1407</v>
      </c>
      <c r="G8" s="1058" t="s">
        <v>1408</v>
      </c>
      <c r="H8" s="1058" t="s">
        <v>1409</v>
      </c>
      <c r="I8" s="1057"/>
      <c r="J8" s="1057"/>
      <c r="K8" s="1057"/>
      <c r="L8" s="2865"/>
      <c r="M8" s="1043"/>
      <c r="N8" s="1039"/>
      <c r="O8" s="1059"/>
      <c r="P8" s="1059"/>
      <c r="Q8" s="1059"/>
    </row>
    <row r="9" spans="1:38" ht="21.75" thickBot="1" x14ac:dyDescent="0.4">
      <c r="A9" s="1042"/>
      <c r="B9" s="1060" t="s">
        <v>59</v>
      </c>
      <c r="C9" s="1061" t="s">
        <v>1410</v>
      </c>
      <c r="D9" s="1062">
        <v>0.15</v>
      </c>
      <c r="E9" s="1063">
        <f>SUM(D10:D12)</f>
        <v>1</v>
      </c>
      <c r="F9" s="1064"/>
      <c r="G9" s="1064"/>
      <c r="H9" s="1064"/>
      <c r="I9" s="1064"/>
      <c r="J9" s="1064"/>
      <c r="K9" s="1064"/>
      <c r="L9" s="1065"/>
      <c r="M9" s="1043"/>
      <c r="N9" s="1039"/>
      <c r="O9" s="1066"/>
      <c r="P9" s="1067"/>
      <c r="Q9" s="1067"/>
      <c r="R9" s="1067"/>
    </row>
    <row r="10" spans="1:38" ht="21" x14ac:dyDescent="0.35">
      <c r="A10" s="1042"/>
      <c r="B10" s="1068">
        <v>1</v>
      </c>
      <c r="C10" s="1069" t="s">
        <v>1411</v>
      </c>
      <c r="D10" s="2866">
        <v>0.6</v>
      </c>
      <c r="E10" s="2867"/>
      <c r="F10" s="1070" t="str">
        <f>IF([5]Rasio!D16&lt;=5%,"x","")</f>
        <v>x</v>
      </c>
      <c r="G10" s="1071" t="str">
        <f>IF(AND([5]Rasio!D16&gt;5%,[5]Rasio!D16&lt;=8%,[5]Rasio!D16&lt;[5]Rasio!F16,[5]Rasio!F16&lt;[5]Rasio!H16),"x","")</f>
        <v/>
      </c>
      <c r="H10" s="1071" t="str">
        <f>IF(AND(F10="",G10=""),"x","")</f>
        <v/>
      </c>
      <c r="I10" s="1039">
        <f>IF(F10="x",1,0)</f>
        <v>1</v>
      </c>
      <c r="J10" s="1039">
        <f>IF(G10="x",2,0)</f>
        <v>0</v>
      </c>
      <c r="K10" s="1039">
        <f>IF(H10="x",3,0)</f>
        <v>0</v>
      </c>
      <c r="L10" s="1072">
        <f>IF(OR(SUM(O10:Q10)&lt;&gt;1,O10="ERROR",P10="ERROR",Q10="ERROR"),"ERROR",SUM(I10:K10))</f>
        <v>1</v>
      </c>
      <c r="M10" s="1043"/>
      <c r="N10" s="1039"/>
      <c r="O10" s="1073">
        <f>IF(F10="x",1,0)</f>
        <v>1</v>
      </c>
      <c r="P10" s="1073">
        <f>IF(G10="x",1,0)</f>
        <v>0</v>
      </c>
      <c r="Q10" s="1073">
        <f>IF(H10="x",1,0)</f>
        <v>0</v>
      </c>
      <c r="R10" s="1074"/>
      <c r="S10" s="1074">
        <f>L10*D10</f>
        <v>0.6</v>
      </c>
      <c r="T10" s="1074">
        <f>SUM(S10:S12)</f>
        <v>1.25</v>
      </c>
      <c r="U10" s="1074"/>
      <c r="V10" s="1074">
        <v>1</v>
      </c>
      <c r="W10" s="1074">
        <f>V10*D10</f>
        <v>0.6</v>
      </c>
      <c r="X10" s="1074">
        <f>SUM(W10:W12)</f>
        <v>1</v>
      </c>
      <c r="Y10" s="1074">
        <f>X10*D9</f>
        <v>0.15</v>
      </c>
      <c r="Z10" s="1074">
        <f>SUM(Y10:Y34)</f>
        <v>1</v>
      </c>
      <c r="AA10" s="1074"/>
      <c r="AB10" s="1074">
        <v>2</v>
      </c>
      <c r="AC10" s="1074">
        <f>AB10*D10</f>
        <v>1.2</v>
      </c>
      <c r="AD10" s="1074">
        <f>SUM(AC10:AC12)</f>
        <v>2</v>
      </c>
      <c r="AE10" s="1074">
        <f>AD10*D9</f>
        <v>0.3</v>
      </c>
      <c r="AF10" s="1074">
        <f>SUM(AE10:AE34)</f>
        <v>1.97</v>
      </c>
      <c r="AG10" s="1075"/>
      <c r="AH10" s="1075">
        <v>3</v>
      </c>
      <c r="AI10" s="1075">
        <f>AH10*D10</f>
        <v>1.7999999999999998</v>
      </c>
      <c r="AJ10" s="1075">
        <f>SUM(AI10:AI12)</f>
        <v>3</v>
      </c>
      <c r="AK10" s="1075">
        <f>AJ10*D9</f>
        <v>0.44999999999999996</v>
      </c>
      <c r="AL10" s="1075">
        <f>SUM(AK10:AK34)</f>
        <v>2.9999999999999996</v>
      </c>
    </row>
    <row r="11" spans="1:38" ht="21" x14ac:dyDescent="0.35">
      <c r="A11" s="1042"/>
      <c r="B11" s="1076">
        <v>2</v>
      </c>
      <c r="C11" s="1077" t="s">
        <v>1412</v>
      </c>
      <c r="D11" s="2881">
        <v>0.25</v>
      </c>
      <c r="E11" s="2882"/>
      <c r="F11" s="1078"/>
      <c r="G11" s="1079" t="s">
        <v>194</v>
      </c>
      <c r="H11" s="1079"/>
      <c r="I11" s="1039">
        <f>IF(F11="x",1,0)</f>
        <v>0</v>
      </c>
      <c r="J11" s="1039">
        <f>IF(G11="x",2,0)</f>
        <v>2</v>
      </c>
      <c r="K11" s="1039">
        <f>IF(H11="x",3,0)</f>
        <v>0</v>
      </c>
      <c r="L11" s="1072">
        <f>IF(OR(SUM(O11:Q11)&lt;&gt;1,O11="ERROR",P11="ERROR",Q11="ERROR"),"ERROR",SUM(I11:K11))</f>
        <v>2</v>
      </c>
      <c r="M11" s="1043"/>
      <c r="N11" s="1039"/>
      <c r="O11" s="1073">
        <f t="shared" ref="O11:Q12" si="0">IF(F11="x",1,IF(F11=0,0,"ERROR"))</f>
        <v>0</v>
      </c>
      <c r="P11" s="1073">
        <f t="shared" si="0"/>
        <v>1</v>
      </c>
      <c r="Q11" s="1073">
        <f t="shared" si="0"/>
        <v>0</v>
      </c>
      <c r="R11" s="1074"/>
      <c r="S11" s="1074">
        <f>L11*D11</f>
        <v>0.5</v>
      </c>
      <c r="T11" s="1074"/>
      <c r="U11" s="1074"/>
      <c r="V11" s="1074">
        <v>1</v>
      </c>
      <c r="W11" s="1074">
        <f>V11*D11</f>
        <v>0.25</v>
      </c>
      <c r="X11" s="1074"/>
      <c r="Y11" s="1074"/>
      <c r="Z11" s="1074"/>
      <c r="AA11" s="1074"/>
      <c r="AB11" s="1074">
        <v>2</v>
      </c>
      <c r="AC11" s="1074">
        <f>AB11*D11</f>
        <v>0.5</v>
      </c>
      <c r="AD11" s="1074"/>
      <c r="AE11" s="1074"/>
      <c r="AF11" s="1074"/>
      <c r="AG11" s="1075"/>
      <c r="AH11" s="1075">
        <v>3</v>
      </c>
      <c r="AI11" s="1075">
        <f>AH11*D11</f>
        <v>0.75</v>
      </c>
      <c r="AJ11" s="1075"/>
      <c r="AK11" s="1075"/>
      <c r="AL11" s="1075"/>
    </row>
    <row r="12" spans="1:38" ht="21.75" thickBot="1" x14ac:dyDescent="0.4">
      <c r="A12" s="1042"/>
      <c r="B12" s="1080">
        <v>3</v>
      </c>
      <c r="C12" s="1081" t="s">
        <v>1413</v>
      </c>
      <c r="D12" s="2868">
        <v>0.15</v>
      </c>
      <c r="E12" s="2869"/>
      <c r="F12" s="1078" t="s">
        <v>194</v>
      </c>
      <c r="G12" s="1082"/>
      <c r="H12" s="1079"/>
      <c r="I12" s="1039">
        <f>IF(F12="x",1,0)</f>
        <v>1</v>
      </c>
      <c r="J12" s="1039">
        <f>IF(G12="x",2,0)</f>
        <v>0</v>
      </c>
      <c r="K12" s="1039">
        <f>IF(H12="x",3,0)</f>
        <v>0</v>
      </c>
      <c r="L12" s="1072">
        <f>IF(OR(SUM(O12:Q12)&lt;&gt;1,O12="ERROR",P12="ERROR",Q12="ERROR"),"ERROR",SUM(I12:K12))</f>
        <v>1</v>
      </c>
      <c r="M12" s="1043"/>
      <c r="N12" s="1039"/>
      <c r="O12" s="1073">
        <f t="shared" si="0"/>
        <v>1</v>
      </c>
      <c r="P12" s="1073">
        <f t="shared" si="0"/>
        <v>0</v>
      </c>
      <c r="Q12" s="1073">
        <f t="shared" si="0"/>
        <v>0</v>
      </c>
      <c r="R12" s="1074"/>
      <c r="S12" s="1074">
        <f>L12*D12</f>
        <v>0.15</v>
      </c>
      <c r="T12" s="1074"/>
      <c r="U12" s="1074"/>
      <c r="V12" s="1074">
        <v>1</v>
      </c>
      <c r="W12" s="1074">
        <f>V12*D12</f>
        <v>0.15</v>
      </c>
      <c r="X12" s="1074"/>
      <c r="Y12" s="1074"/>
      <c r="Z12" s="1074"/>
      <c r="AA12" s="1074"/>
      <c r="AB12" s="1074">
        <v>2</v>
      </c>
      <c r="AC12" s="1074">
        <f>AB12*D12</f>
        <v>0.3</v>
      </c>
      <c r="AD12" s="1074"/>
      <c r="AE12" s="1074"/>
      <c r="AF12" s="1074"/>
      <c r="AG12" s="1075"/>
      <c r="AH12" s="1075">
        <v>3</v>
      </c>
      <c r="AI12" s="1075">
        <f>AH12*D12</f>
        <v>0.44999999999999996</v>
      </c>
      <c r="AJ12" s="1075"/>
      <c r="AK12" s="1075"/>
      <c r="AL12" s="1075"/>
    </row>
    <row r="13" spans="1:38" ht="21.75" thickBot="1" x14ac:dyDescent="0.4">
      <c r="A13" s="1042"/>
      <c r="B13" s="1083" t="s">
        <v>60</v>
      </c>
      <c r="C13" s="1084" t="s">
        <v>1414</v>
      </c>
      <c r="D13" s="1085">
        <v>0.3</v>
      </c>
      <c r="E13" s="1063">
        <f>SUM(D14:D19)</f>
        <v>0.99999999999999989</v>
      </c>
      <c r="F13" s="1064"/>
      <c r="G13" s="1064"/>
      <c r="H13" s="1064"/>
      <c r="I13" s="1064"/>
      <c r="J13" s="1064"/>
      <c r="K13" s="1064"/>
      <c r="L13" s="1086"/>
      <c r="M13" s="1043"/>
      <c r="N13" s="1039"/>
      <c r="O13" s="1073"/>
      <c r="P13" s="1073"/>
      <c r="Q13" s="1073"/>
      <c r="R13" s="1074"/>
      <c r="S13" s="1074"/>
      <c r="T13" s="1074"/>
      <c r="U13" s="1074"/>
      <c r="V13" s="1074"/>
      <c r="W13" s="1074"/>
      <c r="X13" s="1074"/>
      <c r="Y13" s="1074"/>
      <c r="Z13" s="1074"/>
      <c r="AA13" s="1074"/>
      <c r="AB13" s="1074"/>
      <c r="AC13" s="1074"/>
      <c r="AD13" s="1074"/>
      <c r="AE13" s="1074"/>
      <c r="AF13" s="1074"/>
      <c r="AG13" s="1075"/>
      <c r="AH13" s="1075"/>
      <c r="AI13" s="1075"/>
      <c r="AJ13" s="1075"/>
      <c r="AK13" s="1075"/>
      <c r="AL13" s="1075"/>
    </row>
    <row r="14" spans="1:38" ht="21" x14ac:dyDescent="0.35">
      <c r="A14" s="1042"/>
      <c r="B14" s="1076">
        <v>1</v>
      </c>
      <c r="C14" s="1039" t="s">
        <v>1415</v>
      </c>
      <c r="D14" s="2870">
        <v>0.1</v>
      </c>
      <c r="E14" s="2871"/>
      <c r="F14" s="1087" t="s">
        <v>194</v>
      </c>
      <c r="G14" s="1087"/>
      <c r="H14" s="1087"/>
      <c r="I14" s="1039">
        <f t="shared" ref="I14:I19" si="1">IF(F14="x",1,0)</f>
        <v>1</v>
      </c>
      <c r="J14" s="1039">
        <f t="shared" ref="J14:J19" si="2">IF(G14="x",2,0)</f>
        <v>0</v>
      </c>
      <c r="K14" s="1039">
        <f t="shared" ref="K14:K19" si="3">IF(H14="x",3,0)</f>
        <v>0</v>
      </c>
      <c r="L14" s="1072">
        <f t="shared" ref="L14:L19" si="4">IF(OR(SUM(O14:Q14)&lt;&gt;1,O14="ERROR",P14="ERROR",Q14="ERROR"),"ERROR",SUM(I14:K14))</f>
        <v>1</v>
      </c>
      <c r="M14" s="1043"/>
      <c r="N14" s="1039"/>
      <c r="O14" s="1073">
        <f t="shared" ref="O14:Q19" si="5">IF(F14="x",1,IF(F14=0,0,"ERROR"))</f>
        <v>1</v>
      </c>
      <c r="P14" s="1073">
        <f t="shared" si="5"/>
        <v>0</v>
      </c>
      <c r="Q14" s="1073">
        <f t="shared" si="5"/>
        <v>0</v>
      </c>
      <c r="R14" s="1074"/>
      <c r="S14" s="1074">
        <f t="shared" ref="S14:S19" si="6">L14*D14</f>
        <v>0.1</v>
      </c>
      <c r="T14" s="1074">
        <f>SUM(S14:S19)</f>
        <v>0.99999999999999989</v>
      </c>
      <c r="U14" s="1074"/>
      <c r="V14" s="1074">
        <v>1</v>
      </c>
      <c r="W14" s="1074">
        <f t="shared" ref="W14:W19" si="7">V14*D14</f>
        <v>0.1</v>
      </c>
      <c r="X14" s="1074">
        <f>SUM(W14:W19)</f>
        <v>0.99999999999999989</v>
      </c>
      <c r="Y14" s="1074">
        <f>X14*D13</f>
        <v>0.29999999999999993</v>
      </c>
      <c r="Z14" s="1074"/>
      <c r="AA14" s="1074"/>
      <c r="AB14" s="1074">
        <v>2</v>
      </c>
      <c r="AC14" s="1074">
        <f t="shared" ref="AC14:AC19" si="8">AB14*D14</f>
        <v>0.2</v>
      </c>
      <c r="AD14" s="1074">
        <f>SUM(AC14:AC19)</f>
        <v>1.9</v>
      </c>
      <c r="AE14" s="1074">
        <f>AD14*D13</f>
        <v>0.56999999999999995</v>
      </c>
      <c r="AF14" s="1074"/>
      <c r="AG14" s="1075"/>
      <c r="AH14" s="1075">
        <v>3</v>
      </c>
      <c r="AI14" s="1075">
        <f t="shared" ref="AI14:AI19" si="9">AH14*D14</f>
        <v>0.30000000000000004</v>
      </c>
      <c r="AJ14" s="1075">
        <f>SUM(AI14:AI19)</f>
        <v>3</v>
      </c>
      <c r="AK14" s="1075">
        <f>AJ14*D13</f>
        <v>0.89999999999999991</v>
      </c>
      <c r="AL14" s="1075"/>
    </row>
    <row r="15" spans="1:38" ht="21" x14ac:dyDescent="0.35">
      <c r="A15" s="1042"/>
      <c r="B15" s="1076">
        <v>2</v>
      </c>
      <c r="C15" s="1039" t="s">
        <v>1416</v>
      </c>
      <c r="D15" s="2846">
        <v>0.25</v>
      </c>
      <c r="E15" s="2847"/>
      <c r="F15" s="1079" t="s">
        <v>194</v>
      </c>
      <c r="G15" s="1079"/>
      <c r="H15" s="1079"/>
      <c r="I15" s="1039">
        <f t="shared" si="1"/>
        <v>1</v>
      </c>
      <c r="J15" s="1039">
        <f t="shared" si="2"/>
        <v>0</v>
      </c>
      <c r="K15" s="1039">
        <f t="shared" si="3"/>
        <v>0</v>
      </c>
      <c r="L15" s="1072">
        <f t="shared" si="4"/>
        <v>1</v>
      </c>
      <c r="M15" s="1043"/>
      <c r="N15" s="1039"/>
      <c r="O15" s="1073">
        <f t="shared" si="5"/>
        <v>1</v>
      </c>
      <c r="P15" s="1073">
        <f t="shared" si="5"/>
        <v>0</v>
      </c>
      <c r="Q15" s="1073">
        <f t="shared" si="5"/>
        <v>0</v>
      </c>
      <c r="R15" s="1074"/>
      <c r="S15" s="1074">
        <f t="shared" si="6"/>
        <v>0.25</v>
      </c>
      <c r="T15" s="1074"/>
      <c r="U15" s="1074"/>
      <c r="V15" s="1074">
        <v>1</v>
      </c>
      <c r="W15" s="1074">
        <f t="shared" si="7"/>
        <v>0.25</v>
      </c>
      <c r="X15" s="1074"/>
      <c r="Y15" s="1074"/>
      <c r="Z15" s="1074"/>
      <c r="AA15" s="1074"/>
      <c r="AB15" s="1074">
        <v>2</v>
      </c>
      <c r="AC15" s="1074">
        <f t="shared" si="8"/>
        <v>0.5</v>
      </c>
      <c r="AD15" s="1074"/>
      <c r="AE15" s="1074"/>
      <c r="AF15" s="1074"/>
      <c r="AG15" s="1075"/>
      <c r="AH15" s="1075">
        <v>3</v>
      </c>
      <c r="AI15" s="1075">
        <f t="shared" si="9"/>
        <v>0.75</v>
      </c>
      <c r="AJ15" s="1075"/>
      <c r="AK15" s="1075"/>
      <c r="AL15" s="1075"/>
    </row>
    <row r="16" spans="1:38" ht="21" x14ac:dyDescent="0.35">
      <c r="A16" s="1042"/>
      <c r="B16" s="1076">
        <v>3</v>
      </c>
      <c r="C16" s="1088" t="s">
        <v>1417</v>
      </c>
      <c r="D16" s="2846">
        <v>0.25</v>
      </c>
      <c r="E16" s="2847"/>
      <c r="F16" s="1079" t="s">
        <v>194</v>
      </c>
      <c r="G16" s="1079"/>
      <c r="H16" s="1079"/>
      <c r="I16" s="1039">
        <f t="shared" si="1"/>
        <v>1</v>
      </c>
      <c r="J16" s="1039">
        <f t="shared" si="2"/>
        <v>0</v>
      </c>
      <c r="K16" s="1039">
        <f t="shared" si="3"/>
        <v>0</v>
      </c>
      <c r="L16" s="1072">
        <f t="shared" si="4"/>
        <v>1</v>
      </c>
      <c r="M16" s="1043"/>
      <c r="N16" s="1039"/>
      <c r="O16" s="1073">
        <f t="shared" si="5"/>
        <v>1</v>
      </c>
      <c r="P16" s="1073">
        <f t="shared" si="5"/>
        <v>0</v>
      </c>
      <c r="Q16" s="1073">
        <f t="shared" si="5"/>
        <v>0</v>
      </c>
      <c r="R16" s="1074"/>
      <c r="S16" s="1074">
        <f t="shared" si="6"/>
        <v>0.25</v>
      </c>
      <c r="T16" s="1074"/>
      <c r="U16" s="1074"/>
      <c r="V16" s="1074">
        <v>1</v>
      </c>
      <c r="W16" s="1074">
        <f t="shared" si="7"/>
        <v>0.25</v>
      </c>
      <c r="X16" s="1074"/>
      <c r="Y16" s="1074"/>
      <c r="Z16" s="1074"/>
      <c r="AA16" s="1074"/>
      <c r="AB16" s="1074">
        <v>2</v>
      </c>
      <c r="AC16" s="1074">
        <f t="shared" si="8"/>
        <v>0.5</v>
      </c>
      <c r="AD16" s="1074"/>
      <c r="AE16" s="1074"/>
      <c r="AF16" s="1074"/>
      <c r="AG16" s="1075"/>
      <c r="AH16" s="1075">
        <v>3</v>
      </c>
      <c r="AI16" s="1075">
        <f t="shared" si="9"/>
        <v>0.75</v>
      </c>
      <c r="AJ16" s="1075"/>
      <c r="AK16" s="1075"/>
      <c r="AL16" s="1075"/>
    </row>
    <row r="17" spans="1:38" ht="21" x14ac:dyDescent="0.35">
      <c r="A17" s="1042"/>
      <c r="B17" s="1076">
        <v>4</v>
      </c>
      <c r="C17" s="1089" t="s">
        <v>1418</v>
      </c>
      <c r="D17" s="2846">
        <v>0.1</v>
      </c>
      <c r="E17" s="2847"/>
      <c r="F17" s="1079" t="s">
        <v>194</v>
      </c>
      <c r="G17" s="1079"/>
      <c r="H17" s="1079"/>
      <c r="I17" s="1039">
        <f t="shared" si="1"/>
        <v>1</v>
      </c>
      <c r="J17" s="1039">
        <f t="shared" si="2"/>
        <v>0</v>
      </c>
      <c r="K17" s="1039">
        <f t="shared" si="3"/>
        <v>0</v>
      </c>
      <c r="L17" s="1072">
        <f t="shared" si="4"/>
        <v>1</v>
      </c>
      <c r="M17" s="1043"/>
      <c r="N17" s="1039"/>
      <c r="O17" s="1073">
        <f t="shared" si="5"/>
        <v>1</v>
      </c>
      <c r="P17" s="1073">
        <f t="shared" si="5"/>
        <v>0</v>
      </c>
      <c r="Q17" s="1073">
        <f t="shared" si="5"/>
        <v>0</v>
      </c>
      <c r="R17" s="1074"/>
      <c r="S17" s="1074">
        <f t="shared" si="6"/>
        <v>0.1</v>
      </c>
      <c r="T17" s="1074"/>
      <c r="U17" s="1074"/>
      <c r="V17" s="1074">
        <v>1</v>
      </c>
      <c r="W17" s="1074">
        <f t="shared" si="7"/>
        <v>0.1</v>
      </c>
      <c r="X17" s="1074"/>
      <c r="Y17" s="1074"/>
      <c r="Z17" s="1074"/>
      <c r="AA17" s="1074"/>
      <c r="AB17" s="1074">
        <v>2</v>
      </c>
      <c r="AC17" s="1074">
        <f t="shared" si="8"/>
        <v>0.2</v>
      </c>
      <c r="AD17" s="1074"/>
      <c r="AE17" s="1074"/>
      <c r="AF17" s="1074"/>
      <c r="AG17" s="1075"/>
      <c r="AH17" s="1075">
        <v>3</v>
      </c>
      <c r="AI17" s="1075">
        <f t="shared" si="9"/>
        <v>0.30000000000000004</v>
      </c>
      <c r="AJ17" s="1075"/>
      <c r="AK17" s="1075"/>
      <c r="AL17" s="1075"/>
    </row>
    <row r="18" spans="1:38" ht="21" x14ac:dyDescent="0.35">
      <c r="A18" s="1042"/>
      <c r="B18" s="1076">
        <v>5</v>
      </c>
      <c r="C18" s="1089" t="s">
        <v>1419</v>
      </c>
      <c r="D18" s="2846">
        <v>0.2</v>
      </c>
      <c r="E18" s="2847"/>
      <c r="F18" s="1079" t="s">
        <v>194</v>
      </c>
      <c r="G18" s="1079"/>
      <c r="H18" s="1079"/>
      <c r="I18" s="1039">
        <f t="shared" si="1"/>
        <v>1</v>
      </c>
      <c r="J18" s="1039">
        <f t="shared" si="2"/>
        <v>0</v>
      </c>
      <c r="K18" s="1039">
        <f t="shared" si="3"/>
        <v>0</v>
      </c>
      <c r="L18" s="1072">
        <f t="shared" si="4"/>
        <v>1</v>
      </c>
      <c r="M18" s="1043"/>
      <c r="N18" s="1039"/>
      <c r="O18" s="1073">
        <f t="shared" si="5"/>
        <v>1</v>
      </c>
      <c r="P18" s="1073">
        <f t="shared" si="5"/>
        <v>0</v>
      </c>
      <c r="Q18" s="1073">
        <f t="shared" si="5"/>
        <v>0</v>
      </c>
      <c r="R18" s="1074"/>
      <c r="S18" s="1074">
        <f t="shared" si="6"/>
        <v>0.2</v>
      </c>
      <c r="T18" s="1074"/>
      <c r="U18" s="1074"/>
      <c r="V18" s="1074">
        <v>1</v>
      </c>
      <c r="W18" s="1074">
        <f t="shared" si="7"/>
        <v>0.2</v>
      </c>
      <c r="X18" s="1074"/>
      <c r="Y18" s="1074"/>
      <c r="Z18" s="1074"/>
      <c r="AA18" s="1074"/>
      <c r="AB18" s="1074">
        <v>2</v>
      </c>
      <c r="AC18" s="1074">
        <f t="shared" si="8"/>
        <v>0.4</v>
      </c>
      <c r="AD18" s="1074"/>
      <c r="AE18" s="1074"/>
      <c r="AF18" s="1074"/>
      <c r="AG18" s="1075"/>
      <c r="AH18" s="1075">
        <v>3</v>
      </c>
      <c r="AI18" s="1075">
        <f t="shared" si="9"/>
        <v>0.60000000000000009</v>
      </c>
      <c r="AJ18" s="1075"/>
      <c r="AK18" s="1075"/>
      <c r="AL18" s="1075"/>
    </row>
    <row r="19" spans="1:38" ht="21.75" thickBot="1" x14ac:dyDescent="0.4">
      <c r="A19" s="1042"/>
      <c r="B19" s="1076">
        <v>6</v>
      </c>
      <c r="C19" s="1039" t="s">
        <v>1420</v>
      </c>
      <c r="D19" s="2848">
        <v>0.1</v>
      </c>
      <c r="E19" s="2849"/>
      <c r="F19" s="1082" t="s">
        <v>194</v>
      </c>
      <c r="G19" s="1090"/>
      <c r="H19" s="1082"/>
      <c r="I19" s="1039">
        <f t="shared" si="1"/>
        <v>1</v>
      </c>
      <c r="J19" s="1039">
        <f t="shared" si="2"/>
        <v>0</v>
      </c>
      <c r="K19" s="1039">
        <f t="shared" si="3"/>
        <v>0</v>
      </c>
      <c r="L19" s="1072">
        <f t="shared" si="4"/>
        <v>1</v>
      </c>
      <c r="M19" s="1043"/>
      <c r="N19" s="1039"/>
      <c r="O19" s="1073">
        <f t="shared" si="5"/>
        <v>1</v>
      </c>
      <c r="P19" s="1073">
        <f t="shared" si="5"/>
        <v>0</v>
      </c>
      <c r="Q19" s="1073">
        <f t="shared" si="5"/>
        <v>0</v>
      </c>
      <c r="R19" s="1074"/>
      <c r="S19" s="1074">
        <f t="shared" si="6"/>
        <v>0.1</v>
      </c>
      <c r="T19" s="1074"/>
      <c r="U19" s="1074"/>
      <c r="V19" s="1074">
        <v>1</v>
      </c>
      <c r="W19" s="1074">
        <f t="shared" si="7"/>
        <v>0.1</v>
      </c>
      <c r="X19" s="1074"/>
      <c r="Y19" s="1074"/>
      <c r="Z19" s="1074"/>
      <c r="AA19" s="1074"/>
      <c r="AB19" s="1074">
        <v>1</v>
      </c>
      <c r="AC19" s="1074">
        <f t="shared" si="8"/>
        <v>0.1</v>
      </c>
      <c r="AD19" s="1074"/>
      <c r="AE19" s="1074"/>
      <c r="AF19" s="1074"/>
      <c r="AG19" s="1075"/>
      <c r="AH19" s="1075">
        <v>3</v>
      </c>
      <c r="AI19" s="1075">
        <f t="shared" si="9"/>
        <v>0.30000000000000004</v>
      </c>
      <c r="AJ19" s="1075"/>
      <c r="AK19" s="1075"/>
      <c r="AL19" s="1075"/>
    </row>
    <row r="20" spans="1:38" ht="21.75" thickBot="1" x14ac:dyDescent="0.4">
      <c r="A20" s="1042"/>
      <c r="B20" s="1091" t="s">
        <v>640</v>
      </c>
      <c r="C20" s="1092" t="s">
        <v>1421</v>
      </c>
      <c r="D20" s="1085">
        <v>0.35</v>
      </c>
      <c r="E20" s="1063">
        <f>SUM(D21:D28)</f>
        <v>1.0000000000000002</v>
      </c>
      <c r="F20" s="1064"/>
      <c r="G20" s="1064"/>
      <c r="H20" s="1064"/>
      <c r="I20" s="1064"/>
      <c r="J20" s="1064"/>
      <c r="K20" s="1064"/>
      <c r="L20" s="1086"/>
      <c r="M20" s="1043"/>
      <c r="N20" s="1039"/>
      <c r="O20" s="1073"/>
      <c r="P20" s="1073"/>
      <c r="Q20" s="1073"/>
      <c r="R20" s="1074"/>
      <c r="S20" s="1074"/>
      <c r="T20" s="1074"/>
      <c r="U20" s="1074"/>
      <c r="V20" s="1074"/>
      <c r="W20" s="1074"/>
      <c r="X20" s="1074"/>
      <c r="Y20" s="1074"/>
      <c r="Z20" s="1074"/>
      <c r="AA20" s="1074"/>
      <c r="AB20" s="1074"/>
      <c r="AC20" s="1074"/>
      <c r="AD20" s="1074"/>
      <c r="AE20" s="1074"/>
      <c r="AF20" s="1074"/>
      <c r="AG20" s="1075"/>
      <c r="AH20" s="1075"/>
      <c r="AI20" s="1075"/>
      <c r="AJ20" s="1075"/>
      <c r="AK20" s="1075"/>
      <c r="AL20" s="1075"/>
    </row>
    <row r="21" spans="1:38" ht="21" x14ac:dyDescent="0.35">
      <c r="A21" s="1042"/>
      <c r="B21" s="1068">
        <v>1</v>
      </c>
      <c r="C21" s="1093" t="s">
        <v>1422</v>
      </c>
      <c r="D21" s="2870">
        <v>0.1</v>
      </c>
      <c r="E21" s="2871"/>
      <c r="F21" s="1087" t="s">
        <v>194</v>
      </c>
      <c r="G21" s="1094"/>
      <c r="H21" s="1087"/>
      <c r="I21" s="1093">
        <f t="shared" ref="I21:I28" si="10">IF(F21="x",1,0)</f>
        <v>1</v>
      </c>
      <c r="J21" s="1093">
        <f t="shared" ref="J21:J28" si="11">IF(G21="x",2,0)</f>
        <v>0</v>
      </c>
      <c r="K21" s="1093">
        <f t="shared" ref="K21:K28" si="12">IF(H21="x",3,0)</f>
        <v>0</v>
      </c>
      <c r="L21" s="1072">
        <f t="shared" ref="L21:L28" si="13">IF(OR(SUM(O21:Q21)&lt;&gt;1,O21="ERROR",P21="ERROR",Q21="ERROR"),"ERROR",SUM(I21:K21))</f>
        <v>1</v>
      </c>
      <c r="M21" s="1043"/>
      <c r="N21" s="1039"/>
      <c r="O21" s="1073">
        <f t="shared" ref="O21:Q28" si="14">IF(F21="x",1,IF(F21=0,0,"ERROR"))</f>
        <v>1</v>
      </c>
      <c r="P21" s="1073">
        <f t="shared" si="14"/>
        <v>0</v>
      </c>
      <c r="Q21" s="1073">
        <f t="shared" si="14"/>
        <v>0</v>
      </c>
      <c r="R21" s="1074"/>
      <c r="S21" s="1074">
        <f t="shared" ref="S21:S28" si="15">L21*D21</f>
        <v>0.1</v>
      </c>
      <c r="T21" s="1074">
        <f>SUM(S21:S28)</f>
        <v>1.1000000000000003</v>
      </c>
      <c r="U21" s="1074"/>
      <c r="V21" s="1074">
        <v>1</v>
      </c>
      <c r="W21" s="1074">
        <f t="shared" ref="W21:W28" si="16">V21*D21</f>
        <v>0.1</v>
      </c>
      <c r="X21" s="1074">
        <f>SUM(W21:W28)</f>
        <v>1.0000000000000002</v>
      </c>
      <c r="Y21" s="1074">
        <f>X21*D20</f>
        <v>0.35000000000000003</v>
      </c>
      <c r="Z21" s="1074"/>
      <c r="AA21" s="1074"/>
      <c r="AB21" s="1074">
        <v>2</v>
      </c>
      <c r="AC21" s="1074">
        <f t="shared" ref="AC21:AC28" si="17">AB21*D21</f>
        <v>0.2</v>
      </c>
      <c r="AD21" s="1074">
        <f>SUM(AC21:AC28)</f>
        <v>2.0000000000000004</v>
      </c>
      <c r="AE21" s="1074">
        <f>AD21*D20</f>
        <v>0.70000000000000007</v>
      </c>
      <c r="AF21" s="1074"/>
      <c r="AG21" s="1075"/>
      <c r="AH21" s="1075">
        <v>3</v>
      </c>
      <c r="AI21" s="1075">
        <f t="shared" ref="AI21:AI28" si="18">AH21*D21</f>
        <v>0.30000000000000004</v>
      </c>
      <c r="AJ21" s="1075">
        <f>SUM(AI21:AI28)</f>
        <v>3</v>
      </c>
      <c r="AK21" s="1075">
        <f>AJ21*D20</f>
        <v>1.0499999999999998</v>
      </c>
      <c r="AL21" s="1075"/>
    </row>
    <row r="22" spans="1:38" ht="21" x14ac:dyDescent="0.35">
      <c r="A22" s="1042"/>
      <c r="B22" s="1076">
        <v>2</v>
      </c>
      <c r="C22" s="1039" t="s">
        <v>1423</v>
      </c>
      <c r="D22" s="2846">
        <v>0.2</v>
      </c>
      <c r="E22" s="2847"/>
      <c r="F22" s="1079" t="s">
        <v>194</v>
      </c>
      <c r="G22" s="1095"/>
      <c r="H22" s="1079"/>
      <c r="I22" s="1039">
        <f t="shared" si="10"/>
        <v>1</v>
      </c>
      <c r="J22" s="1039">
        <f t="shared" si="11"/>
        <v>0</v>
      </c>
      <c r="K22" s="1039">
        <f t="shared" si="12"/>
        <v>0</v>
      </c>
      <c r="L22" s="1072">
        <f t="shared" si="13"/>
        <v>1</v>
      </c>
      <c r="M22" s="1043"/>
      <c r="N22" s="1039"/>
      <c r="O22" s="1073">
        <f t="shared" si="14"/>
        <v>1</v>
      </c>
      <c r="P22" s="1073">
        <f t="shared" si="14"/>
        <v>0</v>
      </c>
      <c r="Q22" s="1073">
        <f t="shared" si="14"/>
        <v>0</v>
      </c>
      <c r="R22" s="1074"/>
      <c r="S22" s="1074">
        <f t="shared" si="15"/>
        <v>0.2</v>
      </c>
      <c r="T22" s="1074"/>
      <c r="U22" s="1074"/>
      <c r="V22" s="1074">
        <v>1</v>
      </c>
      <c r="W22" s="1074">
        <f t="shared" si="16"/>
        <v>0.2</v>
      </c>
      <c r="X22" s="1074"/>
      <c r="Y22" s="1074"/>
      <c r="Z22" s="1074"/>
      <c r="AA22" s="1074"/>
      <c r="AB22" s="1074">
        <v>2</v>
      </c>
      <c r="AC22" s="1074">
        <f t="shared" si="17"/>
        <v>0.4</v>
      </c>
      <c r="AD22" s="1074"/>
      <c r="AE22" s="1074"/>
      <c r="AF22" s="1074"/>
      <c r="AG22" s="1075"/>
      <c r="AH22" s="1075">
        <v>3</v>
      </c>
      <c r="AI22" s="1075">
        <f t="shared" si="18"/>
        <v>0.60000000000000009</v>
      </c>
      <c r="AJ22" s="1075"/>
      <c r="AK22" s="1075"/>
      <c r="AL22" s="1075"/>
    </row>
    <row r="23" spans="1:38" ht="21" x14ac:dyDescent="0.35">
      <c r="A23" s="1042"/>
      <c r="B23" s="1076">
        <v>3</v>
      </c>
      <c r="C23" s="1039" t="s">
        <v>1424</v>
      </c>
      <c r="D23" s="2846">
        <v>0.05</v>
      </c>
      <c r="E23" s="2847"/>
      <c r="F23" s="1079" t="s">
        <v>194</v>
      </c>
      <c r="G23" s="1095"/>
      <c r="H23" s="1079"/>
      <c r="I23" s="1039">
        <f t="shared" si="10"/>
        <v>1</v>
      </c>
      <c r="J23" s="1039">
        <f t="shared" si="11"/>
        <v>0</v>
      </c>
      <c r="K23" s="1039">
        <f t="shared" si="12"/>
        <v>0</v>
      </c>
      <c r="L23" s="1072">
        <f t="shared" si="13"/>
        <v>1</v>
      </c>
      <c r="M23" s="1043"/>
      <c r="N23" s="1039"/>
      <c r="O23" s="1073">
        <f t="shared" si="14"/>
        <v>1</v>
      </c>
      <c r="P23" s="1073">
        <f t="shared" si="14"/>
        <v>0</v>
      </c>
      <c r="Q23" s="1073">
        <f t="shared" si="14"/>
        <v>0</v>
      </c>
      <c r="R23" s="1074"/>
      <c r="S23" s="1074">
        <f t="shared" si="15"/>
        <v>0.05</v>
      </c>
      <c r="T23" s="1074"/>
      <c r="U23" s="1074"/>
      <c r="V23" s="1074">
        <v>1</v>
      </c>
      <c r="W23" s="1074">
        <f t="shared" si="16"/>
        <v>0.05</v>
      </c>
      <c r="X23" s="1074"/>
      <c r="Y23" s="1074"/>
      <c r="Z23" s="1074"/>
      <c r="AA23" s="1074"/>
      <c r="AB23" s="1074">
        <v>2</v>
      </c>
      <c r="AC23" s="1074">
        <f t="shared" si="17"/>
        <v>0.1</v>
      </c>
      <c r="AD23" s="1074"/>
      <c r="AE23" s="1074"/>
      <c r="AF23" s="1074"/>
      <c r="AG23" s="1075"/>
      <c r="AH23" s="1075">
        <v>3</v>
      </c>
      <c r="AI23" s="1075">
        <f t="shared" si="18"/>
        <v>0.15000000000000002</v>
      </c>
      <c r="AJ23" s="1075"/>
      <c r="AK23" s="1075"/>
      <c r="AL23" s="1075"/>
    </row>
    <row r="24" spans="1:38" ht="21" x14ac:dyDescent="0.35">
      <c r="A24" s="1042"/>
      <c r="B24" s="1076">
        <v>4</v>
      </c>
      <c r="C24" s="1039" t="s">
        <v>1425</v>
      </c>
      <c r="D24" s="2846">
        <v>0.1</v>
      </c>
      <c r="E24" s="2847"/>
      <c r="F24" s="1079" t="s">
        <v>194</v>
      </c>
      <c r="G24" s="1079"/>
      <c r="H24" s="1079"/>
      <c r="I24" s="1039">
        <f t="shared" si="10"/>
        <v>1</v>
      </c>
      <c r="J24" s="1039">
        <f t="shared" si="11"/>
        <v>0</v>
      </c>
      <c r="K24" s="1039">
        <f t="shared" si="12"/>
        <v>0</v>
      </c>
      <c r="L24" s="1072">
        <f t="shared" si="13"/>
        <v>1</v>
      </c>
      <c r="M24" s="1043"/>
      <c r="N24" s="1039"/>
      <c r="O24" s="1073">
        <f t="shared" si="14"/>
        <v>1</v>
      </c>
      <c r="P24" s="1073">
        <f t="shared" si="14"/>
        <v>0</v>
      </c>
      <c r="Q24" s="1073">
        <f t="shared" si="14"/>
        <v>0</v>
      </c>
      <c r="R24" s="1074"/>
      <c r="S24" s="1074">
        <f t="shared" si="15"/>
        <v>0.1</v>
      </c>
      <c r="T24" s="1074"/>
      <c r="U24" s="1074"/>
      <c r="V24" s="1074">
        <v>1</v>
      </c>
      <c r="W24" s="1074">
        <f t="shared" si="16"/>
        <v>0.1</v>
      </c>
      <c r="X24" s="1074"/>
      <c r="Y24" s="1074"/>
      <c r="Z24" s="1074"/>
      <c r="AA24" s="1074"/>
      <c r="AB24" s="1074">
        <v>2</v>
      </c>
      <c r="AC24" s="1074">
        <f t="shared" si="17"/>
        <v>0.2</v>
      </c>
      <c r="AD24" s="1074"/>
      <c r="AE24" s="1074"/>
      <c r="AF24" s="1074"/>
      <c r="AG24" s="1075"/>
      <c r="AH24" s="1075">
        <v>3</v>
      </c>
      <c r="AI24" s="1075">
        <f t="shared" si="18"/>
        <v>0.30000000000000004</v>
      </c>
      <c r="AJ24" s="1075"/>
      <c r="AK24" s="1075"/>
      <c r="AL24" s="1075"/>
    </row>
    <row r="25" spans="1:38" ht="21" x14ac:dyDescent="0.35">
      <c r="A25" s="1042"/>
      <c r="B25" s="1076">
        <v>5</v>
      </c>
      <c r="C25" s="1039" t="s">
        <v>1426</v>
      </c>
      <c r="D25" s="2846">
        <v>0.2</v>
      </c>
      <c r="E25" s="2847"/>
      <c r="F25" s="1079" t="s">
        <v>194</v>
      </c>
      <c r="G25" s="1095"/>
      <c r="H25" s="1079"/>
      <c r="I25" s="1039">
        <f t="shared" si="10"/>
        <v>1</v>
      </c>
      <c r="J25" s="1039">
        <f t="shared" si="11"/>
        <v>0</v>
      </c>
      <c r="K25" s="1039">
        <f t="shared" si="12"/>
        <v>0</v>
      </c>
      <c r="L25" s="1072">
        <f t="shared" si="13"/>
        <v>1</v>
      </c>
      <c r="M25" s="1043"/>
      <c r="N25" s="1039"/>
      <c r="O25" s="1073">
        <f t="shared" si="14"/>
        <v>1</v>
      </c>
      <c r="P25" s="1073">
        <f t="shared" si="14"/>
        <v>0</v>
      </c>
      <c r="Q25" s="1073">
        <f t="shared" si="14"/>
        <v>0</v>
      </c>
      <c r="R25" s="1074"/>
      <c r="S25" s="1074">
        <f t="shared" si="15"/>
        <v>0.2</v>
      </c>
      <c r="T25" s="1074"/>
      <c r="U25" s="1074"/>
      <c r="V25" s="1074">
        <v>1</v>
      </c>
      <c r="W25" s="1074">
        <f t="shared" si="16"/>
        <v>0.2</v>
      </c>
      <c r="X25" s="1074"/>
      <c r="Y25" s="1074"/>
      <c r="Z25" s="1074"/>
      <c r="AA25" s="1074"/>
      <c r="AB25" s="1074">
        <v>2</v>
      </c>
      <c r="AC25" s="1074">
        <f t="shared" si="17"/>
        <v>0.4</v>
      </c>
      <c r="AD25" s="1074"/>
      <c r="AE25" s="1074"/>
      <c r="AF25" s="1074"/>
      <c r="AG25" s="1075"/>
      <c r="AH25" s="1075">
        <v>3</v>
      </c>
      <c r="AI25" s="1075">
        <f t="shared" si="18"/>
        <v>0.60000000000000009</v>
      </c>
      <c r="AJ25" s="1075"/>
      <c r="AK25" s="1075"/>
      <c r="AL25" s="1075"/>
    </row>
    <row r="26" spans="1:38" ht="21" x14ac:dyDescent="0.35">
      <c r="A26" s="1042"/>
      <c r="B26" s="1076">
        <v>6</v>
      </c>
      <c r="C26" s="1088" t="s">
        <v>1427</v>
      </c>
      <c r="D26" s="2846">
        <v>0.15</v>
      </c>
      <c r="E26" s="2847"/>
      <c r="F26" s="1079" t="s">
        <v>194</v>
      </c>
      <c r="G26" s="1095"/>
      <c r="H26" s="1079"/>
      <c r="I26" s="1039">
        <f t="shared" si="10"/>
        <v>1</v>
      </c>
      <c r="J26" s="1039">
        <f t="shared" si="11"/>
        <v>0</v>
      </c>
      <c r="K26" s="1039">
        <f t="shared" si="12"/>
        <v>0</v>
      </c>
      <c r="L26" s="1072">
        <f t="shared" si="13"/>
        <v>1</v>
      </c>
      <c r="M26" s="1043"/>
      <c r="N26" s="1039"/>
      <c r="O26" s="1073">
        <f t="shared" si="14"/>
        <v>1</v>
      </c>
      <c r="P26" s="1073">
        <f t="shared" si="14"/>
        <v>0</v>
      </c>
      <c r="Q26" s="1073">
        <f t="shared" si="14"/>
        <v>0</v>
      </c>
      <c r="R26" s="1074"/>
      <c r="S26" s="1074">
        <f t="shared" si="15"/>
        <v>0.15</v>
      </c>
      <c r="T26" s="1074"/>
      <c r="U26" s="1074"/>
      <c r="V26" s="1074">
        <v>1</v>
      </c>
      <c r="W26" s="1074">
        <f t="shared" si="16"/>
        <v>0.15</v>
      </c>
      <c r="X26" s="1074"/>
      <c r="Y26" s="1074"/>
      <c r="Z26" s="1074"/>
      <c r="AA26" s="1074"/>
      <c r="AB26" s="1074">
        <v>2</v>
      </c>
      <c r="AC26" s="1074">
        <f t="shared" si="17"/>
        <v>0.3</v>
      </c>
      <c r="AD26" s="1074"/>
      <c r="AE26" s="1074"/>
      <c r="AF26" s="1074"/>
      <c r="AG26" s="1075"/>
      <c r="AH26" s="1075">
        <v>3</v>
      </c>
      <c r="AI26" s="1075">
        <f t="shared" si="18"/>
        <v>0.44999999999999996</v>
      </c>
      <c r="AJ26" s="1075"/>
      <c r="AK26" s="1075"/>
      <c r="AL26" s="1075"/>
    </row>
    <row r="27" spans="1:38" ht="21" x14ac:dyDescent="0.35">
      <c r="A27" s="1042"/>
      <c r="B27" s="1076">
        <v>7</v>
      </c>
      <c r="C27" s="1089" t="s">
        <v>1428</v>
      </c>
      <c r="D27" s="2846">
        <v>0.1</v>
      </c>
      <c r="E27" s="2847"/>
      <c r="F27" s="1079"/>
      <c r="G27" s="1095" t="s">
        <v>194</v>
      </c>
      <c r="H27" s="1079"/>
      <c r="I27" s="1039">
        <f t="shared" si="10"/>
        <v>0</v>
      </c>
      <c r="J27" s="1039">
        <f t="shared" si="11"/>
        <v>2</v>
      </c>
      <c r="K27" s="1039">
        <f t="shared" si="12"/>
        <v>0</v>
      </c>
      <c r="L27" s="1072">
        <f t="shared" si="13"/>
        <v>2</v>
      </c>
      <c r="M27" s="1043"/>
      <c r="N27" s="1039"/>
      <c r="O27" s="1073">
        <f t="shared" si="14"/>
        <v>0</v>
      </c>
      <c r="P27" s="1073">
        <f t="shared" si="14"/>
        <v>1</v>
      </c>
      <c r="Q27" s="1073">
        <f t="shared" si="14"/>
        <v>0</v>
      </c>
      <c r="R27" s="1074"/>
      <c r="S27" s="1074">
        <f t="shared" si="15"/>
        <v>0.2</v>
      </c>
      <c r="T27" s="1074"/>
      <c r="U27" s="1074"/>
      <c r="V27" s="1074">
        <v>1</v>
      </c>
      <c r="W27" s="1074">
        <f t="shared" si="16"/>
        <v>0.1</v>
      </c>
      <c r="X27" s="1074"/>
      <c r="Y27" s="1074"/>
      <c r="Z27" s="1074"/>
      <c r="AA27" s="1074"/>
      <c r="AB27" s="1074">
        <v>2</v>
      </c>
      <c r="AC27" s="1074">
        <f t="shared" si="17"/>
        <v>0.2</v>
      </c>
      <c r="AD27" s="1074"/>
      <c r="AE27" s="1074"/>
      <c r="AF27" s="1074"/>
      <c r="AG27" s="1075"/>
      <c r="AH27" s="1075">
        <v>3</v>
      </c>
      <c r="AI27" s="1075">
        <f t="shared" si="18"/>
        <v>0.30000000000000004</v>
      </c>
      <c r="AJ27" s="1075"/>
      <c r="AK27" s="1075"/>
      <c r="AL27" s="1075"/>
    </row>
    <row r="28" spans="1:38" ht="21.75" thickBot="1" x14ac:dyDescent="0.4">
      <c r="A28" s="1042"/>
      <c r="B28" s="1080">
        <v>8</v>
      </c>
      <c r="C28" s="1096" t="s">
        <v>1429</v>
      </c>
      <c r="D28" s="2848">
        <v>0.1</v>
      </c>
      <c r="E28" s="2849"/>
      <c r="F28" s="1082" t="s">
        <v>194</v>
      </c>
      <c r="G28" s="1097"/>
      <c r="H28" s="1082"/>
      <c r="I28" s="1096">
        <f t="shared" si="10"/>
        <v>1</v>
      </c>
      <c r="J28" s="1096">
        <f t="shared" si="11"/>
        <v>0</v>
      </c>
      <c r="K28" s="1096">
        <f t="shared" si="12"/>
        <v>0</v>
      </c>
      <c r="L28" s="1072">
        <f t="shared" si="13"/>
        <v>1</v>
      </c>
      <c r="M28" s="1043"/>
      <c r="N28" s="1039"/>
      <c r="O28" s="1073">
        <f t="shared" si="14"/>
        <v>1</v>
      </c>
      <c r="P28" s="1073">
        <f t="shared" si="14"/>
        <v>0</v>
      </c>
      <c r="Q28" s="1073">
        <f t="shared" si="14"/>
        <v>0</v>
      </c>
      <c r="R28" s="1074"/>
      <c r="S28" s="1074">
        <f t="shared" si="15"/>
        <v>0.1</v>
      </c>
      <c r="T28" s="1074"/>
      <c r="U28" s="1074"/>
      <c r="V28" s="1074">
        <v>1</v>
      </c>
      <c r="W28" s="1074">
        <f t="shared" si="16"/>
        <v>0.1</v>
      </c>
      <c r="X28" s="1074"/>
      <c r="Y28" s="1074"/>
      <c r="Z28" s="1074"/>
      <c r="AA28" s="1074"/>
      <c r="AB28" s="1074">
        <v>2</v>
      </c>
      <c r="AC28" s="1074">
        <f t="shared" si="17"/>
        <v>0.2</v>
      </c>
      <c r="AD28" s="1074"/>
      <c r="AE28" s="1074"/>
      <c r="AF28" s="1074"/>
      <c r="AG28" s="1075"/>
      <c r="AH28" s="1075">
        <v>3</v>
      </c>
      <c r="AI28" s="1075">
        <f t="shared" si="18"/>
        <v>0.30000000000000004</v>
      </c>
      <c r="AJ28" s="1075"/>
      <c r="AK28" s="1075"/>
      <c r="AL28" s="1075"/>
    </row>
    <row r="29" spans="1:38" ht="21.75" thickBot="1" x14ac:dyDescent="0.4">
      <c r="A29" s="1042"/>
      <c r="B29" s="1091" t="s">
        <v>1139</v>
      </c>
      <c r="C29" s="1092" t="s">
        <v>1430</v>
      </c>
      <c r="D29" s="1085">
        <v>0.15</v>
      </c>
      <c r="E29" s="1063">
        <f>SUM(D30:D32)</f>
        <v>1</v>
      </c>
      <c r="F29" s="1064"/>
      <c r="G29" s="1064"/>
      <c r="H29" s="1064"/>
      <c r="I29" s="1064"/>
      <c r="J29" s="1064"/>
      <c r="K29" s="1064"/>
      <c r="L29" s="1086"/>
      <c r="M29" s="1043"/>
      <c r="N29" s="1039"/>
      <c r="O29" s="1098"/>
      <c r="P29" s="1098"/>
      <c r="Q29" s="1098"/>
      <c r="R29" s="1074"/>
      <c r="S29" s="1074"/>
      <c r="T29" s="1074"/>
      <c r="U29" s="1074"/>
      <c r="V29" s="1074"/>
      <c r="W29" s="1074"/>
      <c r="X29" s="1074"/>
      <c r="Y29" s="1074"/>
      <c r="Z29" s="1074"/>
      <c r="AA29" s="1074"/>
      <c r="AB29" s="1074"/>
      <c r="AC29" s="1074"/>
      <c r="AD29" s="1074"/>
      <c r="AE29" s="1074"/>
      <c r="AF29" s="1074"/>
      <c r="AG29" s="1075"/>
      <c r="AH29" s="1075"/>
      <c r="AI29" s="1075"/>
      <c r="AJ29" s="1075"/>
      <c r="AK29" s="1075"/>
      <c r="AL29" s="1075"/>
    </row>
    <row r="30" spans="1:38" ht="21" x14ac:dyDescent="0.35">
      <c r="A30" s="1042"/>
      <c r="B30" s="1068">
        <v>1</v>
      </c>
      <c r="C30" s="1069" t="s">
        <v>1431</v>
      </c>
      <c r="D30" s="2850">
        <v>0.4</v>
      </c>
      <c r="E30" s="2851"/>
      <c r="F30" s="1087"/>
      <c r="G30" s="1087" t="s">
        <v>194</v>
      </c>
      <c r="H30" s="1087"/>
      <c r="I30" s="1039">
        <f>IF(F30="x",1,0)</f>
        <v>0</v>
      </c>
      <c r="J30" s="1039">
        <f>IF(G30="x",2,0)</f>
        <v>2</v>
      </c>
      <c r="K30" s="1039">
        <f>IF(H30="x",3,0)</f>
        <v>0</v>
      </c>
      <c r="L30" s="1072">
        <f>IF(OR(SUM(O30:Q30)&lt;&gt;1,O30="ERROR",P30="ERROR",Q30="ERROR"),"ERROR",SUM(I30:K30))</f>
        <v>2</v>
      </c>
      <c r="M30" s="1043"/>
      <c r="N30" s="1039"/>
      <c r="O30" s="1073">
        <f t="shared" ref="O30:Q32" si="19">IF(F30="x",1,IF(F30=0,0,"ERROR"))</f>
        <v>0</v>
      </c>
      <c r="P30" s="1073">
        <f t="shared" si="19"/>
        <v>1</v>
      </c>
      <c r="Q30" s="1073">
        <f t="shared" si="19"/>
        <v>0</v>
      </c>
      <c r="R30" s="1074"/>
      <c r="S30" s="1074">
        <f>L30*D30</f>
        <v>0.8</v>
      </c>
      <c r="T30" s="1074">
        <f>SUM(S30:S32)</f>
        <v>1.6</v>
      </c>
      <c r="U30" s="1074"/>
      <c r="V30" s="1074">
        <v>1</v>
      </c>
      <c r="W30" s="1074">
        <f>V30*D30</f>
        <v>0.4</v>
      </c>
      <c r="X30" s="1074">
        <f>SUM(W30:W32)</f>
        <v>1</v>
      </c>
      <c r="Y30" s="1074">
        <f>X30*D29</f>
        <v>0.15</v>
      </c>
      <c r="Z30" s="1074"/>
      <c r="AA30" s="1074"/>
      <c r="AB30" s="1074">
        <v>2</v>
      </c>
      <c r="AC30" s="1074">
        <f>AB30*D30</f>
        <v>0.8</v>
      </c>
      <c r="AD30" s="1074">
        <f>SUM(AC30:AC32)</f>
        <v>2</v>
      </c>
      <c r="AE30" s="1074">
        <f>AD30*D29</f>
        <v>0.3</v>
      </c>
      <c r="AF30" s="1074"/>
      <c r="AG30" s="1075"/>
      <c r="AH30" s="1075">
        <v>3</v>
      </c>
      <c r="AI30" s="1075">
        <f>AH30*D30</f>
        <v>1.2000000000000002</v>
      </c>
      <c r="AJ30" s="1075">
        <f>SUM(AI30:AI32)</f>
        <v>3.0000000000000004</v>
      </c>
      <c r="AK30" s="1075">
        <f>AJ30*D29</f>
        <v>0.45000000000000007</v>
      </c>
      <c r="AL30" s="1075"/>
    </row>
    <row r="31" spans="1:38" ht="21" x14ac:dyDescent="0.35">
      <c r="A31" s="1042"/>
      <c r="B31" s="1076">
        <v>2</v>
      </c>
      <c r="C31" s="1077" t="s">
        <v>1432</v>
      </c>
      <c r="D31" s="2854">
        <v>0.4</v>
      </c>
      <c r="E31" s="2855"/>
      <c r="F31" s="1079" t="s">
        <v>194</v>
      </c>
      <c r="G31" s="1079"/>
      <c r="H31" s="1079"/>
      <c r="I31" s="1039">
        <f>IF(F31="x",1,0)</f>
        <v>1</v>
      </c>
      <c r="J31" s="1039">
        <f>IF(G31="x",2,0)</f>
        <v>0</v>
      </c>
      <c r="K31" s="1039">
        <f>IF(H31="x",3,0)</f>
        <v>0</v>
      </c>
      <c r="L31" s="1072">
        <f>IF(OR(SUM(O31:Q31)&lt;&gt;1,O31="ERROR",P31="ERROR",Q31="ERROR"),"ERROR",SUM(I31:K31))</f>
        <v>1</v>
      </c>
      <c r="M31" s="1043"/>
      <c r="N31" s="1039"/>
      <c r="O31" s="1073">
        <f t="shared" si="19"/>
        <v>1</v>
      </c>
      <c r="P31" s="1073">
        <f t="shared" si="19"/>
        <v>0</v>
      </c>
      <c r="Q31" s="1073">
        <f t="shared" si="19"/>
        <v>0</v>
      </c>
      <c r="R31" s="1074"/>
      <c r="S31" s="1074">
        <f>L31*D31</f>
        <v>0.4</v>
      </c>
      <c r="T31" s="1074"/>
      <c r="U31" s="1074"/>
      <c r="V31" s="1074">
        <v>1</v>
      </c>
      <c r="W31" s="1074">
        <f>V31*D31</f>
        <v>0.4</v>
      </c>
      <c r="X31" s="1074"/>
      <c r="Y31" s="1074"/>
      <c r="Z31" s="1074"/>
      <c r="AA31" s="1074"/>
      <c r="AB31" s="1074">
        <v>2</v>
      </c>
      <c r="AC31" s="1074">
        <f>AB31*D31</f>
        <v>0.8</v>
      </c>
      <c r="AD31" s="1074"/>
      <c r="AE31" s="1074"/>
      <c r="AF31" s="1074"/>
      <c r="AG31" s="1075"/>
      <c r="AH31" s="1075">
        <v>3</v>
      </c>
      <c r="AI31" s="1075">
        <f>AH31*D31</f>
        <v>1.2000000000000002</v>
      </c>
      <c r="AJ31" s="1075"/>
      <c r="AK31" s="1075"/>
      <c r="AL31" s="1075"/>
    </row>
    <row r="32" spans="1:38" ht="21.75" thickBot="1" x14ac:dyDescent="0.4">
      <c r="A32" s="1042"/>
      <c r="B32" s="1076">
        <v>3</v>
      </c>
      <c r="C32" s="1077" t="s">
        <v>1433</v>
      </c>
      <c r="D32" s="2852">
        <v>0.2</v>
      </c>
      <c r="E32" s="2853"/>
      <c r="F32" s="1079"/>
      <c r="G32" s="1079" t="s">
        <v>194</v>
      </c>
      <c r="H32" s="1079"/>
      <c r="I32" s="1039">
        <f>IF(F32="x",1,0)</f>
        <v>0</v>
      </c>
      <c r="J32" s="1039">
        <f>IF(G32="x",2,0)</f>
        <v>2</v>
      </c>
      <c r="K32" s="1039">
        <f>IF(H32="x",3,0)</f>
        <v>0</v>
      </c>
      <c r="L32" s="1072">
        <f>IF(OR(SUM(O32:Q32)&lt;&gt;1,O32="ERROR",P32="ERROR",Q32="ERROR"),"ERROR",SUM(I32:K32))</f>
        <v>2</v>
      </c>
      <c r="M32" s="1043"/>
      <c r="N32" s="1039"/>
      <c r="O32" s="1073">
        <f t="shared" si="19"/>
        <v>0</v>
      </c>
      <c r="P32" s="1073">
        <f t="shared" si="19"/>
        <v>1</v>
      </c>
      <c r="Q32" s="1073">
        <f t="shared" si="19"/>
        <v>0</v>
      </c>
      <c r="R32" s="1074"/>
      <c r="S32" s="1074">
        <f>L32*D32</f>
        <v>0.4</v>
      </c>
      <c r="T32" s="1074"/>
      <c r="U32" s="1074"/>
      <c r="V32" s="1074">
        <v>1</v>
      </c>
      <c r="W32" s="1074">
        <f>V32*D32</f>
        <v>0.2</v>
      </c>
      <c r="X32" s="1074"/>
      <c r="Y32" s="1074"/>
      <c r="Z32" s="1074"/>
      <c r="AA32" s="1074"/>
      <c r="AB32" s="1074">
        <v>2</v>
      </c>
      <c r="AC32" s="1074">
        <f>AB32*D32</f>
        <v>0.4</v>
      </c>
      <c r="AD32" s="1074"/>
      <c r="AE32" s="1074"/>
      <c r="AF32" s="1074"/>
      <c r="AG32" s="1075"/>
      <c r="AH32" s="1075">
        <v>3</v>
      </c>
      <c r="AI32" s="1075">
        <f>AH32*D32</f>
        <v>0.60000000000000009</v>
      </c>
      <c r="AJ32" s="1075"/>
      <c r="AK32" s="1075"/>
      <c r="AL32" s="1075"/>
    </row>
    <row r="33" spans="1:38" ht="21.75" thickBot="1" x14ac:dyDescent="0.4">
      <c r="A33" s="1042"/>
      <c r="B33" s="1091" t="s">
        <v>1151</v>
      </c>
      <c r="C33" s="1092" t="s">
        <v>1434</v>
      </c>
      <c r="D33" s="1085">
        <v>0.05</v>
      </c>
      <c r="E33" s="1063">
        <f>SUM(D34:D36)</f>
        <v>1</v>
      </c>
      <c r="F33" s="1064"/>
      <c r="G33" s="1064"/>
      <c r="H33" s="1064"/>
      <c r="I33" s="1064"/>
      <c r="J33" s="1064"/>
      <c r="K33" s="1064"/>
      <c r="L33" s="1086"/>
      <c r="M33" s="1043"/>
      <c r="N33" s="1039"/>
      <c r="O33" s="1073"/>
      <c r="P33" s="1073"/>
      <c r="Q33" s="1073"/>
      <c r="R33" s="1074"/>
      <c r="S33" s="1074"/>
      <c r="T33" s="1074"/>
      <c r="U33" s="1074"/>
      <c r="V33" s="1074"/>
      <c r="W33" s="1074"/>
      <c r="X33" s="1074"/>
      <c r="Y33" s="1074"/>
      <c r="Z33" s="1074"/>
      <c r="AA33" s="1074"/>
      <c r="AB33" s="1074"/>
      <c r="AC33" s="1074"/>
      <c r="AD33" s="1074"/>
      <c r="AE33" s="1074"/>
      <c r="AF33" s="1074"/>
      <c r="AG33" s="1075"/>
      <c r="AH33" s="1075"/>
      <c r="AI33" s="1075"/>
      <c r="AJ33" s="1075"/>
      <c r="AK33" s="1075"/>
      <c r="AL33" s="1075"/>
    </row>
    <row r="34" spans="1:38" ht="21" x14ac:dyDescent="0.35">
      <c r="A34" s="1042"/>
      <c r="B34" s="1068">
        <v>1</v>
      </c>
      <c r="C34" s="1069" t="s">
        <v>1435</v>
      </c>
      <c r="D34" s="2850">
        <v>0.6</v>
      </c>
      <c r="E34" s="2851"/>
      <c r="F34" s="1087" t="s">
        <v>194</v>
      </c>
      <c r="G34" s="1087"/>
      <c r="H34" s="1087"/>
      <c r="I34" s="1039">
        <f>IF(F34="x",1,0)</f>
        <v>1</v>
      </c>
      <c r="J34" s="1039">
        <f>IF(G34="x",2,0)</f>
        <v>0</v>
      </c>
      <c r="K34" s="1039">
        <f>IF(H34="x",3,0)</f>
        <v>0</v>
      </c>
      <c r="L34" s="1072">
        <f>IF(OR(SUM(O34:Q34)&lt;&gt;1,O34="ERROR",P34="ERROR",Q34="ERROR"),"ERROR",SUM(I34:K34))</f>
        <v>1</v>
      </c>
      <c r="M34" s="1043"/>
      <c r="N34" s="1039"/>
      <c r="O34" s="1073">
        <f t="shared" ref="O34:Q35" si="20">IF(F34="x",1,IF(F34=0,0,"ERROR"))</f>
        <v>1</v>
      </c>
      <c r="P34" s="1073">
        <f t="shared" si="20"/>
        <v>0</v>
      </c>
      <c r="Q34" s="1073">
        <f t="shared" si="20"/>
        <v>0</v>
      </c>
      <c r="R34" s="1074"/>
      <c r="S34" s="1074">
        <f>L34*D34</f>
        <v>0.6</v>
      </c>
      <c r="T34" s="1074">
        <f>SUM(S34:S35)</f>
        <v>1</v>
      </c>
      <c r="U34" s="1074"/>
      <c r="V34" s="1074">
        <v>1</v>
      </c>
      <c r="W34" s="1074">
        <f>V34*D34</f>
        <v>0.6</v>
      </c>
      <c r="X34" s="1074">
        <f>SUM(W34:W35)</f>
        <v>1</v>
      </c>
      <c r="Y34" s="1074">
        <f>X34*D33</f>
        <v>0.05</v>
      </c>
      <c r="Z34" s="1074"/>
      <c r="AA34" s="1074"/>
      <c r="AB34" s="1074">
        <v>2</v>
      </c>
      <c r="AC34" s="1074">
        <f>AB34*D34</f>
        <v>1.2</v>
      </c>
      <c r="AD34" s="1074">
        <f>SUM(AC34:AC35)</f>
        <v>2</v>
      </c>
      <c r="AE34" s="1074">
        <f>AD34*D33</f>
        <v>0.1</v>
      </c>
      <c r="AF34" s="1074"/>
      <c r="AG34" s="1075"/>
      <c r="AH34" s="1075">
        <v>3</v>
      </c>
      <c r="AI34" s="1075">
        <f>AH34*D34</f>
        <v>1.7999999999999998</v>
      </c>
      <c r="AJ34" s="1075">
        <f>SUM(AI34:AI35)</f>
        <v>3</v>
      </c>
      <c r="AK34" s="1075">
        <f>AJ34*D33</f>
        <v>0.15000000000000002</v>
      </c>
      <c r="AL34" s="1075"/>
    </row>
    <row r="35" spans="1:38" ht="21" x14ac:dyDescent="0.35">
      <c r="A35" s="1042"/>
      <c r="B35" s="1076">
        <v>2</v>
      </c>
      <c r="C35" s="2856" t="s">
        <v>1436</v>
      </c>
      <c r="D35" s="2857">
        <v>0.4</v>
      </c>
      <c r="E35" s="2858"/>
      <c r="F35" s="2861" t="s">
        <v>194</v>
      </c>
      <c r="G35" s="2863"/>
      <c r="H35" s="2861"/>
      <c r="I35" s="1039">
        <f>IF(F35="x",1,0)</f>
        <v>1</v>
      </c>
      <c r="J35" s="1039">
        <f>IF(G35="x",2,0)</f>
        <v>0</v>
      </c>
      <c r="K35" s="1039">
        <f>IF(H35="x",3,0)</f>
        <v>0</v>
      </c>
      <c r="L35" s="2844">
        <f>IF(OR(SUM(O35:Q35)&lt;&gt;1,O35="ERROR",P35="ERROR",Q35="ERROR"),"ERROR",SUM(I35:K35))</f>
        <v>1</v>
      </c>
      <c r="M35" s="1043"/>
      <c r="N35" s="1039"/>
      <c r="O35" s="1073">
        <f t="shared" si="20"/>
        <v>1</v>
      </c>
      <c r="P35" s="1073">
        <f t="shared" si="20"/>
        <v>0</v>
      </c>
      <c r="Q35" s="1073">
        <f t="shared" si="20"/>
        <v>0</v>
      </c>
      <c r="R35" s="1074"/>
      <c r="S35" s="1074">
        <f>L35*D35</f>
        <v>0.4</v>
      </c>
      <c r="T35" s="1074"/>
      <c r="U35" s="1074"/>
      <c r="V35" s="1074">
        <v>1</v>
      </c>
      <c r="W35" s="1074">
        <f>V35*D35</f>
        <v>0.4</v>
      </c>
      <c r="X35" s="1074"/>
      <c r="Y35" s="1074"/>
      <c r="Z35" s="1074"/>
      <c r="AA35" s="1074"/>
      <c r="AB35" s="1074">
        <v>2</v>
      </c>
      <c r="AC35" s="1074">
        <f>AB35*D35</f>
        <v>0.8</v>
      </c>
      <c r="AD35" s="1074"/>
      <c r="AE35" s="1074"/>
      <c r="AF35" s="1074"/>
      <c r="AG35" s="1075"/>
      <c r="AH35" s="1075">
        <v>3</v>
      </c>
      <c r="AI35" s="1075">
        <f>AH35*D35</f>
        <v>1.2000000000000002</v>
      </c>
      <c r="AJ35" s="1075"/>
      <c r="AK35" s="1075"/>
      <c r="AL35" s="1075"/>
    </row>
    <row r="36" spans="1:38" ht="8.25" customHeight="1" thickBot="1" x14ac:dyDescent="0.4">
      <c r="A36" s="1042"/>
      <c r="B36" s="1076"/>
      <c r="C36" s="2856"/>
      <c r="D36" s="2859"/>
      <c r="E36" s="2860"/>
      <c r="F36" s="2862"/>
      <c r="G36" s="2863"/>
      <c r="H36" s="2862"/>
      <c r="I36" s="1039"/>
      <c r="J36" s="1039"/>
      <c r="K36" s="1039"/>
      <c r="L36" s="2845"/>
      <c r="M36" s="1043"/>
      <c r="N36" s="1039"/>
      <c r="O36" s="1073"/>
      <c r="P36" s="1073"/>
      <c r="Q36" s="1073"/>
      <c r="R36" s="1074"/>
      <c r="S36" s="1074"/>
      <c r="T36" s="1074"/>
      <c r="U36" s="1074"/>
      <c r="V36" s="1074"/>
      <c r="W36" s="1074"/>
      <c r="X36" s="1074"/>
      <c r="Y36" s="1074"/>
      <c r="Z36" s="1074"/>
      <c r="AA36" s="1074"/>
      <c r="AB36" s="1074"/>
      <c r="AC36" s="1074"/>
      <c r="AD36" s="1074"/>
      <c r="AE36" s="1074"/>
      <c r="AF36" s="1074"/>
      <c r="AG36" s="1075"/>
      <c r="AH36" s="1075"/>
      <c r="AI36" s="1075"/>
      <c r="AJ36" s="1075"/>
      <c r="AK36" s="1075"/>
      <c r="AL36" s="1075"/>
    </row>
    <row r="37" spans="1:38" ht="17.25" customHeight="1" x14ac:dyDescent="0.35">
      <c r="A37" s="1042"/>
      <c r="B37" s="2834" t="s">
        <v>1437</v>
      </c>
      <c r="C37" s="2835"/>
      <c r="D37" s="2838">
        <f>(T10*0.15)+(T14*0.3)+(T21*0.35)+(T30*0.15)+(T34*0.05)</f>
        <v>1.1625000000000001</v>
      </c>
      <c r="E37" s="2839"/>
      <c r="F37" s="2839"/>
      <c r="G37" s="2839"/>
      <c r="H37" s="2839"/>
      <c r="I37" s="2839"/>
      <c r="J37" s="2839"/>
      <c r="K37" s="2839"/>
      <c r="L37" s="2840"/>
      <c r="M37" s="1043"/>
      <c r="N37" s="1039"/>
      <c r="O37" s="1074"/>
      <c r="P37" s="1074"/>
      <c r="Q37" s="1074"/>
      <c r="R37" s="1074"/>
      <c r="S37" s="1074"/>
      <c r="T37" s="1074"/>
      <c r="U37" s="1074"/>
      <c r="V37" s="1074"/>
      <c r="W37" s="1074"/>
      <c r="X37" s="1074"/>
      <c r="Y37" s="1074"/>
      <c r="Z37" s="1074"/>
      <c r="AA37" s="1074"/>
      <c r="AB37" s="1074"/>
      <c r="AC37" s="1074"/>
      <c r="AD37" s="1074"/>
      <c r="AE37" s="1074"/>
      <c r="AF37" s="1074"/>
      <c r="AG37" s="1075"/>
      <c r="AH37" s="1075"/>
      <c r="AI37" s="1075"/>
      <c r="AJ37" s="1075"/>
      <c r="AK37" s="1075"/>
      <c r="AL37" s="1075"/>
    </row>
    <row r="38" spans="1:38" ht="21.75" thickBot="1" x14ac:dyDescent="0.4">
      <c r="A38" s="1042"/>
      <c r="B38" s="2836"/>
      <c r="C38" s="2837"/>
      <c r="D38" s="2841"/>
      <c r="E38" s="2842"/>
      <c r="F38" s="2842"/>
      <c r="G38" s="2842"/>
      <c r="H38" s="2842"/>
      <c r="I38" s="2842"/>
      <c r="J38" s="2842"/>
      <c r="K38" s="2842"/>
      <c r="L38" s="2843"/>
      <c r="M38" s="1043"/>
      <c r="N38" s="1039"/>
      <c r="O38" s="1074"/>
      <c r="P38" s="1074"/>
      <c r="Q38" s="1074"/>
      <c r="R38" s="1074"/>
      <c r="S38" s="1074"/>
      <c r="T38" s="1074"/>
      <c r="U38" s="1074"/>
      <c r="V38" s="1074"/>
      <c r="W38" s="1074"/>
      <c r="X38" s="1074"/>
      <c r="Y38" s="1074"/>
      <c r="Z38" s="1074"/>
      <c r="AA38" s="1074"/>
      <c r="AB38" s="1074"/>
      <c r="AC38" s="1074"/>
      <c r="AD38" s="1074"/>
      <c r="AE38" s="1074"/>
      <c r="AF38" s="1074"/>
      <c r="AG38" s="1075"/>
      <c r="AH38" s="1075"/>
      <c r="AI38" s="1075"/>
      <c r="AJ38" s="1075"/>
      <c r="AK38" s="1075"/>
      <c r="AL38" s="1075"/>
    </row>
    <row r="39" spans="1:38" ht="21.75" thickBot="1" x14ac:dyDescent="0.4">
      <c r="A39" s="1042"/>
      <c r="B39" s="1091" t="s">
        <v>1154</v>
      </c>
      <c r="C39" s="1092" t="s">
        <v>1438</v>
      </c>
      <c r="D39" s="1099" t="s">
        <v>1404</v>
      </c>
      <c r="E39" s="1100" t="s">
        <v>39</v>
      </c>
      <c r="F39" s="2815">
        <f>H4</f>
        <v>43281</v>
      </c>
      <c r="G39" s="2816"/>
      <c r="H39" s="2816"/>
      <c r="I39" s="2816"/>
      <c r="J39" s="2816"/>
      <c r="K39" s="2816"/>
      <c r="L39" s="2817"/>
      <c r="M39" s="1043"/>
      <c r="N39" s="1039"/>
      <c r="O39" s="1074"/>
      <c r="P39" s="1074"/>
      <c r="Q39" s="1074"/>
      <c r="R39" s="1074"/>
      <c r="S39" s="1074"/>
      <c r="T39" s="1074"/>
      <c r="U39" s="1074"/>
      <c r="V39" s="1074"/>
      <c r="W39" s="1074"/>
      <c r="X39" s="1074"/>
      <c r="Y39" s="1074"/>
      <c r="Z39" s="1074"/>
      <c r="AA39" s="1074"/>
      <c r="AB39" s="1074"/>
      <c r="AC39" s="1074"/>
      <c r="AD39" s="1074"/>
      <c r="AE39" s="1074"/>
      <c r="AF39" s="1074"/>
      <c r="AG39" s="1075"/>
      <c r="AH39" s="1075"/>
      <c r="AI39" s="1075"/>
      <c r="AJ39" s="1075"/>
      <c r="AK39" s="1075"/>
      <c r="AL39" s="1075"/>
    </row>
    <row r="40" spans="1:38" ht="21" x14ac:dyDescent="0.35">
      <c r="A40" s="1042"/>
      <c r="B40" s="1101"/>
      <c r="C40" s="1069" t="s">
        <v>1439</v>
      </c>
      <c r="D40" s="1102">
        <v>0.06</v>
      </c>
      <c r="E40" s="1103">
        <f>[5]Rasio!D4</f>
        <v>0.94083947544027102</v>
      </c>
      <c r="F40" s="1104" t="str">
        <f>IF(E40&lt;=0.9475,"X","-")</f>
        <v>X</v>
      </c>
      <c r="G40" s="1105" t="str">
        <f>IF(AND(E40&gt;0.9475,E40&lt;=0.985),"X","-")</f>
        <v>-</v>
      </c>
      <c r="H40" s="1105" t="str">
        <f>IF(E40&gt;0.985,"X","-")</f>
        <v>-</v>
      </c>
      <c r="I40" s="1039">
        <f t="shared" ref="I40:I50" si="21">IF(F40="x",1,0)</f>
        <v>1</v>
      </c>
      <c r="J40" s="1039">
        <f t="shared" ref="J40:J50" si="22">IF(G40="x",2,0)</f>
        <v>0</v>
      </c>
      <c r="K40" s="1039">
        <f t="shared" ref="K40:K50" si="23">IF(H40="x",3,0)</f>
        <v>0</v>
      </c>
      <c r="L40" s="1106">
        <f>SUM(I40:K40)</f>
        <v>1</v>
      </c>
      <c r="M40" s="1043"/>
      <c r="N40" s="1039"/>
      <c r="O40" s="1107" t="str">
        <f>IF(M40&lt;=0.9475,"X","-")</f>
        <v>X</v>
      </c>
      <c r="P40" s="1107" t="str">
        <f>IF(AND(M40&gt;0.9475,M40&lt;=0.985),"X","-")</f>
        <v>-</v>
      </c>
      <c r="Q40" s="1107" t="str">
        <f>IF(M40&gt;0.985,"X","-")</f>
        <v>-</v>
      </c>
      <c r="R40" s="1074"/>
      <c r="S40" s="1074">
        <f t="shared" ref="S40:S50" si="24">L40*D40</f>
        <v>0.06</v>
      </c>
      <c r="T40" s="1074">
        <f>SUM(S40:S50)</f>
        <v>1.1000000000000001</v>
      </c>
      <c r="U40" s="1074"/>
      <c r="V40" s="1074">
        <v>1</v>
      </c>
      <c r="W40" s="1074">
        <f>V40*D40</f>
        <v>0.06</v>
      </c>
      <c r="X40" s="1074">
        <f>SUM(W40:W50)</f>
        <v>1.0000000000000002</v>
      </c>
      <c r="Y40" s="1074">
        <v>2</v>
      </c>
      <c r="Z40" s="1074">
        <f>Y40*D40</f>
        <v>0.12</v>
      </c>
      <c r="AA40" s="1074">
        <f>SUM(Z40:Z50)</f>
        <v>2.0000000000000004</v>
      </c>
      <c r="AB40" s="1074">
        <v>3</v>
      </c>
      <c r="AC40" s="1074">
        <f>AB40*D40</f>
        <v>0.18</v>
      </c>
      <c r="AD40" s="1074">
        <f>SUM(AC40:AC50)</f>
        <v>3</v>
      </c>
      <c r="AE40" s="1074"/>
      <c r="AF40" s="1074"/>
      <c r="AG40" s="1075"/>
      <c r="AH40" s="1075"/>
      <c r="AI40" s="1075"/>
      <c r="AJ40" s="1075"/>
      <c r="AK40" s="1075"/>
      <c r="AL40" s="1075"/>
    </row>
    <row r="41" spans="1:38" ht="23.25" customHeight="1" x14ac:dyDescent="0.35">
      <c r="A41" s="1042"/>
      <c r="B41" s="1108"/>
      <c r="C41" s="1109" t="s">
        <v>1440</v>
      </c>
      <c r="D41" s="1110">
        <v>0.05</v>
      </c>
      <c r="E41" s="1111">
        <f>[5]Rasio!D8</f>
        <v>-0.17946365467864295</v>
      </c>
      <c r="F41" s="1112" t="str">
        <f>IF(E41&lt;=-0.4,"X","-")</f>
        <v>-</v>
      </c>
      <c r="G41" s="1113" t="str">
        <f>IF(AND(E41&lt;=0.2,E41&gt;-0.4),"X","-")</f>
        <v>X</v>
      </c>
      <c r="H41" s="1113" t="str">
        <f>IF(E41&gt;0.2,"X","-")</f>
        <v>-</v>
      </c>
      <c r="I41" s="1114">
        <f t="shared" si="21"/>
        <v>0</v>
      </c>
      <c r="J41" s="1114">
        <f t="shared" si="22"/>
        <v>2</v>
      </c>
      <c r="K41" s="1114">
        <f t="shared" si="23"/>
        <v>0</v>
      </c>
      <c r="L41" s="1106">
        <f t="shared" ref="L41:L50" si="25">SUM(I41:K41)</f>
        <v>2</v>
      </c>
      <c r="M41" s="1043"/>
      <c r="N41" s="1039"/>
      <c r="O41" s="1115" t="str">
        <f>IF(M41&lt;=-0.4,"X","-")</f>
        <v>-</v>
      </c>
      <c r="P41" s="1115" t="str">
        <f>IF(AND(M41&lt;=0.2,M41&gt;-0.4),"X","-")</f>
        <v>X</v>
      </c>
      <c r="Q41" s="1115" t="str">
        <f>IF(M41&gt;0.2,"X","-")</f>
        <v>-</v>
      </c>
      <c r="R41" s="1074"/>
      <c r="S41" s="1074">
        <f t="shared" si="24"/>
        <v>0.1</v>
      </c>
      <c r="T41" s="1074"/>
      <c r="U41" s="1074"/>
      <c r="V41" s="1074">
        <v>1</v>
      </c>
      <c r="W41" s="1074">
        <f t="shared" ref="W41:W50" si="26">V41*D41</f>
        <v>0.05</v>
      </c>
      <c r="X41" s="1074"/>
      <c r="Y41" s="1074">
        <v>2</v>
      </c>
      <c r="Z41" s="1074">
        <f t="shared" ref="Z41:Z50" si="27">Y41*D41</f>
        <v>0.1</v>
      </c>
      <c r="AA41" s="1074"/>
      <c r="AB41" s="1074">
        <v>3</v>
      </c>
      <c r="AC41" s="1074">
        <f t="shared" ref="AC41:AC50" si="28">AB41*D41</f>
        <v>0.15000000000000002</v>
      </c>
      <c r="AD41" s="1074"/>
      <c r="AE41" s="1074"/>
      <c r="AF41" s="1074"/>
      <c r="AG41" s="1075"/>
      <c r="AH41" s="1075"/>
      <c r="AI41" s="1075"/>
      <c r="AJ41" s="1075"/>
      <c r="AK41" s="1075"/>
      <c r="AL41" s="1075"/>
    </row>
    <row r="42" spans="1:38" ht="21.75" customHeight="1" x14ac:dyDescent="0.35">
      <c r="A42" s="1042"/>
      <c r="B42" s="1108"/>
      <c r="C42" s="1109" t="s">
        <v>1441</v>
      </c>
      <c r="D42" s="1110">
        <v>0.1</v>
      </c>
      <c r="E42" s="1111">
        <f>[5]Rasio!D12</f>
        <v>0.16289214450873712</v>
      </c>
      <c r="F42" s="1112" t="str">
        <f>IF(E42&gt;=0.0405,"X","-")</f>
        <v>X</v>
      </c>
      <c r="G42" s="1113" t="str">
        <f>IF(AND(E42&gt;=0.033,E42&lt;0.0405),"X","-")</f>
        <v>-</v>
      </c>
      <c r="H42" s="1113" t="str">
        <f>IF(E42&lt;0.033,"X","-")</f>
        <v>-</v>
      </c>
      <c r="I42" s="1039">
        <f t="shared" si="21"/>
        <v>1</v>
      </c>
      <c r="J42" s="1039">
        <f t="shared" si="22"/>
        <v>0</v>
      </c>
      <c r="K42" s="1039">
        <f t="shared" si="23"/>
        <v>0</v>
      </c>
      <c r="L42" s="1106">
        <f t="shared" si="25"/>
        <v>1</v>
      </c>
      <c r="M42" s="1043"/>
      <c r="N42" s="1039"/>
      <c r="O42" s="1115" t="str">
        <f>IF(M42&gt;=0.0405,"X","-")</f>
        <v>-</v>
      </c>
      <c r="P42" s="1115" t="str">
        <f>IF(AND(M42&gt;=0.033,M42&lt;0.0405),"X","-")</f>
        <v>-</v>
      </c>
      <c r="Q42" s="1115" t="str">
        <f>IF(M42&lt;0.033,"X","-")</f>
        <v>X</v>
      </c>
      <c r="R42" s="1074"/>
      <c r="S42" s="1074">
        <f t="shared" si="24"/>
        <v>0.1</v>
      </c>
      <c r="T42" s="1074"/>
      <c r="U42" s="1074"/>
      <c r="V42" s="1074">
        <v>1</v>
      </c>
      <c r="W42" s="1074">
        <f t="shared" si="26"/>
        <v>0.1</v>
      </c>
      <c r="X42" s="1074"/>
      <c r="Y42" s="1074">
        <v>2</v>
      </c>
      <c r="Z42" s="1074">
        <f t="shared" si="27"/>
        <v>0.2</v>
      </c>
      <c r="AA42" s="1074"/>
      <c r="AB42" s="1074">
        <v>3</v>
      </c>
      <c r="AC42" s="1074">
        <f t="shared" si="28"/>
        <v>0.30000000000000004</v>
      </c>
      <c r="AD42" s="1074"/>
      <c r="AE42" s="1074"/>
      <c r="AF42" s="1074"/>
      <c r="AG42" s="1075"/>
      <c r="AH42" s="1075"/>
      <c r="AI42" s="1075"/>
      <c r="AJ42" s="1075"/>
      <c r="AK42" s="1075"/>
      <c r="AL42" s="1075"/>
    </row>
    <row r="43" spans="1:38" ht="21" x14ac:dyDescent="0.35">
      <c r="A43" s="1042"/>
      <c r="B43" s="1108"/>
      <c r="C43" s="1109" t="s">
        <v>1442</v>
      </c>
      <c r="D43" s="1110">
        <v>0.08</v>
      </c>
      <c r="E43" s="1111">
        <f>[5]Rasio!D20</f>
        <v>0.11099218807228906</v>
      </c>
      <c r="F43" s="1112" t="str">
        <f>IF(E43&gt;=0.01215,"X","-")</f>
        <v>X</v>
      </c>
      <c r="G43" s="1113" t="str">
        <f>IF(AND(E43&gt;=0.0099,E43&lt;0.01215),"X","-")</f>
        <v>-</v>
      </c>
      <c r="H43" s="1113" t="str">
        <f>IF(E43&lt;0.0099,"X","-")</f>
        <v>-</v>
      </c>
      <c r="I43" s="1039">
        <f t="shared" si="21"/>
        <v>1</v>
      </c>
      <c r="J43" s="1039">
        <f t="shared" si="22"/>
        <v>0</v>
      </c>
      <c r="K43" s="1039">
        <f t="shared" si="23"/>
        <v>0</v>
      </c>
      <c r="L43" s="1106">
        <f t="shared" si="25"/>
        <v>1</v>
      </c>
      <c r="M43" s="1043"/>
      <c r="N43" s="1039"/>
      <c r="O43" s="1115" t="str">
        <f>IF(M43&gt;=0.01215,"X","-")</f>
        <v>-</v>
      </c>
      <c r="P43" s="1115" t="str">
        <f>IF(AND(M43&gt;=0.0099,M43&lt;0.01215),"X","-")</f>
        <v>-</v>
      </c>
      <c r="Q43" s="1115" t="str">
        <f>IF(M43&lt;0.0099,"X","-")</f>
        <v>X</v>
      </c>
      <c r="R43" s="1074"/>
      <c r="S43" s="1074">
        <f t="shared" si="24"/>
        <v>0.08</v>
      </c>
      <c r="T43" s="1074"/>
      <c r="U43" s="1074"/>
      <c r="V43" s="1074">
        <v>1</v>
      </c>
      <c r="W43" s="1074">
        <f t="shared" si="26"/>
        <v>0.08</v>
      </c>
      <c r="X43" s="1074"/>
      <c r="Y43" s="1074">
        <v>2</v>
      </c>
      <c r="Z43" s="1074">
        <f t="shared" si="27"/>
        <v>0.16</v>
      </c>
      <c r="AA43" s="1074"/>
      <c r="AB43" s="1074">
        <v>3</v>
      </c>
      <c r="AC43" s="1074">
        <f t="shared" si="28"/>
        <v>0.24</v>
      </c>
      <c r="AD43" s="1074"/>
      <c r="AE43" s="1074"/>
      <c r="AF43" s="1074"/>
      <c r="AG43" s="1075"/>
      <c r="AH43" s="1075"/>
      <c r="AI43" s="1075"/>
      <c r="AJ43" s="1075"/>
      <c r="AK43" s="1075"/>
      <c r="AL43" s="1075"/>
    </row>
    <row r="44" spans="1:38" ht="21" x14ac:dyDescent="0.35">
      <c r="A44" s="1042"/>
      <c r="B44" s="1108"/>
      <c r="C44" s="1109" t="s">
        <v>1443</v>
      </c>
      <c r="D44" s="1110">
        <v>0.1</v>
      </c>
      <c r="E44" s="1111">
        <f>[5]Rasio!D28</f>
        <v>0.54683665129793169</v>
      </c>
      <c r="F44" s="1112" t="str">
        <f>IF(E44&lt;=0.9352,"X","-")</f>
        <v>X</v>
      </c>
      <c r="G44" s="1113" t="str">
        <f>IF(AND(E44&lt;=0.9472,E44&gt;0.9352),"X","-")</f>
        <v>-</v>
      </c>
      <c r="H44" s="1113" t="str">
        <f>IF(E44&gt;0.9472,"X","-")</f>
        <v>-</v>
      </c>
      <c r="I44" s="1039">
        <f t="shared" si="21"/>
        <v>1</v>
      </c>
      <c r="J44" s="1039">
        <f t="shared" si="22"/>
        <v>0</v>
      </c>
      <c r="K44" s="1039">
        <f t="shared" si="23"/>
        <v>0</v>
      </c>
      <c r="L44" s="1106">
        <f t="shared" si="25"/>
        <v>1</v>
      </c>
      <c r="M44" s="1043"/>
      <c r="N44" s="1039"/>
      <c r="O44" s="1115" t="str">
        <f>IF(M44&lt;=0.9352,"X","-")</f>
        <v>X</v>
      </c>
      <c r="P44" s="1115" t="str">
        <f>IF(AND(M44&lt;=0.9472,M44&gt;0.9352),"X","-")</f>
        <v>-</v>
      </c>
      <c r="Q44" s="1115" t="str">
        <f>IF(M44&gt;0.9472,"X","-")</f>
        <v>-</v>
      </c>
      <c r="R44" s="1074"/>
      <c r="S44" s="1074">
        <f t="shared" si="24"/>
        <v>0.1</v>
      </c>
      <c r="T44" s="1074"/>
      <c r="U44" s="1074"/>
      <c r="V44" s="1074">
        <v>1</v>
      </c>
      <c r="W44" s="1074">
        <f t="shared" si="26"/>
        <v>0.1</v>
      </c>
      <c r="X44" s="1074"/>
      <c r="Y44" s="1074">
        <v>2</v>
      </c>
      <c r="Z44" s="1074">
        <f t="shared" si="27"/>
        <v>0.2</v>
      </c>
      <c r="AA44" s="1074"/>
      <c r="AB44" s="1074">
        <v>3</v>
      </c>
      <c r="AC44" s="1074">
        <f t="shared" si="28"/>
        <v>0.30000000000000004</v>
      </c>
      <c r="AD44" s="1074"/>
      <c r="AE44" s="1074"/>
      <c r="AF44" s="1074"/>
      <c r="AG44" s="1075"/>
      <c r="AH44" s="1075"/>
      <c r="AI44" s="1075"/>
      <c r="AJ44" s="1075"/>
      <c r="AK44" s="1075"/>
      <c r="AL44" s="1075"/>
    </row>
    <row r="45" spans="1:38" ht="21" x14ac:dyDescent="0.35">
      <c r="A45" s="1042"/>
      <c r="B45" s="1108"/>
      <c r="C45" s="1109" t="s">
        <v>1444</v>
      </c>
      <c r="D45" s="1110">
        <v>0.08</v>
      </c>
      <c r="E45" s="1111">
        <f>[5]Rasio!D24</f>
        <v>0.41418381535795529</v>
      </c>
      <c r="F45" s="1112" t="str">
        <f>IF(E45&gt;=0.18,"X","-")</f>
        <v>X</v>
      </c>
      <c r="G45" s="1113" t="str">
        <f>IF(AND(E45&lt;0.18,E45&gt;=0.12),"X","-")</f>
        <v>-</v>
      </c>
      <c r="H45" s="1113" t="str">
        <f>IF(E45&lt;0.12,"X","-")</f>
        <v>-</v>
      </c>
      <c r="I45" s="1114">
        <f t="shared" si="21"/>
        <v>1</v>
      </c>
      <c r="J45" s="1114">
        <f t="shared" si="22"/>
        <v>0</v>
      </c>
      <c r="K45" s="1114">
        <f t="shared" si="23"/>
        <v>0</v>
      </c>
      <c r="L45" s="1106">
        <f t="shared" si="25"/>
        <v>1</v>
      </c>
      <c r="M45" s="1043"/>
      <c r="N45" s="1039"/>
      <c r="O45" s="1115" t="str">
        <f>IF(M45&gt;=0.18,"X","-")</f>
        <v>-</v>
      </c>
      <c r="P45" s="1115" t="str">
        <f>IF(AND(M45&lt;0.18,M45&gt;=0.12),"X","-")</f>
        <v>-</v>
      </c>
      <c r="Q45" s="1115" t="str">
        <f>IF(M45&lt;0.12,"X","-")</f>
        <v>X</v>
      </c>
      <c r="R45" s="1074"/>
      <c r="S45" s="1074">
        <f t="shared" si="24"/>
        <v>0.08</v>
      </c>
      <c r="T45" s="1074"/>
      <c r="U45" s="1074"/>
      <c r="V45" s="1074">
        <v>1</v>
      </c>
      <c r="W45" s="1074">
        <f t="shared" si="26"/>
        <v>0.08</v>
      </c>
      <c r="X45" s="1074"/>
      <c r="Y45" s="1074">
        <v>2</v>
      </c>
      <c r="Z45" s="1074">
        <f t="shared" si="27"/>
        <v>0.16</v>
      </c>
      <c r="AA45" s="1074"/>
      <c r="AB45" s="1074">
        <v>3</v>
      </c>
      <c r="AC45" s="1074">
        <f t="shared" si="28"/>
        <v>0.24</v>
      </c>
      <c r="AD45" s="1074"/>
      <c r="AE45" s="1074"/>
      <c r="AF45" s="1074"/>
      <c r="AG45" s="1075"/>
      <c r="AH45" s="1075"/>
      <c r="AI45" s="1075"/>
      <c r="AJ45" s="1075"/>
      <c r="AK45" s="1075"/>
      <c r="AL45" s="1075"/>
    </row>
    <row r="46" spans="1:38" ht="21" x14ac:dyDescent="0.35">
      <c r="A46" s="1042"/>
      <c r="B46" s="1108"/>
      <c r="C46" s="1109" t="s">
        <v>1445</v>
      </c>
      <c r="D46" s="1110">
        <v>0.08</v>
      </c>
      <c r="E46" s="1116">
        <f>[5]Rasio!D33</f>
        <v>2.6218189056808772</v>
      </c>
      <c r="F46" s="1112" t="str">
        <f>IF(E46&lt;=7,"X","-")</f>
        <v>X</v>
      </c>
      <c r="G46" s="1113" t="str">
        <f>IF(AND(E46&gt;7,E46&lt;=9),"X","-")</f>
        <v>-</v>
      </c>
      <c r="H46" s="1113" t="str">
        <f>IF(E46&gt;9,"X","-")</f>
        <v>-</v>
      </c>
      <c r="I46" s="1114">
        <f t="shared" si="21"/>
        <v>1</v>
      </c>
      <c r="J46" s="1114">
        <f t="shared" si="22"/>
        <v>0</v>
      </c>
      <c r="K46" s="1114">
        <f t="shared" si="23"/>
        <v>0</v>
      </c>
      <c r="L46" s="1106">
        <f t="shared" si="25"/>
        <v>1</v>
      </c>
      <c r="M46" s="1043"/>
      <c r="N46" s="1039"/>
      <c r="O46" s="1115" t="str">
        <f>IF(M46&lt;=7,"X","-")</f>
        <v>X</v>
      </c>
      <c r="P46" s="1115" t="str">
        <f>IF(AND(M46&gt;7,M46&lt;=9),"X","-")</f>
        <v>-</v>
      </c>
      <c r="Q46" s="1115" t="str">
        <f>IF(M46&gt;9,"X","-")</f>
        <v>-</v>
      </c>
      <c r="R46" s="1115"/>
      <c r="S46" s="1074">
        <f t="shared" si="24"/>
        <v>0.08</v>
      </c>
      <c r="T46" s="1074"/>
      <c r="U46" s="1074"/>
      <c r="V46" s="1074">
        <v>1</v>
      </c>
      <c r="W46" s="1074">
        <f t="shared" si="26"/>
        <v>0.08</v>
      </c>
      <c r="X46" s="1074"/>
      <c r="Y46" s="1074">
        <v>2</v>
      </c>
      <c r="Z46" s="1074">
        <f t="shared" si="27"/>
        <v>0.16</v>
      </c>
      <c r="AA46" s="1074"/>
      <c r="AB46" s="1074">
        <v>3</v>
      </c>
      <c r="AC46" s="1074">
        <f t="shared" si="28"/>
        <v>0.24</v>
      </c>
      <c r="AD46" s="1074"/>
      <c r="AE46" s="1074"/>
      <c r="AF46" s="1074"/>
      <c r="AG46" s="1075"/>
      <c r="AH46" s="1075"/>
      <c r="AI46" s="1075"/>
      <c r="AJ46" s="1075"/>
      <c r="AK46" s="1075"/>
      <c r="AL46" s="1075"/>
    </row>
    <row r="47" spans="1:38" ht="21" x14ac:dyDescent="0.35">
      <c r="A47" s="1042"/>
      <c r="B47" s="1108"/>
      <c r="C47" s="1109" t="s">
        <v>1446</v>
      </c>
      <c r="D47" s="1110">
        <v>0.05</v>
      </c>
      <c r="E47" s="1116">
        <f>[5]Rasio!D37</f>
        <v>2.6252344742618035</v>
      </c>
      <c r="F47" s="1112" t="str">
        <f>IF(E47&lt;=1.9,"X","-")</f>
        <v>-</v>
      </c>
      <c r="G47" s="1113" t="str">
        <f>IF(AND(E47&gt;1.9,E47&lt;=3.1),"X"," -")</f>
        <v>X</v>
      </c>
      <c r="H47" s="1113" t="str">
        <f>IF(E47&gt;3.1,"X","-")</f>
        <v>-</v>
      </c>
      <c r="I47" s="1114">
        <f t="shared" si="21"/>
        <v>0</v>
      </c>
      <c r="J47" s="1114">
        <f t="shared" si="22"/>
        <v>2</v>
      </c>
      <c r="K47" s="1114">
        <f t="shared" si="23"/>
        <v>0</v>
      </c>
      <c r="L47" s="1106">
        <f t="shared" si="25"/>
        <v>2</v>
      </c>
      <c r="M47" s="1043"/>
      <c r="N47" s="1039"/>
      <c r="O47" s="1115" t="str">
        <f>IF(M47&lt;=1.9,"X","-")</f>
        <v>X</v>
      </c>
      <c r="P47" s="1115" t="str">
        <f>IF(AND(M47&gt;1.9,M47&lt;=3.1),"X"," -")</f>
        <v xml:space="preserve"> -</v>
      </c>
      <c r="Q47" s="1115" t="str">
        <f>IF(M47&gt;3.1,"X","-")</f>
        <v>-</v>
      </c>
      <c r="R47" s="1115"/>
      <c r="S47" s="1074">
        <f t="shared" si="24"/>
        <v>0.1</v>
      </c>
      <c r="T47" s="1074"/>
      <c r="U47" s="1074"/>
      <c r="V47" s="1074">
        <v>1</v>
      </c>
      <c r="W47" s="1074">
        <f t="shared" si="26"/>
        <v>0.05</v>
      </c>
      <c r="X47" s="1074"/>
      <c r="Y47" s="1074">
        <v>2</v>
      </c>
      <c r="Z47" s="1074">
        <f t="shared" si="27"/>
        <v>0.1</v>
      </c>
      <c r="AA47" s="1074"/>
      <c r="AB47" s="1074">
        <v>3</v>
      </c>
      <c r="AC47" s="1074">
        <f t="shared" si="28"/>
        <v>0.15000000000000002</v>
      </c>
      <c r="AD47" s="1074"/>
      <c r="AE47" s="1074"/>
      <c r="AF47" s="1074"/>
      <c r="AG47" s="1075"/>
      <c r="AH47" s="1075"/>
      <c r="AI47" s="1075"/>
      <c r="AJ47" s="1075"/>
      <c r="AK47" s="1075"/>
      <c r="AL47" s="1075"/>
    </row>
    <row r="48" spans="1:38" ht="21" x14ac:dyDescent="0.35">
      <c r="A48" s="1042"/>
      <c r="B48" s="1108"/>
      <c r="C48" s="1109" t="s">
        <v>1447</v>
      </c>
      <c r="D48" s="1110">
        <v>0.15</v>
      </c>
      <c r="E48" s="1111">
        <f>[5]Rasio!D41</f>
        <v>0.27002273449484077</v>
      </c>
      <c r="F48" s="1112" t="str">
        <f>IF(E48&gt;0.12,"X","-")</f>
        <v>X</v>
      </c>
      <c r="G48" s="1113" t="str">
        <f>IF(AND(E48&lt;=0.12,E48&gt;=0.081),"X","-")</f>
        <v>-</v>
      </c>
      <c r="H48" s="1113" t="str">
        <f>IF(E48&lt;0.081,"X","-")</f>
        <v>-</v>
      </c>
      <c r="I48" s="1039">
        <f t="shared" si="21"/>
        <v>1</v>
      </c>
      <c r="J48" s="1039">
        <f t="shared" si="22"/>
        <v>0</v>
      </c>
      <c r="K48" s="1039">
        <f t="shared" si="23"/>
        <v>0</v>
      </c>
      <c r="L48" s="1106">
        <f t="shared" si="25"/>
        <v>1</v>
      </c>
      <c r="M48" s="1043"/>
      <c r="N48" s="1039"/>
      <c r="O48" s="1115" t="str">
        <f>IF(M48&gt;0.12,"X","-")</f>
        <v>-</v>
      </c>
      <c r="P48" s="1115" t="str">
        <f>IF(AND(M48&lt;=0.12,M48&gt;=0.081),"X","-")</f>
        <v>-</v>
      </c>
      <c r="Q48" s="1115" t="str">
        <f>IF(M48&lt;0.081,"X","-")</f>
        <v>X</v>
      </c>
      <c r="R48" s="1074"/>
      <c r="S48" s="1074">
        <f t="shared" si="24"/>
        <v>0.15</v>
      </c>
      <c r="T48" s="1074"/>
      <c r="U48" s="1074"/>
      <c r="V48" s="1074">
        <v>1</v>
      </c>
      <c r="W48" s="1074">
        <f t="shared" si="26"/>
        <v>0.15</v>
      </c>
      <c r="X48" s="1074"/>
      <c r="Y48" s="1074">
        <v>2</v>
      </c>
      <c r="Z48" s="1074">
        <f t="shared" si="27"/>
        <v>0.3</v>
      </c>
      <c r="AA48" s="1074"/>
      <c r="AB48" s="1074">
        <v>3</v>
      </c>
      <c r="AC48" s="1074">
        <f t="shared" si="28"/>
        <v>0.44999999999999996</v>
      </c>
      <c r="AD48" s="1074"/>
      <c r="AE48" s="1074"/>
      <c r="AF48" s="1074"/>
      <c r="AG48" s="1075"/>
      <c r="AH48" s="1075"/>
      <c r="AI48" s="1075"/>
      <c r="AJ48" s="1075"/>
      <c r="AK48" s="1075"/>
      <c r="AL48" s="1075"/>
    </row>
    <row r="49" spans="1:38" ht="21" x14ac:dyDescent="0.35">
      <c r="A49" s="1042"/>
      <c r="B49" s="1108"/>
      <c r="C49" s="1109" t="s">
        <v>1448</v>
      </c>
      <c r="D49" s="1110">
        <v>0.15</v>
      </c>
      <c r="E49" s="1111">
        <f>[5]Rasio!D16</f>
        <v>1.9492773298805336E-2</v>
      </c>
      <c r="F49" s="1112" t="str">
        <f>IF(E49&lt;=0.05,"X","-")</f>
        <v>X</v>
      </c>
      <c r="G49" s="1113" t="str">
        <f>IF(AND(E49&gt;0.05,E49&lt;=0.08),"X","-")</f>
        <v>-</v>
      </c>
      <c r="H49" s="1113" t="str">
        <f>IF(E49&gt;0.08,"X","-")</f>
        <v>-</v>
      </c>
      <c r="I49" s="1039">
        <f t="shared" si="21"/>
        <v>1</v>
      </c>
      <c r="J49" s="1039">
        <f t="shared" si="22"/>
        <v>0</v>
      </c>
      <c r="K49" s="1039">
        <f t="shared" si="23"/>
        <v>0</v>
      </c>
      <c r="L49" s="1106">
        <f t="shared" si="25"/>
        <v>1</v>
      </c>
      <c r="M49" s="1043"/>
      <c r="N49" s="1039"/>
      <c r="O49" s="1115" t="str">
        <f>IF(M49&lt;=0.05,"X","-")</f>
        <v>X</v>
      </c>
      <c r="P49" s="1115" t="str">
        <f>IF(AND(M49&gt;0.05,M49&lt;=0.08),"X","-")</f>
        <v>-</v>
      </c>
      <c r="Q49" s="1115" t="str">
        <f>IF(M49&gt;0.08,"X","-")</f>
        <v>-</v>
      </c>
      <c r="R49" s="1074"/>
      <c r="S49" s="1074">
        <f t="shared" si="24"/>
        <v>0.15</v>
      </c>
      <c r="T49" s="1074"/>
      <c r="U49" s="1074"/>
      <c r="V49" s="1074">
        <v>1</v>
      </c>
      <c r="W49" s="1074">
        <f t="shared" si="26"/>
        <v>0.15</v>
      </c>
      <c r="X49" s="1074"/>
      <c r="Y49" s="1074">
        <v>2</v>
      </c>
      <c r="Z49" s="1074">
        <f t="shared" si="27"/>
        <v>0.3</v>
      </c>
      <c r="AA49" s="1074"/>
      <c r="AB49" s="1074">
        <v>3</v>
      </c>
      <c r="AC49" s="1074">
        <f t="shared" si="28"/>
        <v>0.44999999999999996</v>
      </c>
      <c r="AD49" s="1074"/>
      <c r="AE49" s="1074"/>
      <c r="AF49" s="1074"/>
      <c r="AG49" s="1075"/>
      <c r="AH49" s="1075"/>
      <c r="AI49" s="1075"/>
      <c r="AJ49" s="1075"/>
      <c r="AK49" s="1075"/>
      <c r="AL49" s="1075"/>
    </row>
    <row r="50" spans="1:38" ht="21.75" thickBot="1" x14ac:dyDescent="0.4">
      <c r="A50" s="1042"/>
      <c r="B50" s="1108"/>
      <c r="C50" s="1109" t="s">
        <v>1449</v>
      </c>
      <c r="D50" s="1110">
        <v>0.1</v>
      </c>
      <c r="E50" s="1111">
        <f>[5]Rasio!D49</f>
        <v>1.7112776285280313</v>
      </c>
      <c r="F50" s="1112" t="str">
        <f>IF(E50&gt;=0.88,"X","-")</f>
        <v>X</v>
      </c>
      <c r="G50" s="1113" t="str">
        <f>IF(AND(E50&gt;=0.66,E50&lt;0.88),"X","-")</f>
        <v>-</v>
      </c>
      <c r="H50" s="1113" t="str">
        <f>IF(E50&lt;0.66,"X","-")</f>
        <v>-</v>
      </c>
      <c r="I50" s="1039">
        <f t="shared" si="21"/>
        <v>1</v>
      </c>
      <c r="J50" s="1039">
        <f t="shared" si="22"/>
        <v>0</v>
      </c>
      <c r="K50" s="1039">
        <f t="shared" si="23"/>
        <v>0</v>
      </c>
      <c r="L50" s="1106">
        <f t="shared" si="25"/>
        <v>1</v>
      </c>
      <c r="M50" s="1043"/>
      <c r="N50" s="1039"/>
      <c r="O50" s="1107" t="str">
        <f>IF(M50&gt;=0.88,"X","-")</f>
        <v>-</v>
      </c>
      <c r="P50" s="1107" t="str">
        <f>IF(AND(M50&gt;=0.66,M50&lt;0.88),"X","-")</f>
        <v>-</v>
      </c>
      <c r="Q50" s="1107" t="str">
        <f>IF(M50&lt;0.66,"X","-")</f>
        <v>X</v>
      </c>
      <c r="R50" s="1074"/>
      <c r="S50" s="1074">
        <f t="shared" si="24"/>
        <v>0.1</v>
      </c>
      <c r="T50" s="1074"/>
      <c r="U50" s="1074"/>
      <c r="V50" s="1074">
        <v>1</v>
      </c>
      <c r="W50" s="1074">
        <f t="shared" si="26"/>
        <v>0.1</v>
      </c>
      <c r="X50" s="1074"/>
      <c r="Y50" s="1074">
        <v>2</v>
      </c>
      <c r="Z50" s="1074">
        <f t="shared" si="27"/>
        <v>0.2</v>
      </c>
      <c r="AA50" s="1074"/>
      <c r="AB50" s="1074">
        <v>3</v>
      </c>
      <c r="AC50" s="1074">
        <f t="shared" si="28"/>
        <v>0.30000000000000004</v>
      </c>
      <c r="AD50" s="1074"/>
      <c r="AE50" s="1074"/>
      <c r="AF50" s="1074"/>
      <c r="AG50" s="1075"/>
      <c r="AH50" s="1075"/>
      <c r="AI50" s="1075"/>
      <c r="AJ50" s="1075"/>
      <c r="AK50" s="1075"/>
      <c r="AL50" s="1075"/>
    </row>
    <row r="51" spans="1:38" ht="21.75" thickBot="1" x14ac:dyDescent="0.4">
      <c r="A51" s="1042"/>
      <c r="B51" s="1117"/>
      <c r="C51" s="1118" t="s">
        <v>1450</v>
      </c>
      <c r="D51" s="1119"/>
      <c r="E51" s="2827">
        <f>T40</f>
        <v>1.1000000000000001</v>
      </c>
      <c r="F51" s="2828"/>
      <c r="G51" s="2828"/>
      <c r="H51" s="2828"/>
      <c r="I51" s="2828"/>
      <c r="J51" s="2828"/>
      <c r="K51" s="2828"/>
      <c r="L51" s="2829"/>
      <c r="M51" s="1043"/>
      <c r="N51" s="1039"/>
      <c r="O51" s="1074"/>
      <c r="P51" s="1120"/>
      <c r="Q51" s="1074"/>
      <c r="R51" s="1074"/>
      <c r="S51" s="1074"/>
      <c r="T51" s="1074"/>
      <c r="U51" s="1074"/>
      <c r="V51" s="1074"/>
      <c r="W51" s="1074"/>
      <c r="X51" s="1074"/>
      <c r="Y51" s="1074"/>
      <c r="Z51" s="1074"/>
      <c r="AA51" s="1074"/>
      <c r="AB51" s="1074"/>
      <c r="AC51" s="1074"/>
      <c r="AD51" s="1074"/>
      <c r="AE51" s="1074"/>
      <c r="AF51" s="1074"/>
      <c r="AG51" s="1075"/>
      <c r="AH51" s="1075"/>
      <c r="AI51" s="1075"/>
      <c r="AJ51" s="1075"/>
      <c r="AK51" s="1075"/>
      <c r="AL51" s="1075"/>
    </row>
    <row r="52" spans="1:38" ht="22.5" customHeight="1" x14ac:dyDescent="0.35">
      <c r="A52" s="1042"/>
      <c r="B52" s="1039"/>
      <c r="C52" s="1039"/>
      <c r="D52" s="1039"/>
      <c r="E52" s="1039"/>
      <c r="F52" s="1039"/>
      <c r="G52" s="1039"/>
      <c r="H52" s="1121"/>
      <c r="I52" s="1039"/>
      <c r="J52" s="1039"/>
      <c r="K52" s="1039"/>
      <c r="L52" s="1121"/>
      <c r="M52" s="1043"/>
      <c r="N52" s="1039"/>
      <c r="O52" s="1074"/>
      <c r="P52" s="1074"/>
      <c r="Q52" s="1074"/>
      <c r="R52" s="1074"/>
      <c r="S52" s="1074"/>
      <c r="T52" s="1074"/>
      <c r="U52" s="1074"/>
      <c r="V52" s="1074"/>
      <c r="W52" s="1074"/>
      <c r="X52" s="1074"/>
      <c r="Y52" s="1074"/>
      <c r="Z52" s="1074"/>
      <c r="AA52" s="1074"/>
      <c r="AB52" s="1074"/>
      <c r="AC52" s="1074"/>
      <c r="AD52" s="1074"/>
      <c r="AE52" s="1074"/>
      <c r="AF52" s="1074"/>
      <c r="AG52" s="1075"/>
      <c r="AH52" s="1075"/>
      <c r="AI52" s="1075"/>
      <c r="AJ52" s="1075"/>
      <c r="AK52" s="1075"/>
      <c r="AL52" s="1075"/>
    </row>
    <row r="53" spans="1:38" ht="21.75" thickBot="1" x14ac:dyDescent="0.4">
      <c r="A53" s="1042"/>
      <c r="B53" s="1039"/>
      <c r="C53" s="1039"/>
      <c r="D53" s="1039"/>
      <c r="E53" s="1039"/>
      <c r="F53" s="1039"/>
      <c r="G53" s="1039"/>
      <c r="H53" s="1039"/>
      <c r="I53" s="1039"/>
      <c r="J53" s="1039"/>
      <c r="K53" s="1039"/>
      <c r="L53" s="1039"/>
      <c r="M53" s="1043"/>
      <c r="N53" s="1039"/>
      <c r="O53" s="1074"/>
      <c r="P53" s="1074"/>
      <c r="Q53" s="1074"/>
      <c r="R53" s="1074"/>
      <c r="S53" s="1074"/>
      <c r="T53" s="1074"/>
      <c r="U53" s="1074"/>
      <c r="V53" s="1074"/>
      <c r="W53" s="1074"/>
      <c r="X53" s="1074"/>
      <c r="Y53" s="1074"/>
      <c r="Z53" s="1074"/>
      <c r="AA53" s="1074"/>
      <c r="AB53" s="1074"/>
      <c r="AC53" s="1074"/>
      <c r="AD53" s="1074"/>
      <c r="AE53" s="1074"/>
      <c r="AF53" s="1074"/>
      <c r="AG53" s="1075"/>
      <c r="AH53" s="1075"/>
      <c r="AI53" s="1075"/>
      <c r="AJ53" s="1075"/>
      <c r="AK53" s="1075"/>
      <c r="AL53" s="1075"/>
    </row>
    <row r="54" spans="1:38" ht="22.5" thickTop="1" thickBot="1" x14ac:dyDescent="0.4">
      <c r="A54" s="1042"/>
      <c r="B54" s="1122"/>
      <c r="C54" s="1123" t="s">
        <v>1403</v>
      </c>
      <c r="D54" s="2818" t="s">
        <v>1451</v>
      </c>
      <c r="E54" s="2820"/>
      <c r="F54" s="1124" t="s">
        <v>1452</v>
      </c>
      <c r="G54" s="1039"/>
      <c r="H54" s="1125" t="s">
        <v>1453</v>
      </c>
      <c r="I54" s="1126"/>
      <c r="J54" s="1126"/>
      <c r="K54" s="1126"/>
      <c r="L54" s="1127"/>
      <c r="M54" s="1043"/>
      <c r="N54" s="1039"/>
      <c r="O54" s="1074"/>
      <c r="P54" s="1074"/>
      <c r="Q54" s="1074"/>
      <c r="R54" s="1074"/>
      <c r="S54" s="1074"/>
      <c r="T54" s="1074"/>
      <c r="U54" s="1074"/>
      <c r="V54" s="1074"/>
      <c r="W54" s="1074"/>
      <c r="X54" s="1074"/>
      <c r="Y54" s="1074"/>
      <c r="Z54" s="1074"/>
      <c r="AA54" s="1074"/>
      <c r="AB54" s="1074"/>
      <c r="AC54" s="1074"/>
      <c r="AD54" s="1074"/>
      <c r="AE54" s="1074"/>
      <c r="AF54" s="1074"/>
      <c r="AG54" s="1075"/>
      <c r="AH54" s="1075"/>
      <c r="AI54" s="1075"/>
      <c r="AJ54" s="1075"/>
      <c r="AK54" s="1075"/>
      <c r="AL54" s="1075"/>
    </row>
    <row r="55" spans="1:38" ht="21" x14ac:dyDescent="0.35">
      <c r="A55" s="1042"/>
      <c r="B55" s="1128"/>
      <c r="C55" s="1052" t="s">
        <v>1454</v>
      </c>
      <c r="D55" s="2821">
        <v>0.6</v>
      </c>
      <c r="E55" s="2822"/>
      <c r="F55" s="1129">
        <f>D37*D55</f>
        <v>0.69750000000000001</v>
      </c>
      <c r="G55" s="1039"/>
      <c r="H55" s="1042"/>
      <c r="I55" s="1039"/>
      <c r="J55" s="1039"/>
      <c r="K55" s="1039"/>
      <c r="L55" s="1043"/>
      <c r="M55" s="1043"/>
      <c r="N55" s="1039"/>
      <c r="O55" s="1074"/>
      <c r="P55" s="1074">
        <v>1</v>
      </c>
      <c r="Q55" s="1074">
        <f>P55*D55</f>
        <v>0.6</v>
      </c>
      <c r="R55" s="1074"/>
      <c r="S55" s="1074">
        <v>2</v>
      </c>
      <c r="T55" s="1074">
        <f>S55*D55</f>
        <v>1.2</v>
      </c>
      <c r="U55" s="1074"/>
      <c r="V55" s="1074">
        <v>3</v>
      </c>
      <c r="W55" s="1074">
        <f>V55*D55</f>
        <v>1.7999999999999998</v>
      </c>
      <c r="X55" s="1074"/>
      <c r="Y55" s="1074"/>
      <c r="Z55" s="1074"/>
      <c r="AA55" s="1074"/>
      <c r="AB55" s="1074"/>
      <c r="AC55" s="1074"/>
      <c r="AD55" s="1074"/>
      <c r="AE55" s="1074"/>
      <c r="AF55" s="1074"/>
      <c r="AG55" s="1075"/>
      <c r="AH55" s="1075"/>
      <c r="AI55" s="1075"/>
      <c r="AJ55" s="1075"/>
      <c r="AK55" s="1075"/>
      <c r="AL55" s="1075"/>
    </row>
    <row r="56" spans="1:38" ht="21" x14ac:dyDescent="0.35">
      <c r="A56" s="1042"/>
      <c r="B56" s="1128"/>
      <c r="C56" s="1052" t="s">
        <v>1455</v>
      </c>
      <c r="D56" s="2823">
        <v>0.4</v>
      </c>
      <c r="E56" s="2824"/>
      <c r="F56" s="1130">
        <f>D56*E51</f>
        <v>0.44000000000000006</v>
      </c>
      <c r="G56" s="1039"/>
      <c r="H56" s="1042"/>
      <c r="I56" s="1039"/>
      <c r="J56" s="1039"/>
      <c r="K56" s="1039"/>
      <c r="L56" s="1043"/>
      <c r="M56" s="1043"/>
      <c r="N56" s="1039"/>
      <c r="O56" s="1074"/>
      <c r="P56" s="1074">
        <v>1</v>
      </c>
      <c r="Q56" s="1074">
        <f>P56*D56</f>
        <v>0.4</v>
      </c>
      <c r="R56" s="1074"/>
      <c r="S56" s="1074">
        <v>2</v>
      </c>
      <c r="T56" s="1074">
        <f>S56*D56</f>
        <v>0.8</v>
      </c>
      <c r="U56" s="1074"/>
      <c r="V56" s="1074">
        <v>3</v>
      </c>
      <c r="W56" s="1074">
        <f>V56*D56</f>
        <v>1.2000000000000002</v>
      </c>
      <c r="X56" s="1074"/>
      <c r="Y56" s="1074"/>
      <c r="Z56" s="1074"/>
      <c r="AA56" s="1074"/>
      <c r="AB56" s="1074"/>
      <c r="AC56" s="1074"/>
      <c r="AD56" s="1074"/>
      <c r="AE56" s="1074"/>
      <c r="AF56" s="1074"/>
      <c r="AG56" s="1075"/>
      <c r="AH56" s="1075"/>
      <c r="AI56" s="1075"/>
      <c r="AJ56" s="1075"/>
      <c r="AK56" s="1075"/>
      <c r="AL56" s="1075"/>
    </row>
    <row r="57" spans="1:38" ht="21" x14ac:dyDescent="0.35">
      <c r="A57" s="1042"/>
      <c r="B57" s="1131"/>
      <c r="C57" s="1132" t="s">
        <v>1456</v>
      </c>
      <c r="D57" s="2825">
        <f>SUM(D55:E56)</f>
        <v>1</v>
      </c>
      <c r="E57" s="2826"/>
      <c r="F57" s="1133">
        <f>SUM(F55:F56)</f>
        <v>1.1375000000000002</v>
      </c>
      <c r="G57" s="1039"/>
      <c r="H57" s="1042"/>
      <c r="I57" s="1039"/>
      <c r="J57" s="1039"/>
      <c r="K57" s="1039"/>
      <c r="L57" s="1043"/>
      <c r="M57" s="1043"/>
      <c r="N57" s="1039"/>
      <c r="O57" s="1074"/>
      <c r="P57" s="1074"/>
      <c r="Q57" s="1074">
        <f>SUM(Q55:Q56)</f>
        <v>1</v>
      </c>
      <c r="R57" s="1074"/>
      <c r="S57" s="1074"/>
      <c r="T57" s="1074">
        <f>SUM(T55:T56)</f>
        <v>2</v>
      </c>
      <c r="U57" s="1074"/>
      <c r="V57" s="1074"/>
      <c r="W57" s="1074">
        <f>SUM(W55:W56)</f>
        <v>3</v>
      </c>
      <c r="X57" s="1074"/>
      <c r="Y57" s="1074"/>
      <c r="Z57" s="1074"/>
      <c r="AA57" s="1074"/>
      <c r="AB57" s="1074"/>
      <c r="AC57" s="1074"/>
      <c r="AD57" s="1074"/>
      <c r="AE57" s="1074"/>
      <c r="AF57" s="1074"/>
      <c r="AG57" s="1075"/>
      <c r="AH57" s="1075"/>
      <c r="AI57" s="1075"/>
      <c r="AJ57" s="1075"/>
      <c r="AK57" s="1075"/>
      <c r="AL57" s="1075"/>
    </row>
    <row r="58" spans="1:38" ht="21" x14ac:dyDescent="0.35">
      <c r="A58" s="1042"/>
      <c r="B58" s="1039"/>
      <c r="C58" s="1052"/>
      <c r="D58" s="1039"/>
      <c r="E58" s="1039"/>
      <c r="F58" s="1039"/>
      <c r="G58" s="1039"/>
      <c r="H58" s="1042"/>
      <c r="I58" s="1039"/>
      <c r="J58" s="1039"/>
      <c r="K58" s="1039"/>
      <c r="L58" s="1043"/>
      <c r="M58" s="1043"/>
      <c r="N58" s="1039"/>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row>
    <row r="59" spans="1:38" ht="21" x14ac:dyDescent="0.35">
      <c r="A59" s="1042"/>
      <c r="B59" s="1122"/>
      <c r="C59" s="1123" t="s">
        <v>1457</v>
      </c>
      <c r="D59" s="2818" t="s">
        <v>1458</v>
      </c>
      <c r="E59" s="2820"/>
      <c r="F59" s="1134" t="s">
        <v>1459</v>
      </c>
      <c r="G59" s="1039"/>
      <c r="H59" s="1135" t="s">
        <v>1460</v>
      </c>
      <c r="I59" s="1136"/>
      <c r="J59" s="1136"/>
      <c r="K59" s="1136"/>
      <c r="L59" s="1137"/>
      <c r="M59" s="1043"/>
      <c r="N59" s="1039"/>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row>
    <row r="60" spans="1:38" ht="21.75" thickBot="1" x14ac:dyDescent="0.4">
      <c r="A60" s="1042"/>
      <c r="B60" s="1138"/>
      <c r="C60" s="1139" t="s">
        <v>1461</v>
      </c>
      <c r="D60" s="2821" t="str">
        <f>IF(AND($F$57&gt;=1,$F$57&lt;1.5),"L","-")</f>
        <v>L</v>
      </c>
      <c r="E60" s="2822"/>
      <c r="F60" s="1130">
        <f>IF(D60="L",1,"-")</f>
        <v>1</v>
      </c>
      <c r="G60" s="1039"/>
      <c r="H60" s="1140" t="s">
        <v>1462</v>
      </c>
      <c r="I60" s="1141"/>
      <c r="J60" s="1141"/>
      <c r="K60" s="1141"/>
      <c r="L60" s="1142"/>
      <c r="M60" s="1043"/>
      <c r="N60" s="1039"/>
      <c r="O60" s="1075"/>
      <c r="P60" s="1075" t="s">
        <v>1463</v>
      </c>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row>
    <row r="61" spans="1:38" ht="21" customHeight="1" thickTop="1" x14ac:dyDescent="0.35">
      <c r="A61" s="1042"/>
      <c r="B61" s="1128"/>
      <c r="C61" s="1143" t="s">
        <v>1464</v>
      </c>
      <c r="D61" s="2830" t="str">
        <f>IF(AND($F$57&gt;=1.5,$F$57&lt;2),"M","-")</f>
        <v>-</v>
      </c>
      <c r="E61" s="2831"/>
      <c r="F61" s="1144" t="str">
        <f>IF(D61="M",0.5,"-")</f>
        <v>-</v>
      </c>
      <c r="G61" s="1039"/>
      <c r="H61" s="1039"/>
      <c r="I61" s="1039"/>
      <c r="J61" s="1039"/>
      <c r="K61" s="1039"/>
      <c r="L61" s="1039"/>
      <c r="M61" s="1043"/>
      <c r="N61" s="1039"/>
      <c r="O61" s="1075"/>
      <c r="P61" s="1075" t="s">
        <v>1201</v>
      </c>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row>
    <row r="62" spans="1:38" ht="21.75" thickBot="1" x14ac:dyDescent="0.4">
      <c r="A62" s="1042"/>
      <c r="B62" s="1128"/>
      <c r="C62" s="1145" t="s">
        <v>1465</v>
      </c>
      <c r="D62" s="2823" t="str">
        <f>IF(AND($F$57&gt;=2,$F$57&lt;2.5),"H","-")</f>
        <v>-</v>
      </c>
      <c r="E62" s="2824"/>
      <c r="F62" s="1130" t="str">
        <f>IF(D62="H",0.1,"-")</f>
        <v>-</v>
      </c>
      <c r="G62" s="1039"/>
      <c r="H62" s="1039"/>
      <c r="I62" s="1039"/>
      <c r="J62" s="1039"/>
      <c r="K62" s="1039"/>
      <c r="L62" s="1039"/>
      <c r="M62" s="1043"/>
      <c r="N62" s="1039"/>
      <c r="O62" s="1075"/>
      <c r="P62" s="1075" t="s">
        <v>1466</v>
      </c>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row>
    <row r="63" spans="1:38" ht="22.5" thickTop="1" thickBot="1" x14ac:dyDescent="0.4">
      <c r="A63" s="1042"/>
      <c r="B63" s="1128"/>
      <c r="C63" s="1146"/>
      <c r="D63" s="2823"/>
      <c r="E63" s="2824"/>
      <c r="F63" s="1130"/>
      <c r="G63" s="1039"/>
      <c r="H63" s="1125" t="s">
        <v>1467</v>
      </c>
      <c r="I63" s="1126"/>
      <c r="J63" s="1126"/>
      <c r="K63" s="1126"/>
      <c r="L63" s="1127"/>
      <c r="M63" s="1043"/>
      <c r="N63" s="1039"/>
      <c r="O63" s="1075"/>
      <c r="P63" s="1075" t="s">
        <v>1468</v>
      </c>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row>
    <row r="64" spans="1:38" ht="21" x14ac:dyDescent="0.35">
      <c r="A64" s="1042"/>
      <c r="B64" s="1128"/>
      <c r="C64" s="1145" t="s">
        <v>1469</v>
      </c>
      <c r="D64" s="2832" t="str">
        <f>IF(F57&gt;=2.5,"Rejected","-")</f>
        <v>-</v>
      </c>
      <c r="E64" s="2833"/>
      <c r="F64" s="1130" t="str">
        <f>IF(D64="Rejected",0,"-")</f>
        <v>-</v>
      </c>
      <c r="G64" s="1039"/>
      <c r="H64" s="1042"/>
      <c r="I64" s="1039"/>
      <c r="J64" s="1039"/>
      <c r="K64" s="1039"/>
      <c r="L64" s="1043"/>
      <c r="M64" s="1043"/>
      <c r="N64" s="1039"/>
      <c r="O64" s="1075"/>
      <c r="P64" s="1075" t="s">
        <v>301</v>
      </c>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row>
    <row r="65" spans="1:38" ht="21" x14ac:dyDescent="0.35">
      <c r="A65" s="1042"/>
      <c r="B65" s="1131"/>
      <c r="C65" s="1147"/>
      <c r="D65" s="2825"/>
      <c r="E65" s="2826"/>
      <c r="F65" s="1148">
        <f>SUM(F60:F64)</f>
        <v>1</v>
      </c>
      <c r="G65" s="1039"/>
      <c r="H65" s="1042"/>
      <c r="I65" s="1039"/>
      <c r="J65" s="1039"/>
      <c r="K65" s="1039"/>
      <c r="L65" s="1043"/>
      <c r="M65" s="1043"/>
      <c r="N65" s="1039"/>
      <c r="O65" s="1075"/>
      <c r="P65" s="1075" t="s">
        <v>1447</v>
      </c>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row>
    <row r="66" spans="1:38" ht="21" x14ac:dyDescent="0.35">
      <c r="A66" s="1042"/>
      <c r="B66" s="1039"/>
      <c r="C66" s="1039"/>
      <c r="D66" s="1039"/>
      <c r="E66" s="1039"/>
      <c r="F66" s="1039"/>
      <c r="G66" s="1039"/>
      <c r="H66" s="1042"/>
      <c r="I66" s="1039"/>
      <c r="J66" s="1039"/>
      <c r="K66" s="1039"/>
      <c r="L66" s="1043"/>
      <c r="M66" s="1043"/>
      <c r="N66" s="1039"/>
      <c r="O66" s="1075"/>
      <c r="P66" s="1075" t="s">
        <v>1470</v>
      </c>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row>
    <row r="67" spans="1:38" ht="21" x14ac:dyDescent="0.35">
      <c r="A67" s="1042"/>
      <c r="B67" s="1122"/>
      <c r="C67" s="1123" t="s">
        <v>1471</v>
      </c>
      <c r="D67" s="2818" t="s">
        <v>1472</v>
      </c>
      <c r="E67" s="2819"/>
      <c r="F67" s="2820"/>
      <c r="G67" s="1039"/>
      <c r="H67" s="1042"/>
      <c r="I67" s="1039"/>
      <c r="J67" s="1039"/>
      <c r="K67" s="1039"/>
      <c r="L67" s="1043"/>
      <c r="M67" s="1043"/>
      <c r="N67" s="1039"/>
      <c r="O67" s="1149"/>
      <c r="P67" s="1149"/>
      <c r="Q67" s="1149"/>
      <c r="R67" s="1149"/>
      <c r="S67" s="1149"/>
      <c r="T67" s="1149"/>
      <c r="U67" s="1149"/>
    </row>
    <row r="68" spans="1:38" ht="21" x14ac:dyDescent="0.35">
      <c r="A68" s="1042"/>
      <c r="B68" s="1138"/>
      <c r="C68" s="1150" t="s">
        <v>1473</v>
      </c>
      <c r="D68" s="1151"/>
      <c r="E68" s="2805">
        <f>IF($E$49&lt;=0.05,1,"-")</f>
        <v>1</v>
      </c>
      <c r="F68" s="2806"/>
      <c r="G68" s="1039"/>
      <c r="H68" s="1042"/>
      <c r="I68" s="1039"/>
      <c r="J68" s="1039"/>
      <c r="K68" s="1039"/>
      <c r="L68" s="1043"/>
      <c r="M68" s="1043"/>
      <c r="N68" s="1039"/>
      <c r="O68" s="1149"/>
      <c r="P68" s="1149"/>
      <c r="Q68" s="1149"/>
      <c r="R68" s="1149"/>
      <c r="S68" s="1149"/>
      <c r="T68" s="1149"/>
      <c r="U68" s="1149"/>
    </row>
    <row r="69" spans="1:38" ht="21" x14ac:dyDescent="0.35">
      <c r="A69" s="1042"/>
      <c r="B69" s="1128"/>
      <c r="C69" s="1152" t="s">
        <v>1474</v>
      </c>
      <c r="D69" s="1151"/>
      <c r="E69" s="2807" t="str">
        <f>IF(AND($E$49&gt;0.05,$E$49&lt;=0.07),0.8,"-")</f>
        <v>-</v>
      </c>
      <c r="F69" s="2808"/>
      <c r="G69" s="1039"/>
      <c r="H69" s="1135" t="s">
        <v>42</v>
      </c>
      <c r="I69" s="1136"/>
      <c r="J69" s="1136"/>
      <c r="K69" s="1136"/>
      <c r="L69" s="1153"/>
      <c r="M69" s="1043"/>
      <c r="N69" s="1039"/>
      <c r="O69" s="1149"/>
      <c r="P69" s="1149"/>
      <c r="Q69" s="1149"/>
      <c r="R69" s="1149"/>
      <c r="S69" s="1149"/>
      <c r="T69" s="1149"/>
      <c r="U69" s="1149"/>
    </row>
    <row r="70" spans="1:38" ht="21.75" thickBot="1" x14ac:dyDescent="0.4">
      <c r="A70" s="1042"/>
      <c r="B70" s="1128"/>
      <c r="C70" s="1152" t="s">
        <v>1475</v>
      </c>
      <c r="D70" s="1151"/>
      <c r="E70" s="2807" t="str">
        <f>IF(AND($E$49&gt;0.07,$E$49&lt;=0.09),0.6,"-")</f>
        <v>-</v>
      </c>
      <c r="F70" s="2808"/>
      <c r="G70" s="1039"/>
      <c r="H70" s="1140" t="s">
        <v>1462</v>
      </c>
      <c r="I70" s="1141"/>
      <c r="J70" s="1141"/>
      <c r="K70" s="1141"/>
      <c r="L70" s="1142"/>
      <c r="M70" s="1043"/>
      <c r="N70" s="1039"/>
      <c r="O70" s="1149"/>
      <c r="P70" s="1149"/>
      <c r="Q70" s="1149"/>
      <c r="R70" s="1149"/>
      <c r="S70" s="1149"/>
      <c r="T70" s="1149"/>
      <c r="U70" s="1149"/>
    </row>
    <row r="71" spans="1:38" ht="21.75" thickTop="1" x14ac:dyDescent="0.35">
      <c r="A71" s="1042"/>
      <c r="B71" s="1128"/>
      <c r="C71" s="1152" t="s">
        <v>1476</v>
      </c>
      <c r="D71" s="1151"/>
      <c r="E71" s="2807" t="str">
        <f>IF(AND($E$49&gt;0.09,$E$49&lt;=0.1),0.4,"-")</f>
        <v>-</v>
      </c>
      <c r="F71" s="2808"/>
      <c r="G71" s="1039"/>
      <c r="H71" s="1039"/>
      <c r="I71" s="1039"/>
      <c r="J71" s="1039"/>
      <c r="K71" s="1039"/>
      <c r="L71" s="1039"/>
      <c r="M71" s="1043"/>
      <c r="N71" s="1039"/>
      <c r="O71" s="1149"/>
      <c r="P71" s="1149"/>
      <c r="Q71" s="1149"/>
      <c r="R71" s="1149"/>
      <c r="S71" s="1149"/>
      <c r="T71" s="1149"/>
      <c r="U71" s="1149"/>
    </row>
    <row r="72" spans="1:38" ht="21.75" thickBot="1" x14ac:dyDescent="0.4">
      <c r="A72" s="1042"/>
      <c r="B72" s="1128"/>
      <c r="C72" s="1152" t="s">
        <v>1477</v>
      </c>
      <c r="D72" s="1151"/>
      <c r="E72" s="2807" t="str">
        <f>IF(AND($E$49&gt;0.1,$E$49&lt;=0.12),0.2,"-")</f>
        <v>-</v>
      </c>
      <c r="F72" s="2808"/>
      <c r="G72" s="1039"/>
      <c r="H72" s="1039"/>
      <c r="I72" s="1039"/>
      <c r="J72" s="1039"/>
      <c r="K72" s="1039"/>
      <c r="L72" s="1039"/>
      <c r="M72" s="1043"/>
      <c r="N72" s="1039"/>
      <c r="O72" s="1149"/>
      <c r="P72" s="1149"/>
      <c r="Q72" s="1149"/>
      <c r="R72" s="1149"/>
      <c r="S72" s="1149"/>
      <c r="T72" s="1149"/>
      <c r="U72" s="1149"/>
    </row>
    <row r="73" spans="1:38" ht="22.5" thickTop="1" thickBot="1" x14ac:dyDescent="0.4">
      <c r="A73" s="1042"/>
      <c r="B73" s="1131"/>
      <c r="C73" s="1154" t="s">
        <v>1478</v>
      </c>
      <c r="D73" s="1155"/>
      <c r="E73" s="2809" t="str">
        <f>IF($E$49&gt;0.12,0.1,"-")</f>
        <v>-</v>
      </c>
      <c r="F73" s="2810"/>
      <c r="G73" s="1039"/>
      <c r="H73" s="1125" t="s">
        <v>1479</v>
      </c>
      <c r="I73" s="1126"/>
      <c r="J73" s="1126"/>
      <c r="K73" s="1126"/>
      <c r="L73" s="1127"/>
      <c r="M73" s="1043"/>
      <c r="N73" s="1039"/>
      <c r="O73" s="1149"/>
      <c r="P73" s="1149"/>
      <c r="Q73" s="1149"/>
      <c r="R73" s="1149"/>
      <c r="S73" s="1149"/>
      <c r="T73" s="1149"/>
      <c r="U73" s="1149"/>
    </row>
    <row r="74" spans="1:38" ht="21" x14ac:dyDescent="0.35">
      <c r="A74" s="1042"/>
      <c r="B74" s="1039"/>
      <c r="C74" s="1104"/>
      <c r="D74" s="1151"/>
      <c r="E74" s="1151"/>
      <c r="F74" s="1156"/>
      <c r="G74" s="1039"/>
      <c r="H74" s="1042"/>
      <c r="I74" s="1039"/>
      <c r="J74" s="1039"/>
      <c r="K74" s="1039"/>
      <c r="L74" s="1043"/>
      <c r="M74" s="1043"/>
      <c r="N74" s="1039"/>
      <c r="O74" s="1180"/>
      <c r="P74" s="1149"/>
      <c r="Q74" s="1149"/>
      <c r="R74" s="1149"/>
      <c r="S74" s="1149"/>
      <c r="T74" s="1149"/>
      <c r="U74" s="1149"/>
    </row>
    <row r="75" spans="1:38" ht="21.75" thickBot="1" x14ac:dyDescent="0.4">
      <c r="A75" s="1042"/>
      <c r="B75" s="1039"/>
      <c r="C75" s="1039"/>
      <c r="D75" s="1157"/>
      <c r="E75" s="1158">
        <v>0.87</v>
      </c>
      <c r="F75" s="1156"/>
      <c r="G75" s="1039"/>
      <c r="H75" s="1042"/>
      <c r="I75" s="1039"/>
      <c r="J75" s="1039"/>
      <c r="K75" s="1039"/>
      <c r="L75" s="1043"/>
      <c r="M75" s="1043"/>
      <c r="N75" s="1039"/>
      <c r="O75" s="1149"/>
      <c r="P75" s="1149"/>
      <c r="Q75" s="1149"/>
      <c r="R75" s="1149"/>
      <c r="S75" s="1149"/>
      <c r="T75" s="1149"/>
      <c r="U75" s="1149"/>
    </row>
    <row r="76" spans="1:38" ht="21" x14ac:dyDescent="0.35">
      <c r="A76" s="1042"/>
      <c r="B76" s="1159"/>
      <c r="C76" s="1160" t="s">
        <v>1480</v>
      </c>
      <c r="D76" s="1161"/>
      <c r="E76" s="1162">
        <f>H4</f>
        <v>43281</v>
      </c>
      <c r="F76" s="1163"/>
      <c r="G76" s="1039"/>
      <c r="H76" s="1042"/>
      <c r="I76" s="1039"/>
      <c r="J76" s="1039"/>
      <c r="K76" s="1039"/>
      <c r="L76" s="1043"/>
      <c r="M76" s="1043"/>
      <c r="N76" s="1039"/>
    </row>
    <row r="77" spans="1:38" ht="21" x14ac:dyDescent="0.35">
      <c r="A77" s="1042"/>
      <c r="B77" s="1164"/>
      <c r="C77" s="1139" t="s">
        <v>1064</v>
      </c>
      <c r="D77" s="1165"/>
      <c r="E77" s="2811">
        <f>KPMM!G41</f>
        <v>34046069887.510574</v>
      </c>
      <c r="F77" s="2812"/>
      <c r="G77" s="1039"/>
      <c r="H77" s="1042"/>
      <c r="I77" s="1039"/>
      <c r="J77" s="1039"/>
      <c r="K77" s="1039"/>
      <c r="L77" s="1043"/>
      <c r="M77" s="1043"/>
      <c r="N77" s="1039"/>
    </row>
    <row r="78" spans="1:38" ht="21" x14ac:dyDescent="0.35">
      <c r="A78" s="1042"/>
      <c r="B78" s="1166"/>
      <c r="C78" s="1145" t="s">
        <v>1481</v>
      </c>
      <c r="D78" s="1167"/>
      <c r="E78" s="2801">
        <f>'CEKLIST 003 (LAPORAN KEUANGAN))'!K76+'CEKLIST 003 (LAPORAN KEUANGAN))'!K75+'CEKLIST 003 (LAPORAN KEUANGAN))'!K80+'CEKLIST 003 (LAPORAN KEUANGAN))'!K79</f>
        <v>20085515277</v>
      </c>
      <c r="F78" s="2802"/>
      <c r="G78" s="1039"/>
      <c r="H78" s="1042"/>
      <c r="I78" s="1039"/>
      <c r="J78" s="1039"/>
      <c r="K78" s="1039"/>
      <c r="L78" s="1043"/>
      <c r="M78" s="1043"/>
      <c r="N78" s="1039"/>
    </row>
    <row r="79" spans="1:38" ht="21" x14ac:dyDescent="0.35">
      <c r="A79" s="1042"/>
      <c r="B79" s="1166"/>
      <c r="C79" s="1145" t="s">
        <v>1482</v>
      </c>
      <c r="D79" s="1168"/>
      <c r="E79" s="2813">
        <f>F65*E77*E75</f>
        <v>29620080802.134201</v>
      </c>
      <c r="F79" s="2814"/>
      <c r="G79" s="1039"/>
      <c r="H79" s="1135" t="s">
        <v>42</v>
      </c>
      <c r="I79" s="1136"/>
      <c r="J79" s="1136"/>
      <c r="K79" s="1136"/>
      <c r="L79" s="1153"/>
      <c r="M79" s="1043"/>
      <c r="N79" s="1039"/>
    </row>
    <row r="80" spans="1:38" ht="21.75" thickBot="1" x14ac:dyDescent="0.4">
      <c r="A80" s="1042"/>
      <c r="B80" s="1169"/>
      <c r="C80" s="1170" t="s">
        <v>1483</v>
      </c>
      <c r="D80" s="1171"/>
      <c r="E80" s="2803">
        <f>IF((E79-E78)&lt;0,0,(E79-E78))</f>
        <v>9534565525.134201</v>
      </c>
      <c r="F80" s="2804"/>
      <c r="G80" s="1039"/>
      <c r="H80" s="1140" t="s">
        <v>1462</v>
      </c>
      <c r="I80" s="1141"/>
      <c r="J80" s="1141"/>
      <c r="K80" s="1141"/>
      <c r="L80" s="1142"/>
      <c r="M80" s="1043"/>
      <c r="N80" s="1039"/>
    </row>
    <row r="81" spans="1:14" ht="15" customHeight="1" x14ac:dyDescent="0.35">
      <c r="A81" s="1042"/>
      <c r="B81" s="1039"/>
      <c r="C81" s="1052"/>
      <c r="D81" s="1172"/>
      <c r="E81" s="1172"/>
      <c r="F81" s="1173"/>
      <c r="G81" s="1039"/>
      <c r="H81" s="1039"/>
      <c r="I81" s="1039"/>
      <c r="J81" s="1039"/>
      <c r="K81" s="1039"/>
      <c r="L81" s="1039"/>
      <c r="M81" s="1043"/>
      <c r="N81" s="1039"/>
    </row>
    <row r="83" spans="1:14" x14ac:dyDescent="0.25">
      <c r="F83" s="1174"/>
    </row>
    <row r="85" spans="1:14" x14ac:dyDescent="0.25">
      <c r="F85" s="1175"/>
    </row>
    <row r="86" spans="1:14" x14ac:dyDescent="0.25">
      <c r="F86" s="1176"/>
    </row>
    <row r="95" spans="1:14" x14ac:dyDescent="0.25">
      <c r="G95" s="1175">
        <v>15000000000</v>
      </c>
    </row>
    <row r="96" spans="1:14" x14ac:dyDescent="0.25">
      <c r="G96" s="1176">
        <f>G95/E80</f>
        <v>1.5732232329263762</v>
      </c>
    </row>
  </sheetData>
  <mergeCells count="58">
    <mergeCell ref="B3:C5"/>
    <mergeCell ref="C7:C8"/>
    <mergeCell ref="D7:E8"/>
    <mergeCell ref="F7:H7"/>
    <mergeCell ref="D11:E11"/>
    <mergeCell ref="D25:E25"/>
    <mergeCell ref="L7:L8"/>
    <mergeCell ref="D10:E10"/>
    <mergeCell ref="D17:E17"/>
    <mergeCell ref="D12:E12"/>
    <mergeCell ref="D14:E14"/>
    <mergeCell ref="D15:E15"/>
    <mergeCell ref="D16:E16"/>
    <mergeCell ref="D18:E18"/>
    <mergeCell ref="D19:E19"/>
    <mergeCell ref="D24:E24"/>
    <mergeCell ref="D21:E21"/>
    <mergeCell ref="D22:E22"/>
    <mergeCell ref="D23:E23"/>
    <mergeCell ref="B37:C38"/>
    <mergeCell ref="D37:L38"/>
    <mergeCell ref="L35:L36"/>
    <mergeCell ref="D26:E26"/>
    <mergeCell ref="D27:E27"/>
    <mergeCell ref="D28:E28"/>
    <mergeCell ref="D30:E30"/>
    <mergeCell ref="D32:E32"/>
    <mergeCell ref="D34:E34"/>
    <mergeCell ref="D31:E31"/>
    <mergeCell ref="C35:C36"/>
    <mergeCell ref="D35:E36"/>
    <mergeCell ref="F35:F36"/>
    <mergeCell ref="G35:G36"/>
    <mergeCell ref="H35:H36"/>
    <mergeCell ref="F39:L39"/>
    <mergeCell ref="D67:F67"/>
    <mergeCell ref="D54:E54"/>
    <mergeCell ref="D55:E55"/>
    <mergeCell ref="D56:E56"/>
    <mergeCell ref="D57:E57"/>
    <mergeCell ref="D59:E59"/>
    <mergeCell ref="D60:E60"/>
    <mergeCell ref="E51:L51"/>
    <mergeCell ref="D61:E61"/>
    <mergeCell ref="D62:E62"/>
    <mergeCell ref="D63:E63"/>
    <mergeCell ref="D64:E64"/>
    <mergeCell ref="D65:E65"/>
    <mergeCell ref="E78:F78"/>
    <mergeCell ref="E80:F80"/>
    <mergeCell ref="E68:F68"/>
    <mergeCell ref="E69:F69"/>
    <mergeCell ref="E70:F70"/>
    <mergeCell ref="E71:F71"/>
    <mergeCell ref="E72:F72"/>
    <mergeCell ref="E73:F73"/>
    <mergeCell ref="E77:F77"/>
    <mergeCell ref="E79:F79"/>
  </mergeCells>
  <pageMargins left="0.73958333333333337" right="0.48958333333333331" top="0.65972222222222221" bottom="0" header="0.37986111111111109" footer="0.5"/>
  <pageSetup paperSize="9" scale="3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32"/>
  <sheetViews>
    <sheetView showGridLines="0" topLeftCell="A40" zoomScale="120" zoomScaleNormal="120" workbookViewId="0">
      <selection activeCell="G6" sqref="G6"/>
    </sheetView>
  </sheetViews>
  <sheetFormatPr defaultRowHeight="14.25" x14ac:dyDescent="0.2"/>
  <cols>
    <col min="1" max="1" width="3.5703125" style="719" customWidth="1"/>
    <col min="2" max="2" width="3.42578125" style="719" customWidth="1"/>
    <col min="3" max="3" width="6.85546875" style="719" customWidth="1"/>
    <col min="4" max="4" width="6.140625" style="719" customWidth="1"/>
    <col min="5" max="5" width="35.7109375" style="719" customWidth="1"/>
    <col min="6" max="6" width="3.140625" style="719" bestFit="1" customWidth="1"/>
    <col min="7" max="9" width="18.42578125" style="719" bestFit="1" customWidth="1"/>
    <col min="10" max="10" width="13.28515625" style="719" hidden="1" customWidth="1"/>
    <col min="11" max="16384" width="9.140625" style="719"/>
  </cols>
  <sheetData>
    <row r="1" spans="2:10" x14ac:dyDescent="0.2">
      <c r="B1" s="844"/>
      <c r="C1" s="844"/>
      <c r="D1" s="844"/>
      <c r="E1" s="844"/>
      <c r="F1" s="844"/>
      <c r="G1" s="844"/>
      <c r="H1" s="844"/>
      <c r="I1" s="844"/>
      <c r="J1" s="844"/>
    </row>
    <row r="2" spans="2:10" ht="15" x14ac:dyDescent="0.25">
      <c r="B2" s="845" t="s">
        <v>1325</v>
      </c>
      <c r="C2" s="845"/>
      <c r="D2" s="845"/>
      <c r="E2" s="845"/>
      <c r="F2" s="845"/>
      <c r="G2" s="845"/>
      <c r="H2" s="845"/>
      <c r="I2" s="845"/>
      <c r="J2" s="845"/>
    </row>
    <row r="3" spans="2:10" x14ac:dyDescent="0.2">
      <c r="B3" s="844"/>
      <c r="C3" s="844"/>
      <c r="D3" s="844"/>
      <c r="E3" s="844"/>
      <c r="F3" s="844"/>
      <c r="G3" s="844"/>
      <c r="H3" s="844"/>
      <c r="I3" s="844"/>
      <c r="J3" s="844"/>
    </row>
    <row r="4" spans="2:10" ht="15" thickBot="1" x14ac:dyDescent="0.25">
      <c r="B4" s="844"/>
      <c r="C4" s="844"/>
      <c r="D4" s="844"/>
      <c r="E4" s="844"/>
      <c r="F4" s="844"/>
      <c r="G4" s="844"/>
      <c r="H4" s="844"/>
      <c r="I4" s="844"/>
      <c r="J4" s="846"/>
    </row>
    <row r="5" spans="2:10" ht="15" x14ac:dyDescent="0.25">
      <c r="B5" s="2883" t="s">
        <v>15</v>
      </c>
      <c r="C5" s="2884"/>
      <c r="D5" s="2884"/>
      <c r="E5" s="2884"/>
      <c r="F5" s="2887" t="s">
        <v>1326</v>
      </c>
      <c r="G5" s="2888"/>
      <c r="H5" s="2888"/>
      <c r="I5" s="2888"/>
      <c r="J5" s="2889"/>
    </row>
    <row r="6" spans="2:10" ht="15" x14ac:dyDescent="0.25">
      <c r="B6" s="2885"/>
      <c r="C6" s="2886"/>
      <c r="D6" s="2886"/>
      <c r="E6" s="2886"/>
      <c r="F6" s="847"/>
      <c r="G6" s="848">
        <f>'CEKLIST 002 (BIO DATA)'!D11</f>
        <v>43281</v>
      </c>
      <c r="H6" s="848">
        <f>'CEKLIST 002 (BIO DATA)'!D10</f>
        <v>43100</v>
      </c>
      <c r="I6" s="848">
        <f>'CEKLIST 002 (BIO DATA)'!D11</f>
        <v>43281</v>
      </c>
      <c r="J6" s="849">
        <f>DATE('[5]Lembar Input I Keuangan'!$F$35,'[5]Lembar Input I Keuangan'!$E$35,'[5]Lembar Input I Keuangan'!$D$35)</f>
        <v>366</v>
      </c>
    </row>
    <row r="7" spans="2:10" ht="15" x14ac:dyDescent="0.25">
      <c r="B7" s="850"/>
      <c r="C7" s="756"/>
      <c r="D7" s="756"/>
      <c r="E7" s="756"/>
      <c r="F7" s="851"/>
      <c r="G7" s="852"/>
      <c r="H7" s="852"/>
      <c r="I7" s="852"/>
      <c r="J7" s="853"/>
    </row>
    <row r="8" spans="2:10" ht="15" x14ac:dyDescent="0.25">
      <c r="B8" s="854" t="s">
        <v>659</v>
      </c>
      <c r="C8" s="734" t="s">
        <v>1327</v>
      </c>
      <c r="D8" s="733"/>
      <c r="E8" s="733"/>
      <c r="F8" s="855"/>
      <c r="G8" s="856">
        <f>PPAP!F65</f>
        <v>58346423006.046005</v>
      </c>
      <c r="H8" s="856">
        <f>PPAP!G65</f>
        <v>59696349063.979996</v>
      </c>
      <c r="I8" s="856">
        <f>PPAP!H65</f>
        <v>55032359994.800003</v>
      </c>
      <c r="J8" s="857">
        <f>[5]PPAP!I65</f>
        <v>0</v>
      </c>
    </row>
    <row r="9" spans="2:10" x14ac:dyDescent="0.2">
      <c r="B9" s="858"/>
      <c r="C9" s="733"/>
      <c r="D9" s="733"/>
      <c r="E9" s="733"/>
      <c r="F9" s="859"/>
      <c r="G9" s="740"/>
      <c r="H9" s="740"/>
      <c r="I9" s="740"/>
      <c r="J9" s="860"/>
    </row>
    <row r="10" spans="2:10" ht="15" x14ac:dyDescent="0.25">
      <c r="B10" s="854" t="s">
        <v>666</v>
      </c>
      <c r="C10" s="734" t="s">
        <v>1328</v>
      </c>
      <c r="D10" s="733"/>
      <c r="E10" s="733"/>
      <c r="F10" s="859"/>
      <c r="G10" s="740"/>
      <c r="H10" s="740"/>
      <c r="I10" s="740"/>
      <c r="J10" s="860"/>
    </row>
    <row r="11" spans="2:10" x14ac:dyDescent="0.2">
      <c r="B11" s="858"/>
      <c r="C11" s="738" t="s">
        <v>247</v>
      </c>
      <c r="D11" s="733" t="s">
        <v>1224</v>
      </c>
      <c r="E11" s="733"/>
      <c r="F11" s="859"/>
      <c r="G11" s="740"/>
      <c r="H11" s="740"/>
      <c r="I11" s="740"/>
      <c r="J11" s="860"/>
    </row>
    <row r="12" spans="2:10" x14ac:dyDescent="0.2">
      <c r="B12" s="858"/>
      <c r="C12" s="738"/>
      <c r="D12" s="738" t="s">
        <v>1329</v>
      </c>
      <c r="E12" s="733" t="s">
        <v>1283</v>
      </c>
      <c r="F12" s="859"/>
      <c r="G12" s="856">
        <f>'CEKLIST 003 (LAPORAN KEUANGAN))'!K79-'CEKLIST 003 (LAPORAN KEUANGAN))'!K80</f>
        <v>19914484723</v>
      </c>
      <c r="H12" s="856">
        <f>'CEKLIST 003 (LAPORAN KEUANGAN))'!M79-'CEKLIST 003 (LAPORAN KEUANGAN))'!M80</f>
        <v>19914484723</v>
      </c>
      <c r="I12" s="856">
        <f>'CEKLIST 003 (LAPORAN KEUANGAN))'!O79-'CEKLIST 003 (LAPORAN KEUANGAN))'!O80</f>
        <v>16133550997</v>
      </c>
      <c r="J12" s="857">
        <f>'[5]Lembar Input I Keuangan'!Q84-'[5]Lembar Input I Keuangan'!Q85</f>
        <v>0</v>
      </c>
    </row>
    <row r="13" spans="2:10" x14ac:dyDescent="0.2">
      <c r="B13" s="858"/>
      <c r="C13" s="738"/>
      <c r="D13" s="738" t="s">
        <v>1330</v>
      </c>
      <c r="E13" s="733" t="s">
        <v>1067</v>
      </c>
      <c r="F13" s="855"/>
      <c r="G13" s="856">
        <f>'CEKLIST 003 (LAPORAN KEUANGAN))'!K81</f>
        <v>0</v>
      </c>
      <c r="H13" s="856">
        <f>'[5]Lembar Input I Keuangan'!M86</f>
        <v>0</v>
      </c>
      <c r="I13" s="856">
        <f>'CEKLIST 003 (LAPORAN KEUANGAN))'!O81</f>
        <v>0</v>
      </c>
      <c r="J13" s="857">
        <f>'[5]Lembar Input I Keuangan'!Q86</f>
        <v>0</v>
      </c>
    </row>
    <row r="14" spans="2:10" x14ac:dyDescent="0.2">
      <c r="B14" s="858"/>
      <c r="C14" s="738"/>
      <c r="D14" s="738" t="s">
        <v>1331</v>
      </c>
      <c r="E14" s="733" t="s">
        <v>1069</v>
      </c>
      <c r="F14" s="855"/>
      <c r="G14" s="856">
        <f>'CEKLIST 003 (LAPORAN KEUANGAN))'!K82</f>
        <v>0</v>
      </c>
      <c r="H14" s="856">
        <f>'CEKLIST 003 (LAPORAN KEUANGAN))'!M82</f>
        <v>0</v>
      </c>
      <c r="I14" s="856">
        <f>'CEKLIST 003 (LAPORAN KEUANGAN))'!O82</f>
        <v>0</v>
      </c>
      <c r="J14" s="857">
        <f>'[5]Lembar Input I Keuangan'!Q87</f>
        <v>0</v>
      </c>
    </row>
    <row r="15" spans="2:10" x14ac:dyDescent="0.2">
      <c r="B15" s="858"/>
      <c r="C15" s="738"/>
      <c r="D15" s="738" t="s">
        <v>1332</v>
      </c>
      <c r="E15" s="733" t="s">
        <v>1317</v>
      </c>
      <c r="F15" s="855"/>
      <c r="G15" s="856">
        <f>'CEKLIST 003 (LAPORAN KEUANGAN))'!K83</f>
        <v>0</v>
      </c>
      <c r="H15" s="856">
        <f>'CEKLIST 003 (LAPORAN KEUANGAN))'!M83</f>
        <v>0</v>
      </c>
      <c r="I15" s="856">
        <f>'CEKLIST 003 (LAPORAN KEUANGAN))'!O83</f>
        <v>0</v>
      </c>
      <c r="J15" s="857">
        <f>'[5]Lembar Input I Keuangan'!Q88</f>
        <v>0</v>
      </c>
    </row>
    <row r="16" spans="2:10" x14ac:dyDescent="0.2">
      <c r="B16" s="858"/>
      <c r="C16" s="738"/>
      <c r="D16" s="738" t="s">
        <v>1333</v>
      </c>
      <c r="E16" s="733" t="s">
        <v>1073</v>
      </c>
      <c r="F16" s="855"/>
      <c r="G16" s="856">
        <f>'[5]Lembar Input I Keuangan'!K90</f>
        <v>0</v>
      </c>
      <c r="H16" s="856">
        <f>'[5]Lembar Input I Keuangan'!M90</f>
        <v>0</v>
      </c>
      <c r="I16" s="856">
        <f>'[5]Lembar Input I Keuangan'!O90</f>
        <v>0</v>
      </c>
      <c r="J16" s="857">
        <f>'[5]Lembar Input I Keuangan'!Q90</f>
        <v>0</v>
      </c>
    </row>
    <row r="17" spans="2:12" x14ac:dyDescent="0.2">
      <c r="B17" s="858"/>
      <c r="C17" s="738"/>
      <c r="D17" s="738" t="s">
        <v>1334</v>
      </c>
      <c r="E17" s="733" t="s">
        <v>1319</v>
      </c>
      <c r="F17" s="855"/>
      <c r="G17" s="856">
        <f>'CEKLIST 003 (LAPORAN KEUANGAN))'!K87</f>
        <v>3913644260</v>
      </c>
      <c r="H17" s="856">
        <f>'CEKLIST 003 (LAPORAN KEUANGAN))'!M87</f>
        <v>3913644260</v>
      </c>
      <c r="I17" s="856">
        <f>'CEKLIST 003 (LAPORAN KEUANGAN))'!O87</f>
        <v>3382788636</v>
      </c>
      <c r="J17" s="857">
        <f>'[5]Lembar Input I Keuangan'!Q92</f>
        <v>0</v>
      </c>
    </row>
    <row r="18" spans="2:12" x14ac:dyDescent="0.2">
      <c r="B18" s="858"/>
      <c r="C18" s="738"/>
      <c r="D18" s="738" t="s">
        <v>1335</v>
      </c>
      <c r="E18" s="733" t="s">
        <v>1320</v>
      </c>
      <c r="F18" s="855"/>
      <c r="G18" s="856">
        <f>'CEKLIST 003 (LAPORAN KEUANGAN))'!K88</f>
        <v>3824357333</v>
      </c>
      <c r="H18" s="856">
        <f>'CEKLIST 003 (LAPORAN KEUANGAN))'!M88</f>
        <v>3824357333</v>
      </c>
      <c r="I18" s="856">
        <f>'CEKLIST 003 (LAPORAN KEUANGAN))'!O88</f>
        <v>3293501709</v>
      </c>
      <c r="J18" s="857">
        <f>'[5]Lembar Input I Keuangan'!Q93</f>
        <v>0</v>
      </c>
    </row>
    <row r="19" spans="2:12" x14ac:dyDescent="0.2">
      <c r="B19" s="858"/>
      <c r="C19" s="738"/>
      <c r="D19" s="738" t="s">
        <v>1336</v>
      </c>
      <c r="E19" s="733" t="s">
        <v>1337</v>
      </c>
      <c r="F19" s="855"/>
      <c r="G19" s="856">
        <f>'CEKLIST 003 (LAPORAN KEUANGAN))'!K89</f>
        <v>0</v>
      </c>
      <c r="H19" s="856">
        <f>'CEKLIST 003 (LAPORAN KEUANGAN))'!M89</f>
        <v>0</v>
      </c>
      <c r="I19" s="856">
        <f>'CEKLIST 003 (LAPORAN KEUANGAN))'!O89</f>
        <v>0</v>
      </c>
      <c r="J19" s="857">
        <f>'[5]Lembar Input I Keuangan'!Q94</f>
        <v>0</v>
      </c>
    </row>
    <row r="20" spans="2:12" x14ac:dyDescent="0.2">
      <c r="B20" s="858"/>
      <c r="C20" s="738"/>
      <c r="D20" s="738" t="s">
        <v>1338</v>
      </c>
      <c r="E20" s="756" t="s">
        <v>1339</v>
      </c>
      <c r="F20" s="855"/>
      <c r="G20" s="856">
        <f>'CEKLIST 003 (LAPORAN KEUANGAN))'!K90</f>
        <v>0</v>
      </c>
      <c r="H20" s="856">
        <f>'CEKLIST 003 (LAPORAN KEUANGAN))'!M90</f>
        <v>0</v>
      </c>
      <c r="I20" s="856">
        <f>'CEKLIST 003 (LAPORAN KEUANGAN))'!O90</f>
        <v>0</v>
      </c>
      <c r="J20" s="857">
        <f>'[5]Lembar Input I Keuangan'!Q95</f>
        <v>0</v>
      </c>
    </row>
    <row r="21" spans="2:12" x14ac:dyDescent="0.2">
      <c r="B21" s="858"/>
      <c r="C21" s="738"/>
      <c r="D21" s="738" t="s">
        <v>1340</v>
      </c>
      <c r="E21" s="756" t="s">
        <v>1341</v>
      </c>
      <c r="F21" s="855"/>
      <c r="G21" s="856">
        <f>'CEKLIST 003 (LAPORAN KEUANGAN))'!K91</f>
        <v>4432029737.4200001</v>
      </c>
      <c r="H21" s="856">
        <f>'CEKLIST 003 (LAPORAN KEUANGAN))'!M91</f>
        <v>0</v>
      </c>
      <c r="I21" s="856">
        <f>'CEKLIST 003 (LAPORAN KEUANGAN))'!O91</f>
        <v>0</v>
      </c>
      <c r="J21" s="857">
        <f>'[5]Lembar Input I Keuangan'!Q96</f>
        <v>0</v>
      </c>
    </row>
    <row r="22" spans="2:12" x14ac:dyDescent="0.2">
      <c r="B22" s="858"/>
      <c r="C22" s="738"/>
      <c r="D22" s="738" t="s">
        <v>1342</v>
      </c>
      <c r="E22" s="756" t="s">
        <v>1343</v>
      </c>
      <c r="F22" s="855"/>
      <c r="G22" s="856">
        <f>IF('CEKLIST 003 (LAPORAN KEUANGAN))'!K92&gt;0,('CEKLIST 003 (LAPORAN KEUANGAN))'!K92*50%),(0))</f>
        <v>1232223546.5150001</v>
      </c>
      <c r="H22" s="856">
        <f>IF('CEKLIST 003 (LAPORAN KEUANGAN))'!M92&gt;0,('CEKLIST 003 (LAPORAN KEUANGAN))'!M92*50%),(0))</f>
        <v>2507164419.2199998</v>
      </c>
      <c r="I22" s="856">
        <f>IF('CEKLIST 003 (LAPORAN KEUANGAN))'!O92&gt;0,('CEKLIST 003 (LAPORAN KEUANGAN))'!O92*50%),(0))</f>
        <v>2654278123</v>
      </c>
      <c r="J22" s="857">
        <f>IF('[5]Lembar Input I Keuangan'!Q97&gt;0,('[5]Lembar Input I Keuangan'!Q97*50%),(0))</f>
        <v>0</v>
      </c>
    </row>
    <row r="23" spans="2:12" x14ac:dyDescent="0.2">
      <c r="B23" s="858"/>
      <c r="C23" s="738"/>
      <c r="D23" s="738" t="s">
        <v>1344</v>
      </c>
      <c r="E23" s="756" t="s">
        <v>1345</v>
      </c>
      <c r="F23" s="855"/>
      <c r="G23" s="856">
        <f>'[5]Lembar Input I Keuangan'!K98</f>
        <v>0</v>
      </c>
      <c r="H23" s="856">
        <f>'[5]Lembar Input I Keuangan'!M98</f>
        <v>0</v>
      </c>
      <c r="I23" s="856">
        <f>'[5]Lembar Input I Keuangan'!O98</f>
        <v>0</v>
      </c>
      <c r="J23" s="857">
        <f>'[5]Lembar Input I Keuangan'!Q98</f>
        <v>0</v>
      </c>
    </row>
    <row r="24" spans="2:12" x14ac:dyDescent="0.2">
      <c r="B24" s="861"/>
      <c r="C24" s="862"/>
      <c r="D24" s="862" t="s">
        <v>1346</v>
      </c>
      <c r="E24" s="863" t="s">
        <v>1347</v>
      </c>
      <c r="F24" s="864"/>
      <c r="G24" s="865">
        <f>G12+G15+G17+G18+G19+G20+G21+G22+G23+G13-G14+G16</f>
        <v>33316739599.934998</v>
      </c>
      <c r="H24" s="865">
        <f>+H12+H15+H17+H18+H19+H20+H21+H22+H23+H13-H14+H16</f>
        <v>30159650735.220001</v>
      </c>
      <c r="I24" s="865">
        <f>+I12+I15+I17+I18+I19+I20+I21+I22+I23+I13-I14+I16</f>
        <v>25464119465</v>
      </c>
      <c r="J24" s="866">
        <f>+J12+J15+J17+J18+J19+J20+J21+J22+J23+J13-J14+J16</f>
        <v>0</v>
      </c>
    </row>
    <row r="25" spans="2:12" x14ac:dyDescent="0.2">
      <c r="B25" s="850"/>
      <c r="C25" s="867"/>
      <c r="D25" s="868" t="s">
        <v>1348</v>
      </c>
      <c r="E25" s="756" t="s">
        <v>1349</v>
      </c>
      <c r="F25" s="869"/>
      <c r="G25" s="870">
        <f>PPAP!F34</f>
        <v>0</v>
      </c>
      <c r="H25" s="870">
        <f>PPAP!G34</f>
        <v>0</v>
      </c>
      <c r="I25" s="870">
        <f>PPAP!H34</f>
        <v>0</v>
      </c>
      <c r="J25" s="871">
        <f>[5]PPAP!I34</f>
        <v>0</v>
      </c>
    </row>
    <row r="26" spans="2:12" x14ac:dyDescent="0.2">
      <c r="B26" s="858"/>
      <c r="C26" s="738"/>
      <c r="D26" s="872" t="s">
        <v>1350</v>
      </c>
      <c r="E26" s="756" t="s">
        <v>1351</v>
      </c>
      <c r="F26" s="873"/>
      <c r="G26" s="874"/>
      <c r="H26" s="874"/>
      <c r="I26" s="874"/>
      <c r="J26" s="875"/>
    </row>
    <row r="27" spans="2:12" x14ac:dyDescent="0.2">
      <c r="B27" s="861"/>
      <c r="C27" s="862"/>
      <c r="D27" s="862" t="s">
        <v>1352</v>
      </c>
      <c r="E27" s="863" t="s">
        <v>1353</v>
      </c>
      <c r="F27" s="864">
        <f>SUM(F24:F25)-F26</f>
        <v>0</v>
      </c>
      <c r="G27" s="865">
        <f>SUM(G24:G25)-G26</f>
        <v>33316739599.934998</v>
      </c>
      <c r="H27" s="865">
        <f>SUM(H24:H25)-H26</f>
        <v>30159650735.220001</v>
      </c>
      <c r="I27" s="865">
        <f>SUM(I24:I25)-I26</f>
        <v>25464119465</v>
      </c>
      <c r="J27" s="866">
        <f>SUM(J24:J25)-J26</f>
        <v>0</v>
      </c>
      <c r="L27" s="722"/>
    </row>
    <row r="28" spans="2:12" ht="6.75" customHeight="1" x14ac:dyDescent="0.2">
      <c r="B28" s="858"/>
      <c r="C28" s="738"/>
      <c r="D28" s="733"/>
      <c r="E28" s="733"/>
      <c r="F28" s="859"/>
      <c r="G28" s="740"/>
      <c r="H28" s="740"/>
      <c r="I28" s="740"/>
      <c r="J28" s="876"/>
    </row>
    <row r="29" spans="2:12" x14ac:dyDescent="0.2">
      <c r="B29" s="858"/>
      <c r="C29" s="738" t="s">
        <v>248</v>
      </c>
      <c r="D29" s="733" t="s">
        <v>1354</v>
      </c>
      <c r="E29" s="733"/>
      <c r="F29" s="859"/>
      <c r="G29" s="740"/>
      <c r="H29" s="740"/>
      <c r="I29" s="740"/>
      <c r="J29" s="876"/>
    </row>
    <row r="30" spans="2:12" ht="28.5" x14ac:dyDescent="0.2">
      <c r="B30" s="858"/>
      <c r="C30" s="738"/>
      <c r="D30" s="877" t="s">
        <v>1355</v>
      </c>
      <c r="E30" s="878" t="s">
        <v>1356</v>
      </c>
      <c r="F30" s="873"/>
      <c r="G30" s="874">
        <v>0</v>
      </c>
      <c r="H30" s="874">
        <v>0</v>
      </c>
      <c r="I30" s="874">
        <v>0</v>
      </c>
      <c r="J30" s="875">
        <v>0</v>
      </c>
    </row>
    <row r="31" spans="2:12" ht="28.5" x14ac:dyDescent="0.2">
      <c r="B31" s="858"/>
      <c r="C31" s="738"/>
      <c r="D31" s="877" t="s">
        <v>1357</v>
      </c>
      <c r="E31" s="879" t="s">
        <v>1358</v>
      </c>
      <c r="F31" s="859"/>
      <c r="G31" s="740"/>
      <c r="H31" s="740"/>
      <c r="I31" s="740"/>
      <c r="J31" s="876"/>
    </row>
    <row r="32" spans="2:12" x14ac:dyDescent="0.2">
      <c r="B32" s="858"/>
      <c r="C32" s="738"/>
      <c r="D32" s="877"/>
      <c r="E32" s="733" t="s">
        <v>1359</v>
      </c>
      <c r="F32" s="880"/>
      <c r="G32" s="881">
        <f>IF(G8*1.25%&gt;'CEKLIST 003 (LAPORAN KEUANGAN))'!K54,'CEKLIST 003 (LAPORAN KEUANGAN))'!K54,G8*1.25%)</f>
        <v>729330287.57557511</v>
      </c>
      <c r="H32" s="881">
        <f>IF(H8*1.25%&gt;'CEKLIST 003 (LAPORAN KEUANGAN))'!M54,'CEKLIST 003 (LAPORAN KEUANGAN))'!M54,H8*1.25%)</f>
        <v>719720888.29999995</v>
      </c>
      <c r="I32" s="881">
        <f>IF(I8*1.25%&gt;'CEKLIST 003 (LAPORAN KEUANGAN))'!O54,'CEKLIST 003 (LAPORAN KEUANGAN))'!O54,I8*1.25%)</f>
        <v>687904499.93500006</v>
      </c>
      <c r="J32" s="882">
        <f>IF(J8*1.25%&gt;'[5]Lembar Input I Keuangan'!Q57,'[5]Lembar Input I Keuangan'!Q57,J8*1.25%)</f>
        <v>0</v>
      </c>
    </row>
    <row r="33" spans="2:10" x14ac:dyDescent="0.2">
      <c r="B33" s="858"/>
      <c r="C33" s="738"/>
      <c r="D33" s="738" t="s">
        <v>1360</v>
      </c>
      <c r="E33" s="733" t="s">
        <v>1361</v>
      </c>
      <c r="F33" s="880"/>
      <c r="G33" s="881">
        <f>'[5]Lembar Input I Keuangan'!K89</f>
        <v>0</v>
      </c>
      <c r="H33" s="881">
        <f>'[5]Lembar Input I Keuangan'!M89</f>
        <v>0</v>
      </c>
      <c r="I33" s="881">
        <f>'[5]Lembar Input I Keuangan'!O89</f>
        <v>0</v>
      </c>
      <c r="J33" s="882">
        <f>'[5]Lembar Input I Keuangan'!Q89</f>
        <v>0</v>
      </c>
    </row>
    <row r="34" spans="2:10" x14ac:dyDescent="0.2">
      <c r="B34" s="858"/>
      <c r="C34" s="738"/>
      <c r="D34" s="738" t="s">
        <v>1362</v>
      </c>
      <c r="E34" s="733" t="s">
        <v>1363</v>
      </c>
      <c r="F34" s="880"/>
      <c r="G34" s="881"/>
      <c r="H34" s="881"/>
      <c r="I34" s="881"/>
      <c r="J34" s="882"/>
    </row>
    <row r="35" spans="2:10" x14ac:dyDescent="0.2">
      <c r="B35" s="858"/>
      <c r="C35" s="738"/>
      <c r="D35" s="738"/>
      <c r="E35" s="733" t="s">
        <v>1364</v>
      </c>
      <c r="F35" s="880"/>
      <c r="G35" s="881">
        <f>IF('[5]Lembar Input I Keuangan'!K81&lt;=KPMM!G27*50%,'[5]Lembar Input I Keuangan'!K81,G27*50%)</f>
        <v>0</v>
      </c>
      <c r="H35" s="881">
        <f>IF('[5]Lembar Input I Keuangan'!M81&lt;=KPMM!H27*50%,'[5]Lembar Input I Keuangan'!M81,H27*50%)</f>
        <v>0</v>
      </c>
      <c r="I35" s="881">
        <f>IF('[5]Lembar Input I Keuangan'!O81&lt;=KPMM!I27*50%,'[5]Lembar Input I Keuangan'!O81,I27*50%)</f>
        <v>0</v>
      </c>
      <c r="J35" s="882">
        <f>IF('[5]Lembar Input I Keuangan'!Q81&lt;=KPMM!J27*50%,'[5]Lembar Input I Keuangan'!Q81,J27*50%)</f>
        <v>0</v>
      </c>
    </row>
    <row r="36" spans="2:10" ht="6.75" customHeight="1" x14ac:dyDescent="0.2">
      <c r="B36" s="858"/>
      <c r="C36" s="738"/>
      <c r="D36" s="738"/>
      <c r="E36" s="733"/>
      <c r="F36" s="880"/>
      <c r="G36" s="881"/>
      <c r="H36" s="881"/>
      <c r="I36" s="881"/>
      <c r="J36" s="882"/>
    </row>
    <row r="37" spans="2:10" x14ac:dyDescent="0.2">
      <c r="B37" s="858"/>
      <c r="C37" s="738"/>
      <c r="D37" s="738" t="s">
        <v>1365</v>
      </c>
      <c r="E37" s="733" t="s">
        <v>1366</v>
      </c>
      <c r="F37" s="880"/>
      <c r="G37" s="881">
        <f>SUM(G30:G35)</f>
        <v>729330287.57557511</v>
      </c>
      <c r="H37" s="881">
        <f>SUM(H30:H35)</f>
        <v>719720888.29999995</v>
      </c>
      <c r="I37" s="881">
        <f>SUM(I30:I35)</f>
        <v>687904499.93500006</v>
      </c>
      <c r="J37" s="882">
        <f>SUM(J30:J35)</f>
        <v>0</v>
      </c>
    </row>
    <row r="38" spans="2:10" ht="28.5" x14ac:dyDescent="0.2">
      <c r="B38" s="883"/>
      <c r="C38" s="884"/>
      <c r="D38" s="884" t="s">
        <v>1367</v>
      </c>
      <c r="E38" s="885" t="s">
        <v>1368</v>
      </c>
      <c r="F38" s="886"/>
      <c r="G38" s="887"/>
      <c r="H38" s="887"/>
      <c r="I38" s="887"/>
      <c r="J38" s="888"/>
    </row>
    <row r="39" spans="2:10" x14ac:dyDescent="0.2">
      <c r="B39" s="889"/>
      <c r="C39" s="890"/>
      <c r="D39" s="891"/>
      <c r="E39" s="891" t="s">
        <v>1369</v>
      </c>
      <c r="F39" s="892">
        <f>IF(F27&lt;=0,0,IF(F37&lt;=F27,F37,F27))</f>
        <v>0</v>
      </c>
      <c r="G39" s="893">
        <f>IF(G27&lt;=0,0,IF(G37&lt;=G27,G37,G27))</f>
        <v>729330287.57557511</v>
      </c>
      <c r="H39" s="893">
        <f>IF(H27&lt;=0,0,IF(H37&lt;=H27,H37,H27))</f>
        <v>719720888.29999995</v>
      </c>
      <c r="I39" s="893">
        <f>IF(I27&lt;=0,0,IF(I37&lt;=I27,I37,I27))</f>
        <v>687904499.93500006</v>
      </c>
      <c r="J39" s="894">
        <f>IF(J27&lt;=0,0,IF(J37&lt;=J27,J37,J27))</f>
        <v>0</v>
      </c>
    </row>
    <row r="40" spans="2:10" ht="5.25" customHeight="1" x14ac:dyDescent="0.2">
      <c r="B40" s="850"/>
      <c r="C40" s="867"/>
      <c r="D40" s="756"/>
      <c r="E40" s="756"/>
      <c r="F40" s="895"/>
      <c r="G40" s="896"/>
      <c r="H40" s="896"/>
      <c r="I40" s="896"/>
      <c r="J40" s="897"/>
    </row>
    <row r="41" spans="2:10" ht="15" x14ac:dyDescent="0.25">
      <c r="B41" s="861"/>
      <c r="C41" s="898" t="s">
        <v>338</v>
      </c>
      <c r="D41" s="899" t="s">
        <v>1370</v>
      </c>
      <c r="E41" s="899"/>
      <c r="F41" s="900">
        <f>+F39+F27</f>
        <v>0</v>
      </c>
      <c r="G41" s="901">
        <f>+G27+G39</f>
        <v>34046069887.510574</v>
      </c>
      <c r="H41" s="901">
        <f>+H27+H39</f>
        <v>30879371623.52</v>
      </c>
      <c r="I41" s="901">
        <f>+I27+I39</f>
        <v>26152023964.935001</v>
      </c>
      <c r="J41" s="902">
        <f>+J27+J39</f>
        <v>0</v>
      </c>
    </row>
    <row r="42" spans="2:10" x14ac:dyDescent="0.2">
      <c r="B42" s="903"/>
      <c r="C42" s="904"/>
      <c r="D42" s="904"/>
      <c r="E42" s="904"/>
      <c r="F42" s="905"/>
      <c r="G42" s="904"/>
      <c r="H42" s="904"/>
      <c r="I42" s="904"/>
      <c r="J42" s="906"/>
    </row>
    <row r="43" spans="2:10" x14ac:dyDescent="0.2">
      <c r="B43" s="858"/>
      <c r="C43" s="733"/>
      <c r="D43" s="733"/>
      <c r="E43" s="733"/>
      <c r="F43" s="907"/>
      <c r="G43" s="733"/>
      <c r="H43" s="733"/>
      <c r="I43" s="733"/>
      <c r="J43" s="876"/>
    </row>
    <row r="44" spans="2:10" ht="15" x14ac:dyDescent="0.25">
      <c r="B44" s="908" t="s">
        <v>670</v>
      </c>
      <c r="C44" s="909" t="s">
        <v>1371</v>
      </c>
      <c r="D44" s="910"/>
      <c r="E44" s="910"/>
      <c r="F44" s="911"/>
      <c r="G44" s="912">
        <f>+G41/G8</f>
        <v>0.5835159746465115</v>
      </c>
      <c r="H44" s="912">
        <f>+H41/H8</f>
        <v>0.51727403949653283</v>
      </c>
      <c r="I44" s="912">
        <f>+I41/I8</f>
        <v>0.47521174755009782</v>
      </c>
      <c r="J44" s="913" t="e">
        <f>+J41/J8</f>
        <v>#DIV/0!</v>
      </c>
    </row>
    <row r="45" spans="2:10" x14ac:dyDescent="0.2">
      <c r="B45" s="858"/>
      <c r="C45" s="733" t="s">
        <v>1372</v>
      </c>
      <c r="D45" s="733"/>
      <c r="E45" s="733"/>
      <c r="F45" s="855">
        <f>IF(F41&lt;(F8*8%),(F8*8%)-F41,0)</f>
        <v>0</v>
      </c>
      <c r="G45" s="856">
        <f>IF(G41&lt;(G8*8%),(G8*8%)-G41,0)</f>
        <v>0</v>
      </c>
      <c r="H45" s="856">
        <f>IF(H41&lt;(H8*8%),(H8*8%)-H41,0)</f>
        <v>0</v>
      </c>
      <c r="I45" s="856">
        <f>IF(I41&lt;(I8*8%),(I8*8%)-I41,0)</f>
        <v>0</v>
      </c>
      <c r="J45" s="914">
        <f>IF(J41&lt;(J8*8%),(J8*8%)-J41,0)</f>
        <v>0</v>
      </c>
    </row>
    <row r="46" spans="2:10" x14ac:dyDescent="0.2">
      <c r="B46" s="858"/>
      <c r="C46" s="733" t="s">
        <v>1373</v>
      </c>
      <c r="D46" s="733"/>
      <c r="E46" s="733"/>
      <c r="F46" s="880">
        <f>+F41*10%</f>
        <v>0</v>
      </c>
      <c r="G46" s="881">
        <f>+G41*10%</f>
        <v>3404606988.7510576</v>
      </c>
      <c r="H46" s="881">
        <f>+H41*10%</f>
        <v>3087937162.3520002</v>
      </c>
      <c r="I46" s="881">
        <f>+I41*10%</f>
        <v>2615202396.4935002</v>
      </c>
      <c r="J46" s="915">
        <f>+J41*10%</f>
        <v>0</v>
      </c>
    </row>
    <row r="47" spans="2:10" ht="15" thickBot="1" x14ac:dyDescent="0.25">
      <c r="B47" s="916"/>
      <c r="C47" s="917" t="s">
        <v>1374</v>
      </c>
      <c r="D47" s="917"/>
      <c r="E47" s="917"/>
      <c r="F47" s="918">
        <f>+F41*20%</f>
        <v>0</v>
      </c>
      <c r="G47" s="919">
        <f>+G41*20%</f>
        <v>6809213977.5021152</v>
      </c>
      <c r="H47" s="919">
        <f>+H41*20%</f>
        <v>6175874324.7040005</v>
      </c>
      <c r="I47" s="919">
        <f>+I41*20%</f>
        <v>5230404792.9870005</v>
      </c>
      <c r="J47" s="920">
        <f>+J41*20%</f>
        <v>0</v>
      </c>
    </row>
    <row r="132" spans="4:4" x14ac:dyDescent="0.2">
      <c r="D132" s="719">
        <f>IF(KPMM!G27&lt;&gt;0,0)</f>
        <v>0</v>
      </c>
    </row>
  </sheetData>
  <protectedRanges>
    <protectedRange sqref="F30:J30 F26:J26" name="Range1"/>
  </protectedRanges>
  <mergeCells count="2">
    <mergeCell ref="B5:E6"/>
    <mergeCell ref="F5:J5"/>
  </mergeCells>
  <pageMargins left="0.69861111111111096" right="0.69861111111111096" top="0.75" bottom="0.75" header="0.3" footer="0.3"/>
  <pageSetup paperSize="9" scale="7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11</vt:i4>
      </vt:variant>
    </vt:vector>
  </HeadingPairs>
  <TitlesOfParts>
    <vt:vector size="30" baseType="lpstr">
      <vt:lpstr>CEKLIST LKB - PT 001 (DOKUMEN)</vt:lpstr>
      <vt:lpstr>CEKLIST LKB - PD 001 (DOKUMEN)</vt:lpstr>
      <vt:lpstr>CEKLIST 002 (BIO DATA)</vt:lpstr>
      <vt:lpstr>CEKLIST 003 (LAPORAN KEUANGAN))</vt:lpstr>
      <vt:lpstr>CEKLIST 003 (LAPORAN KEUANGAN)</vt:lpstr>
      <vt:lpstr>CEKLIST 004 (RASIO KEUANGAN)</vt:lpstr>
      <vt:lpstr>PPAP</vt:lpstr>
      <vt:lpstr>Limited DD</vt:lpstr>
      <vt:lpstr>KPMM</vt:lpstr>
      <vt:lpstr>PAP 00 (Kelembagaan )</vt:lpstr>
      <vt:lpstr>PAP 00 (Keuangan)</vt:lpstr>
      <vt:lpstr>PAP 00 (Sampling EndUser)</vt:lpstr>
      <vt:lpstr>FIP(PAP-01)</vt:lpstr>
      <vt:lpstr>FAK(PAP-02)</vt:lpstr>
      <vt:lpstr>FKS(PAP-03)</vt:lpstr>
      <vt:lpstr>BATA</vt:lpstr>
      <vt:lpstr>FRT</vt:lpstr>
      <vt:lpstr>KEBUTUHAN KEDIT</vt:lpstr>
      <vt:lpstr>MPP(PAP-04)</vt:lpstr>
      <vt:lpstr>BATA!Print_Area</vt:lpstr>
      <vt:lpstr>'CEKLIST 002 (BIO DATA)'!Print_Area</vt:lpstr>
      <vt:lpstr>'CEKLIST 003 (LAPORAN KEUANGAN)'!Print_Area</vt:lpstr>
      <vt:lpstr>'CEKLIST 004 (RASIO KEUANGAN)'!Print_Area</vt:lpstr>
      <vt:lpstr>'FAK(PAP-02)'!Print_Area</vt:lpstr>
      <vt:lpstr>'FIP(PAP-01)'!Print_Area</vt:lpstr>
      <vt:lpstr>'FKS(PAP-03)'!Print_Area</vt:lpstr>
      <vt:lpstr>FRT!Print_Area</vt:lpstr>
      <vt:lpstr>KPMM!Print_Area</vt:lpstr>
      <vt:lpstr>'Limited DD'!Print_Area</vt:lpstr>
      <vt:lpstr>PPAP!Print_Area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adi</cp:lastModifiedBy>
  <cp:lastPrinted>2018-07-13T00:40:29Z</cp:lastPrinted>
  <dcterms:created xsi:type="dcterms:W3CDTF">2018-03-11T05:00:07Z</dcterms:created>
  <dcterms:modified xsi:type="dcterms:W3CDTF">2018-10-09T15:37:10Z</dcterms:modified>
</cp:coreProperties>
</file>