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drawings/drawing8.xml" ContentType="application/vnd.openxmlformats-officedocument.drawing+xml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drawings/drawing10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11.xml" ContentType="application/vnd.openxmlformats-officedocument.drawing+xml"/>
  <Override PartName="/xl/embeddings/oleObject16.bin" ContentType="application/vnd.openxmlformats-officedocument.oleObject"/>
  <Override PartName="/xl/drawings/drawing12.xml" ContentType="application/vnd.openxmlformats-officedocument.drawing+xml"/>
  <Override PartName="/xl/embeddings/oleObject17.bin" ContentType="application/vnd.openxmlformats-officedocument.oleObject"/>
  <Override PartName="/xl/drawings/drawing13.xml" ContentType="application/vnd.openxmlformats-officedocument.drawing+xml"/>
  <Override PartName="/xl/embeddings/oleObject18.bin" ContentType="application/vnd.openxmlformats-officedocument.oleObject"/>
  <Override PartName="/xl/drawings/drawing14.xml" ContentType="application/vnd.openxmlformats-officedocument.drawing+xml"/>
  <Override PartName="/xl/embeddings/oleObject19.bin" ContentType="application/vnd.openxmlformats-officedocument.oleObject"/>
  <Override PartName="/xl/drawings/drawing15.xml" ContentType="application/vnd.openxmlformats-officedocument.drawing+xml"/>
  <Override PartName="/xl/embeddings/oleObject20.bin" ContentType="application/vnd.openxmlformats-officedocument.oleObject"/>
  <Override PartName="/xl/comments3.xml" ContentType="application/vnd.openxmlformats-officedocument.spreadsheetml.comments+xml"/>
  <Override PartName="/xl/drawings/drawing16.xml" ContentType="application/vnd.openxmlformats-officedocument.drawing+xml"/>
  <Override PartName="/xl/embeddings/oleObject21.bin" ContentType="application/vnd.openxmlformats-officedocument.oleObject"/>
  <Override PartName="/xl/drawings/drawing17.xml" ContentType="application/vnd.openxmlformats-officedocument.drawing+xml"/>
  <Override PartName="/xl/embeddings/oleObject22.bin" ContentType="application/vnd.openxmlformats-officedocument.oleObject"/>
  <Override PartName="/xl/comments4.xml" ContentType="application/vnd.openxmlformats-officedocument.spreadsheetml.comments+xml"/>
  <Override PartName="/xl/drawings/drawing18.xml" ContentType="application/vnd.openxmlformats-officedocument.drawing+xml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19.xml" ContentType="application/vnd.openxmlformats-officedocument.drawing+xml"/>
  <Override PartName="/xl/embeddings/oleObject25.bin" ContentType="application/vnd.openxmlformats-officedocument.oleObject"/>
  <Override PartName="/xl/drawings/drawing20.xml" ContentType="application/vnd.openxmlformats-officedocument.drawing+xml"/>
  <Override PartName="/xl/embeddings/oleObject26.bin" ContentType="application/vnd.openxmlformats-officedocument.oleObject"/>
  <Override PartName="/xl/drawings/drawing21.xml" ContentType="application/vnd.openxmlformats-officedocument.drawing+xml"/>
  <Override PartName="/xl/embeddings/oleObject27.bin" ContentType="application/vnd.openxmlformats-officedocument.oleObject"/>
  <Override PartName="/xl/drawings/drawing22.xml" ContentType="application/vnd.openxmlformats-officedocument.drawing+xml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15600" windowHeight="11160" firstSheet="11" activeTab="17"/>
  </bookViews>
  <sheets>
    <sheet name="#NAK80&amp;DC11" sheetId="33" r:id="rId1"/>
    <sheet name="Sheet2" sheetId="2" state="hidden" r:id="rId2"/>
    <sheet name="Sheet3" sheetId="3" state="hidden" r:id="rId3"/>
    <sheet name="Al 5083" sheetId="34" r:id="rId4"/>
    <sheet name="Al 6061" sheetId="12" r:id="rId5"/>
    <sheet name="A618" sheetId="19" r:id="rId6"/>
    <sheet name="A718 &amp; P20" sheetId="63" r:id="rId7"/>
    <sheet name="PX4" sheetId="21" r:id="rId8"/>
    <sheet name="EB2311 &amp; EB2316" sheetId="22" r:id="rId9"/>
    <sheet name="No Name" sheetId="64" r:id="rId10"/>
    <sheet name="CENA 1" sheetId="23" r:id="rId11"/>
    <sheet name="ROUND OTHER" sheetId="24" r:id="rId12"/>
    <sheet name="ROUND EB2311 &amp; EB2316" sheetId="65" r:id="rId13"/>
    <sheet name="ROUND VCL" sheetId="28" r:id="rId14"/>
    <sheet name="ROUND VCN" sheetId="29" r:id="rId15"/>
    <sheet name="VCN" sheetId="66" r:id="rId16"/>
    <sheet name="MATERIAL PESANAN" sheetId="39" r:id="rId17"/>
    <sheet name="TEMBAGA" sheetId="41" r:id="rId18"/>
    <sheet name="S45C Rev" sheetId="71" r:id="rId19"/>
    <sheet name="S45C (ROUND) &amp; HEXAGON" sheetId="55" r:id="rId20"/>
    <sheet name="DJARUM" sheetId="59" r:id="rId21"/>
    <sheet name="Sisa Material Dj" sheetId="60" r:id="rId22"/>
    <sheet name="Other Pesanan" sheetId="61" r:id="rId23"/>
    <sheet name="ROY ALLOY " sheetId="67" r:id="rId24"/>
  </sheets>
  <definedNames>
    <definedName name="_xlnm._FilterDatabase" localSheetId="0" hidden="1" xml:space="preserve">        '#NAK80&amp;DC11'!$C$1:$E$22</definedName>
    <definedName name="_xlnm._FilterDatabase" localSheetId="5" hidden="1" xml:space="preserve">         'A618'!$C$1:$E$18</definedName>
    <definedName name="_xlnm._FilterDatabase" localSheetId="6" hidden="1" xml:space="preserve">        'A718 &amp; P20'!$C$1:$E$36</definedName>
    <definedName name="_xlnm._FilterDatabase" localSheetId="3" hidden="1">'Al 5083'!$C$1:$E$104</definedName>
    <definedName name="_xlnm._FilterDatabase" localSheetId="4" hidden="1">'Al 6061'!$C$1:$E$56</definedName>
    <definedName name="_xlnm._FilterDatabase" localSheetId="10" hidden="1" xml:space="preserve">          'CENA 1'!$C$1:$E$31</definedName>
    <definedName name="_xlnm._FilterDatabase" localSheetId="20" hidden="1" xml:space="preserve">          DJARUM!$C$1:$E$15</definedName>
    <definedName name="_xlnm._FilterDatabase" localSheetId="8" hidden="1">'EB2311 &amp; EB2316'!$B$7:$B$41</definedName>
    <definedName name="_xlnm._FilterDatabase" localSheetId="16" hidden="1">'MATERIAL PESANAN'!$C$1:$E$95</definedName>
    <definedName name="_xlnm._FilterDatabase" localSheetId="9" hidden="1" xml:space="preserve">                    'No Name'!$C$1:$E$33</definedName>
    <definedName name="_xlnm._FilterDatabase" localSheetId="22" hidden="1" xml:space="preserve">          'Other Pesanan'!$C$1:$E$18</definedName>
    <definedName name="_xlnm._FilterDatabase" localSheetId="7" hidden="1">'PX4'!$C$1:$E$47</definedName>
    <definedName name="_xlnm._FilterDatabase" localSheetId="12" hidden="1" xml:space="preserve">          'ROUND EB2311 &amp; EB2316'!$C$1:$E$29</definedName>
    <definedName name="_xlnm._FilterDatabase" localSheetId="11" hidden="1">'ROUND OTHER'!$C$1:$E$43</definedName>
    <definedName name="_xlnm._FilterDatabase" localSheetId="13" hidden="1">'ROUND VCL'!$C$1:$E$25</definedName>
    <definedName name="_xlnm._FilterDatabase" localSheetId="14" hidden="1" xml:space="preserve">          'ROUND VCN'!$C$1:$E$31</definedName>
    <definedName name="_xlnm._FilterDatabase" localSheetId="23" hidden="1">'ROY ALLOY '!$C$1:$E$59</definedName>
    <definedName name="_xlnm._FilterDatabase" localSheetId="19" hidden="1">'S45C (ROUND) &amp; HEXAGON'!$C$1:$E$37</definedName>
    <definedName name="_xlnm._FilterDatabase" localSheetId="18" hidden="1">'S45C Rev'!$C$1:$E$15</definedName>
    <definedName name="_xlnm._FilterDatabase" localSheetId="21" hidden="1">'Sisa Material Dj'!$C$1:$E$48</definedName>
    <definedName name="_xlnm._FilterDatabase" localSheetId="17" hidden="1">TEMBAGA!$C$1:$E$60</definedName>
    <definedName name="_xlnm._FilterDatabase" localSheetId="15" hidden="1" xml:space="preserve">          VCN!$C$1:$E$29</definedName>
    <definedName name="_xlnm.Print_Area" localSheetId="0">'#NAK80&amp;DC11'!$A$1:$J$15</definedName>
    <definedName name="_xlnm.Print_Area" localSheetId="5">'A618'!$A$1:$J$17</definedName>
    <definedName name="_xlnm.Print_Area" localSheetId="6">'A718 &amp; P20'!$A$1:$J$13</definedName>
    <definedName name="_xlnm.Print_Area" localSheetId="3">'Al 5083'!$A$1:$J$102</definedName>
    <definedName name="_xlnm.Print_Area" localSheetId="4">'Al 6061'!$A$1:$J$51</definedName>
    <definedName name="_xlnm.Print_Area" localSheetId="10">'CENA 1'!$A$1:$J$17</definedName>
    <definedName name="_xlnm.Print_Area" localSheetId="20">DJARUM!$A$1:$J$15</definedName>
    <definedName name="_xlnm.Print_Area" localSheetId="8">'EB2311 &amp; EB2316'!$A$1:$J$24</definedName>
    <definedName name="_xlnm.Print_Area" localSheetId="16">'MATERIAL PESANAN'!$A$26:$J$90</definedName>
    <definedName name="_xlnm.Print_Area" localSheetId="9">'No Name'!$A$1:$J$24</definedName>
    <definedName name="_xlnm.Print_Area" localSheetId="22">'Other Pesanan'!$A$1:$J$17</definedName>
    <definedName name="_xlnm.Print_Area" localSheetId="7">'PX4'!$A$1:$J$24</definedName>
    <definedName name="_xlnm.Print_Area" localSheetId="12">'ROUND EB2311 &amp; EB2316'!$A$1:$J$27</definedName>
    <definedName name="_xlnm.Print_Area" localSheetId="11">'ROUND OTHER'!$A$1:$J$41</definedName>
    <definedName name="_xlnm.Print_Area" localSheetId="13">'ROUND VCL'!$A$1:$J$21</definedName>
    <definedName name="_xlnm.Print_Area" localSheetId="14">'ROUND VCN'!$A$1:$J$30</definedName>
    <definedName name="_xlnm.Print_Area" localSheetId="23">'ROY ALLOY '!$A$1:$J$48</definedName>
    <definedName name="_xlnm.Print_Area" localSheetId="19">'S45C (ROUND) &amp; HEXAGON'!$A$1:$J$35</definedName>
    <definedName name="_xlnm.Print_Area" localSheetId="18">'S45C Rev'!$A$1:$J$13</definedName>
    <definedName name="_xlnm.Print_Area" localSheetId="21">'Sisa Material Dj'!$A$1:$J$47</definedName>
    <definedName name="_xlnm.Print_Area" localSheetId="17">TEMBAGA!$A$1:$J$16</definedName>
    <definedName name="_xlnm.Print_Area" localSheetId="15">VCN!$A$1:$J$16</definedName>
  </definedNames>
  <calcPr calcId="145621"/>
</workbook>
</file>

<file path=xl/calcChain.xml><?xml version="1.0" encoding="utf-8"?>
<calcChain xmlns="http://schemas.openxmlformats.org/spreadsheetml/2006/main">
  <c r="J34" i="41" l="1"/>
  <c r="M34" i="41"/>
  <c r="N34" i="41" s="1"/>
  <c r="J17" i="41"/>
  <c r="M17" i="41"/>
  <c r="J18" i="41"/>
  <c r="M18" i="41"/>
  <c r="J19" i="41"/>
  <c r="M19" i="41"/>
  <c r="J20" i="41"/>
  <c r="M20" i="41"/>
  <c r="J21" i="41"/>
  <c r="M21" i="41"/>
  <c r="J22" i="41"/>
  <c r="M22" i="41"/>
  <c r="J23" i="41"/>
  <c r="M23" i="41"/>
  <c r="J24" i="41"/>
  <c r="M24" i="41"/>
  <c r="J25" i="41"/>
  <c r="M25" i="41"/>
  <c r="J26" i="41"/>
  <c r="M26" i="41"/>
  <c r="J27" i="41"/>
  <c r="M27" i="41"/>
  <c r="J28" i="41"/>
  <c r="M28" i="41"/>
  <c r="N28" i="41" s="1"/>
  <c r="J29" i="41"/>
  <c r="M29" i="41"/>
  <c r="J30" i="41"/>
  <c r="M30" i="41"/>
  <c r="N30" i="41" s="1"/>
  <c r="J31" i="41"/>
  <c r="M31" i="41"/>
  <c r="J32" i="41"/>
  <c r="M32" i="41"/>
  <c r="N32" i="41" s="1"/>
  <c r="J33" i="41"/>
  <c r="M33" i="41"/>
  <c r="N23" i="41" l="1"/>
  <c r="N21" i="41"/>
  <c r="N17" i="41"/>
  <c r="N33" i="41"/>
  <c r="N29" i="41"/>
  <c r="N27" i="41"/>
  <c r="N20" i="41"/>
  <c r="N18" i="41"/>
  <c r="N26" i="41"/>
  <c r="N24" i="41"/>
  <c r="N22" i="41"/>
  <c r="N25" i="41"/>
  <c r="N31" i="41"/>
  <c r="N19" i="41"/>
  <c r="J29" i="39"/>
  <c r="N29" i="39" s="1"/>
  <c r="J53" i="12"/>
  <c r="J52" i="12"/>
  <c r="M52" i="12"/>
  <c r="M53" i="12"/>
  <c r="M54" i="12"/>
  <c r="N54" i="12" s="1"/>
  <c r="M55" i="12"/>
  <c r="N55" i="12" s="1"/>
  <c r="E24" i="28"/>
  <c r="M24" i="28" s="1"/>
  <c r="J24" i="28"/>
  <c r="M16" i="41"/>
  <c r="J53" i="67"/>
  <c r="J52" i="67"/>
  <c r="J51" i="67"/>
  <c r="J50" i="67"/>
  <c r="J49" i="67"/>
  <c r="M13" i="67"/>
  <c r="M14" i="67"/>
  <c r="M15" i="67"/>
  <c r="M16" i="67"/>
  <c r="M17" i="67"/>
  <c r="M18" i="67"/>
  <c r="M19" i="67"/>
  <c r="M20" i="67"/>
  <c r="M21" i="67"/>
  <c r="M22" i="67"/>
  <c r="M23" i="67"/>
  <c r="M24" i="67"/>
  <c r="M25" i="67"/>
  <c r="M26" i="67"/>
  <c r="M27" i="67"/>
  <c r="M28" i="67"/>
  <c r="M29" i="67"/>
  <c r="M30" i="67"/>
  <c r="M31" i="67"/>
  <c r="M32" i="67"/>
  <c r="M33" i="67"/>
  <c r="M34" i="67"/>
  <c r="M35" i="67"/>
  <c r="M36" i="67"/>
  <c r="M37" i="67"/>
  <c r="M38" i="67"/>
  <c r="M39" i="67"/>
  <c r="M40" i="67"/>
  <c r="M41" i="67"/>
  <c r="M42" i="67"/>
  <c r="M43" i="67"/>
  <c r="M44" i="67"/>
  <c r="M45" i="67"/>
  <c r="M46" i="67"/>
  <c r="M47" i="67"/>
  <c r="M48" i="67"/>
  <c r="M49" i="67"/>
  <c r="M50" i="67"/>
  <c r="M51" i="67"/>
  <c r="M52" i="67"/>
  <c r="M53" i="67"/>
  <c r="M54" i="67"/>
  <c r="N54" i="67" s="1"/>
  <c r="M55" i="67"/>
  <c r="N55" i="67" s="1"/>
  <c r="M56" i="67"/>
  <c r="N56" i="67" s="1"/>
  <c r="M57" i="67"/>
  <c r="N57" i="67" s="1"/>
  <c r="M58" i="67"/>
  <c r="N58" i="67" s="1"/>
  <c r="M12" i="67"/>
  <c r="J48" i="67"/>
  <c r="N50" i="67" l="1"/>
  <c r="N24" i="28"/>
  <c r="N51" i="67"/>
  <c r="N48" i="67"/>
  <c r="N49" i="67"/>
  <c r="N52" i="67"/>
  <c r="N53" i="67"/>
  <c r="N52" i="12"/>
  <c r="N53" i="12"/>
  <c r="M15" i="41"/>
  <c r="M14" i="41"/>
  <c r="J15" i="41"/>
  <c r="J16" i="41"/>
  <c r="N16" i="41" s="1"/>
  <c r="J14" i="41"/>
  <c r="N15" i="41" l="1"/>
  <c r="N14" i="41"/>
  <c r="J13" i="41"/>
  <c r="M13" i="41"/>
  <c r="J12" i="41"/>
  <c r="M12" i="41"/>
  <c r="E41" i="41"/>
  <c r="M41" i="41" s="1"/>
  <c r="J41" i="41"/>
  <c r="N13" i="41" l="1"/>
  <c r="N12" i="41"/>
  <c r="N41" i="41"/>
  <c r="J28" i="39" l="1"/>
  <c r="N28" i="39" s="1"/>
  <c r="J32" i="24" l="1"/>
  <c r="J31" i="24"/>
  <c r="E32" i="24"/>
  <c r="M32" i="24" s="1"/>
  <c r="E31" i="24"/>
  <c r="M31" i="24" s="1"/>
  <c r="N31" i="24" l="1"/>
  <c r="N32" i="24"/>
  <c r="E23" i="55"/>
  <c r="M23" i="55" s="1"/>
  <c r="J23" i="55"/>
  <c r="E24" i="55"/>
  <c r="M24" i="55" s="1"/>
  <c r="J24" i="55"/>
  <c r="N24" i="55" s="1"/>
  <c r="J18" i="28"/>
  <c r="E18" i="28"/>
  <c r="M18" i="28" s="1"/>
  <c r="J23" i="28"/>
  <c r="E23" i="28"/>
  <c r="M23" i="28" s="1"/>
  <c r="N23" i="55" l="1"/>
  <c r="N23" i="28"/>
  <c r="N18" i="28"/>
  <c r="J13" i="67" l="1"/>
  <c r="N13" i="67" s="1"/>
  <c r="J14" i="67"/>
  <c r="N14" i="67" s="1"/>
  <c r="J15" i="67"/>
  <c r="N15" i="67" s="1"/>
  <c r="J16" i="67"/>
  <c r="N16" i="67" s="1"/>
  <c r="J17" i="67"/>
  <c r="N17" i="67" s="1"/>
  <c r="J18" i="67"/>
  <c r="N18" i="67" s="1"/>
  <c r="J19" i="67"/>
  <c r="N19" i="67" s="1"/>
  <c r="J20" i="67"/>
  <c r="N20" i="67" s="1"/>
  <c r="J21" i="67"/>
  <c r="N21" i="67" s="1"/>
  <c r="J22" i="67"/>
  <c r="N22" i="67" s="1"/>
  <c r="J23" i="67"/>
  <c r="N23" i="67" s="1"/>
  <c r="J24" i="67"/>
  <c r="N24" i="67" s="1"/>
  <c r="J25" i="67"/>
  <c r="N25" i="67" s="1"/>
  <c r="J26" i="67"/>
  <c r="N26" i="67" s="1"/>
  <c r="J27" i="67"/>
  <c r="N27" i="67" s="1"/>
  <c r="J28" i="67"/>
  <c r="N28" i="67" s="1"/>
  <c r="J29" i="67"/>
  <c r="N29" i="67" s="1"/>
  <c r="J30" i="67"/>
  <c r="N30" i="67" s="1"/>
  <c r="J31" i="67"/>
  <c r="N31" i="67" s="1"/>
  <c r="J32" i="67"/>
  <c r="N32" i="67" s="1"/>
  <c r="J33" i="67"/>
  <c r="N33" i="67" s="1"/>
  <c r="J34" i="67"/>
  <c r="N34" i="67" s="1"/>
  <c r="J35" i="67"/>
  <c r="N35" i="67" s="1"/>
  <c r="J36" i="67"/>
  <c r="N36" i="67" s="1"/>
  <c r="J37" i="67"/>
  <c r="N37" i="67" s="1"/>
  <c r="J38" i="67"/>
  <c r="N38" i="67" s="1"/>
  <c r="J39" i="67"/>
  <c r="N39" i="67" s="1"/>
  <c r="J40" i="67"/>
  <c r="N40" i="67" s="1"/>
  <c r="J41" i="67"/>
  <c r="N41" i="67" s="1"/>
  <c r="J42" i="67"/>
  <c r="N42" i="67" s="1"/>
  <c r="J43" i="67"/>
  <c r="N43" i="67" s="1"/>
  <c r="J44" i="67"/>
  <c r="N44" i="67" s="1"/>
  <c r="J45" i="67"/>
  <c r="N45" i="67" s="1"/>
  <c r="J46" i="67"/>
  <c r="N46" i="67" s="1"/>
  <c r="J47" i="67"/>
  <c r="N47" i="67" s="1"/>
  <c r="J12" i="67"/>
  <c r="N12" i="67" s="1"/>
  <c r="N26" i="60" l="1"/>
  <c r="N25" i="60"/>
  <c r="N24" i="60"/>
  <c r="N33" i="60" s="1"/>
  <c r="M11" i="67"/>
  <c r="J11" i="67"/>
  <c r="N11" i="67" l="1"/>
  <c r="N59" i="67" s="1"/>
  <c r="M25" i="71" l="1"/>
  <c r="J25" i="71"/>
  <c r="M24" i="71"/>
  <c r="J24" i="71"/>
  <c r="M23" i="71"/>
  <c r="J23" i="71"/>
  <c r="M22" i="71"/>
  <c r="J22" i="71"/>
  <c r="M21" i="71"/>
  <c r="J21" i="71"/>
  <c r="M20" i="71"/>
  <c r="J20" i="71"/>
  <c r="J14" i="71"/>
  <c r="M14" i="71"/>
  <c r="J13" i="71"/>
  <c r="M13" i="71"/>
  <c r="M12" i="71"/>
  <c r="J12" i="71"/>
  <c r="M11" i="71"/>
  <c r="J11" i="71"/>
  <c r="N20" i="71" l="1"/>
  <c r="N22" i="71"/>
  <c r="N25" i="71"/>
  <c r="N21" i="71"/>
  <c r="N23" i="71"/>
  <c r="N24" i="71"/>
  <c r="N14" i="71"/>
  <c r="N12" i="71"/>
  <c r="N11" i="71"/>
  <c r="N13" i="71"/>
  <c r="J23" i="21"/>
  <c r="M23" i="21"/>
  <c r="N23" i="21" l="1"/>
  <c r="N15" i="71"/>
  <c r="N26" i="71"/>
  <c r="J22" i="21" l="1"/>
  <c r="M22" i="21"/>
  <c r="J34" i="34"/>
  <c r="M34" i="34"/>
  <c r="J30" i="24"/>
  <c r="E30" i="24"/>
  <c r="M30" i="24" s="1"/>
  <c r="J29" i="24"/>
  <c r="E29" i="24"/>
  <c r="J22" i="28"/>
  <c r="E22" i="28"/>
  <c r="M22" i="28" s="1"/>
  <c r="N34" i="34" l="1"/>
  <c r="N30" i="24"/>
  <c r="N22" i="28"/>
  <c r="E22" i="55" l="1"/>
  <c r="M22" i="55" s="1"/>
  <c r="J22" i="55"/>
  <c r="N22" i="55" l="1"/>
  <c r="J34" i="55" l="1"/>
  <c r="E34" i="55"/>
  <c r="M34" i="55" s="1"/>
  <c r="M29" i="24"/>
  <c r="N29" i="24" s="1"/>
  <c r="J28" i="24"/>
  <c r="E28" i="24"/>
  <c r="M28" i="24" s="1"/>
  <c r="J37" i="39"/>
  <c r="E37" i="39"/>
  <c r="M37" i="39" s="1"/>
  <c r="N37" i="39" s="1"/>
  <c r="J12" i="63"/>
  <c r="J101" i="34"/>
  <c r="E101" i="34"/>
  <c r="M101" i="34" s="1"/>
  <c r="M18" i="34"/>
  <c r="J18" i="34"/>
  <c r="J60" i="34"/>
  <c r="M60" i="34"/>
  <c r="J21" i="21"/>
  <c r="M21" i="21"/>
  <c r="M47" i="39"/>
  <c r="M48" i="39"/>
  <c r="N48" i="39" s="1"/>
  <c r="M44" i="39"/>
  <c r="M45" i="39"/>
  <c r="M46" i="39"/>
  <c r="M43" i="39"/>
  <c r="J47" i="39"/>
  <c r="N28" i="24" l="1"/>
  <c r="N47" i="39"/>
  <c r="N18" i="34"/>
  <c r="N101" i="34"/>
  <c r="N34" i="55"/>
  <c r="N60" i="34"/>
  <c r="J27" i="24" l="1"/>
  <c r="J26" i="24"/>
  <c r="E27" i="24"/>
  <c r="M27" i="24" s="1"/>
  <c r="E26" i="24"/>
  <c r="M26" i="24" s="1"/>
  <c r="J51" i="12"/>
  <c r="M51" i="12"/>
  <c r="J50" i="12"/>
  <c r="M50" i="12"/>
  <c r="M94" i="34"/>
  <c r="M95" i="34"/>
  <c r="J94" i="34"/>
  <c r="J95" i="34"/>
  <c r="M39" i="24"/>
  <c r="M40" i="24"/>
  <c r="E13" i="65"/>
  <c r="M13" i="65" s="1"/>
  <c r="J13" i="65"/>
  <c r="N51" i="12" l="1"/>
  <c r="N27" i="24"/>
  <c r="N50" i="12"/>
  <c r="N94" i="34"/>
  <c r="N13" i="65"/>
  <c r="N95" i="34"/>
  <c r="M38" i="24"/>
  <c r="E21" i="28"/>
  <c r="M21" i="28" s="1"/>
  <c r="J21" i="28"/>
  <c r="M59" i="34"/>
  <c r="J80" i="34"/>
  <c r="M80" i="34"/>
  <c r="J49" i="12"/>
  <c r="J48" i="12"/>
  <c r="M49" i="12"/>
  <c r="M48" i="12"/>
  <c r="J47" i="12"/>
  <c r="M47" i="12"/>
  <c r="J46" i="12"/>
  <c r="M46" i="12"/>
  <c r="E20" i="28"/>
  <c r="M20" i="28" s="1"/>
  <c r="N49" i="12" l="1"/>
  <c r="N48" i="12"/>
  <c r="N46" i="12"/>
  <c r="N47" i="12"/>
  <c r="N80" i="34"/>
  <c r="N21" i="28"/>
  <c r="J17" i="28"/>
  <c r="E17" i="28"/>
  <c r="M17" i="28" s="1"/>
  <c r="J20" i="28"/>
  <c r="N20" i="28" s="1"/>
  <c r="M11" i="41"/>
  <c r="J11" i="41"/>
  <c r="N21" i="21"/>
  <c r="N22" i="21"/>
  <c r="E21" i="55"/>
  <c r="M21" i="55" s="1"/>
  <c r="J21" i="55"/>
  <c r="J17" i="61"/>
  <c r="N17" i="61" s="1"/>
  <c r="N18" i="61" s="1"/>
  <c r="M17" i="34"/>
  <c r="J17" i="34"/>
  <c r="E20" i="55"/>
  <c r="M20" i="55" s="1"/>
  <c r="J29" i="29"/>
  <c r="E29" i="29"/>
  <c r="M29" i="29" s="1"/>
  <c r="N29" i="29" s="1"/>
  <c r="N17" i="28" l="1"/>
  <c r="N17" i="34"/>
  <c r="N11" i="41"/>
  <c r="N35" i="41" s="1"/>
  <c r="N21" i="55"/>
  <c r="M73" i="34"/>
  <c r="J58" i="34"/>
  <c r="J59" i="34"/>
  <c r="N59" i="34" s="1"/>
  <c r="M58" i="34"/>
  <c r="J20" i="55"/>
  <c r="N20" i="55" s="1"/>
  <c r="N58" i="34" l="1"/>
  <c r="M33" i="34"/>
  <c r="M15" i="34"/>
  <c r="M16" i="34"/>
  <c r="J18" i="65" l="1"/>
  <c r="J28" i="29"/>
  <c r="E28" i="29"/>
  <c r="M28" i="29" s="1"/>
  <c r="J27" i="29"/>
  <c r="E27" i="29"/>
  <c r="M27" i="29" s="1"/>
  <c r="M79" i="34"/>
  <c r="J79" i="34"/>
  <c r="J19" i="28"/>
  <c r="E19" i="28"/>
  <c r="M19" i="28" s="1"/>
  <c r="N27" i="29" l="1"/>
  <c r="N19" i="28"/>
  <c r="N28" i="29"/>
  <c r="N79" i="34"/>
  <c r="M23" i="22" l="1"/>
  <c r="J22" i="22"/>
  <c r="J23" i="22"/>
  <c r="M22" i="22"/>
  <c r="N22" i="22" s="1"/>
  <c r="N23" i="22" l="1"/>
  <c r="J57" i="34"/>
  <c r="M57" i="34"/>
  <c r="E19" i="55"/>
  <c r="M19" i="55" s="1"/>
  <c r="J19" i="55"/>
  <c r="N57" i="34" l="1"/>
  <c r="N19" i="55"/>
  <c r="N102" i="34"/>
  <c r="J33" i="55"/>
  <c r="E33" i="55"/>
  <c r="M33" i="55" s="1"/>
  <c r="N33" i="55" l="1"/>
  <c r="J25" i="24"/>
  <c r="E25" i="24"/>
  <c r="E18" i="55"/>
  <c r="M18" i="55" s="1"/>
  <c r="E40" i="41"/>
  <c r="M40" i="41" s="1"/>
  <c r="J40" i="41"/>
  <c r="N40" i="41" l="1"/>
  <c r="N42" i="41" s="1"/>
  <c r="N60" i="41" s="1"/>
  <c r="J18" i="55"/>
  <c r="N18" i="55" s="1"/>
  <c r="M72" i="34" l="1"/>
  <c r="M32" i="34"/>
  <c r="J33" i="34"/>
  <c r="N33" i="34" s="1"/>
  <c r="M31" i="34"/>
  <c r="M25" i="24"/>
  <c r="N25" i="24" s="1"/>
  <c r="N26" i="24"/>
  <c r="J20" i="21"/>
  <c r="M20" i="21"/>
  <c r="J19" i="21"/>
  <c r="M19" i="21"/>
  <c r="J18" i="21"/>
  <c r="M18" i="21"/>
  <c r="J21" i="22"/>
  <c r="M21" i="22"/>
  <c r="J38" i="24"/>
  <c r="N38" i="24" s="1"/>
  <c r="J39" i="24"/>
  <c r="N39" i="24" s="1"/>
  <c r="J40" i="24"/>
  <c r="N40" i="24" s="1"/>
  <c r="J93" i="34"/>
  <c r="M93" i="34"/>
  <c r="M71" i="34"/>
  <c r="J71" i="34"/>
  <c r="J72" i="34"/>
  <c r="J73" i="34"/>
  <c r="N73" i="34" s="1"/>
  <c r="J16" i="34"/>
  <c r="N16" i="34" s="1"/>
  <c r="N20" i="21" l="1"/>
  <c r="N72" i="34"/>
  <c r="N21" i="22"/>
  <c r="N19" i="21"/>
  <c r="N93" i="34"/>
  <c r="N41" i="24"/>
  <c r="N71" i="34"/>
  <c r="N18" i="21"/>
  <c r="M30" i="34"/>
  <c r="J26" i="29"/>
  <c r="E26" i="29"/>
  <c r="J16" i="23"/>
  <c r="N16" i="23"/>
  <c r="J15" i="23"/>
  <c r="N15" i="23"/>
  <c r="J17" i="21"/>
  <c r="M17" i="21"/>
  <c r="J16" i="66"/>
  <c r="M16" i="66"/>
  <c r="E17" i="55"/>
  <c r="M17" i="55" s="1"/>
  <c r="J17" i="55"/>
  <c r="J11" i="21"/>
  <c r="M11" i="21"/>
  <c r="J12" i="21"/>
  <c r="M12" i="21"/>
  <c r="J13" i="21"/>
  <c r="M13" i="21"/>
  <c r="J14" i="21"/>
  <c r="M14" i="21"/>
  <c r="J15" i="21"/>
  <c r="M15" i="21"/>
  <c r="J16" i="21"/>
  <c r="M16" i="21"/>
  <c r="N14" i="21" l="1"/>
  <c r="N13" i="21"/>
  <c r="N12" i="21"/>
  <c r="N11" i="21"/>
  <c r="N16" i="21"/>
  <c r="N15" i="21"/>
  <c r="O15" i="23"/>
  <c r="N16" i="66"/>
  <c r="N17" i="21"/>
  <c r="O16" i="23"/>
  <c r="N17" i="55"/>
  <c r="J30" i="34"/>
  <c r="N30" i="34" s="1"/>
  <c r="J31" i="34"/>
  <c r="N31" i="34" s="1"/>
  <c r="J32" i="34"/>
  <c r="N32" i="34" s="1"/>
  <c r="J15" i="34"/>
  <c r="N15" i="34" s="1"/>
  <c r="E18" i="65"/>
  <c r="M18" i="65" s="1"/>
  <c r="N18" i="65" s="1"/>
  <c r="N24" i="21" l="1"/>
  <c r="M92" i="34"/>
  <c r="J92" i="34"/>
  <c r="M70" i="34"/>
  <c r="J70" i="34"/>
  <c r="J91" i="34"/>
  <c r="N70" i="34" l="1"/>
  <c r="N92" i="34"/>
  <c r="J56" i="34"/>
  <c r="M56" i="34"/>
  <c r="J55" i="34"/>
  <c r="M55" i="34"/>
  <c r="J54" i="34"/>
  <c r="M54" i="34"/>
  <c r="J16" i="28"/>
  <c r="E16" i="28"/>
  <c r="M16" i="28" s="1"/>
  <c r="N54" i="34" l="1"/>
  <c r="N55" i="34"/>
  <c r="N56" i="34"/>
  <c r="N16" i="28"/>
  <c r="J23" i="64"/>
  <c r="O23" i="64" s="1"/>
  <c r="J22" i="64"/>
  <c r="O22" i="64" s="1"/>
  <c r="J21" i="64"/>
  <c r="O21" i="64" s="1"/>
  <c r="M20" i="22"/>
  <c r="J20" i="22"/>
  <c r="M19" i="22"/>
  <c r="J19" i="22"/>
  <c r="M18" i="22"/>
  <c r="J18" i="22"/>
  <c r="M17" i="22"/>
  <c r="J17" i="22"/>
  <c r="J20" i="64"/>
  <c r="O20" i="64" s="1"/>
  <c r="J19" i="64"/>
  <c r="O19" i="64" s="1"/>
  <c r="J18" i="64"/>
  <c r="O18" i="64" s="1"/>
  <c r="J17" i="64"/>
  <c r="O17" i="64" s="1"/>
  <c r="J16" i="64"/>
  <c r="O16" i="64" s="1"/>
  <c r="J15" i="64"/>
  <c r="O15" i="64" s="1"/>
  <c r="J14" i="64"/>
  <c r="O14" i="64" s="1"/>
  <c r="J13" i="64"/>
  <c r="O13" i="64" s="1"/>
  <c r="J16" i="22"/>
  <c r="N16" i="22" s="1"/>
  <c r="M16" i="22"/>
  <c r="J15" i="24"/>
  <c r="E15" i="24"/>
  <c r="M15" i="24" s="1"/>
  <c r="J32" i="55"/>
  <c r="E32" i="55"/>
  <c r="M32" i="55" s="1"/>
  <c r="J31" i="55"/>
  <c r="E31" i="55"/>
  <c r="M31" i="55" s="1"/>
  <c r="M17" i="19"/>
  <c r="J17" i="19"/>
  <c r="J24" i="24"/>
  <c r="E24" i="24"/>
  <c r="M24" i="24" s="1"/>
  <c r="J23" i="24"/>
  <c r="E23" i="24"/>
  <c r="M23" i="24" s="1"/>
  <c r="J22" i="24"/>
  <c r="E22" i="24"/>
  <c r="M22" i="24" s="1"/>
  <c r="J21" i="24"/>
  <c r="E21" i="24"/>
  <c r="M21" i="24" s="1"/>
  <c r="J45" i="12"/>
  <c r="M26" i="29"/>
  <c r="N26" i="29" s="1"/>
  <c r="J25" i="29"/>
  <c r="E25" i="29"/>
  <c r="M25" i="29" s="1"/>
  <c r="J24" i="29"/>
  <c r="E24" i="29"/>
  <c r="M24" i="29" s="1"/>
  <c r="J23" i="29"/>
  <c r="E23" i="29"/>
  <c r="M23" i="29" s="1"/>
  <c r="M45" i="12"/>
  <c r="J44" i="12"/>
  <c r="M44" i="12"/>
  <c r="J43" i="12"/>
  <c r="M43" i="12"/>
  <c r="J42" i="12"/>
  <c r="M42" i="12"/>
  <c r="J41" i="12"/>
  <c r="M41" i="12"/>
  <c r="J40" i="12"/>
  <c r="M40" i="12"/>
  <c r="J39" i="12"/>
  <c r="M39" i="12"/>
  <c r="J38" i="12"/>
  <c r="M38" i="12"/>
  <c r="J37" i="12"/>
  <c r="M37" i="12"/>
  <c r="J36" i="12"/>
  <c r="M36" i="12"/>
  <c r="N36" i="12" s="1"/>
  <c r="J35" i="12"/>
  <c r="M35" i="12"/>
  <c r="J34" i="12"/>
  <c r="M34" i="12"/>
  <c r="J33" i="12"/>
  <c r="M33" i="12"/>
  <c r="J32" i="12"/>
  <c r="M32" i="12"/>
  <c r="J31" i="12"/>
  <c r="M31" i="12"/>
  <c r="J30" i="12"/>
  <c r="M30" i="12"/>
  <c r="M29" i="12"/>
  <c r="J29" i="12"/>
  <c r="M28" i="12"/>
  <c r="J28" i="12"/>
  <c r="M27" i="12"/>
  <c r="J27" i="12"/>
  <c r="M26" i="12"/>
  <c r="J26" i="12"/>
  <c r="M25" i="12"/>
  <c r="J25" i="12"/>
  <c r="M24" i="12"/>
  <c r="J24" i="12"/>
  <c r="J23" i="12"/>
  <c r="M23" i="12"/>
  <c r="J22" i="12"/>
  <c r="M22" i="12"/>
  <c r="M21" i="12"/>
  <c r="J21" i="12"/>
  <c r="J20" i="12"/>
  <c r="J19" i="12"/>
  <c r="M19" i="12"/>
  <c r="M20" i="12"/>
  <c r="J90" i="34"/>
  <c r="M90" i="34"/>
  <c r="M91" i="34"/>
  <c r="N91" i="34" s="1"/>
  <c r="J89" i="34"/>
  <c r="M89" i="34"/>
  <c r="J14" i="34"/>
  <c r="M14" i="34"/>
  <c r="J13" i="34"/>
  <c r="M13" i="34"/>
  <c r="J12" i="34"/>
  <c r="M12" i="34"/>
  <c r="J29" i="34"/>
  <c r="M29" i="34"/>
  <c r="J28" i="34"/>
  <c r="M28" i="34"/>
  <c r="J27" i="34"/>
  <c r="M27" i="34"/>
  <c r="E16" i="55"/>
  <c r="M16" i="55" s="1"/>
  <c r="J69" i="34"/>
  <c r="M69" i="34"/>
  <c r="J16" i="55"/>
  <c r="N34" i="12" l="1"/>
  <c r="N23" i="12"/>
  <c r="N33" i="12"/>
  <c r="N35" i="12"/>
  <c r="N37" i="12"/>
  <c r="N45" i="12"/>
  <c r="N20" i="12"/>
  <c r="N22" i="12"/>
  <c r="N41" i="12"/>
  <c r="N42" i="12"/>
  <c r="N43" i="12"/>
  <c r="N44" i="12"/>
  <c r="N29" i="34"/>
  <c r="N27" i="34"/>
  <c r="N90" i="34"/>
  <c r="N89" i="34"/>
  <c r="N19" i="12"/>
  <c r="N30" i="12"/>
  <c r="N31" i="12"/>
  <c r="N32" i="12"/>
  <c r="N38" i="12"/>
  <c r="N39" i="12"/>
  <c r="N40" i="12"/>
  <c r="N69" i="34"/>
  <c r="N12" i="34"/>
  <c r="N13" i="34"/>
  <c r="N28" i="34"/>
  <c r="N14" i="34"/>
  <c r="N23" i="29"/>
  <c r="N25" i="29"/>
  <c r="N21" i="24"/>
  <c r="N23" i="24"/>
  <c r="N32" i="55"/>
  <c r="N15" i="24"/>
  <c r="N24" i="29"/>
  <c r="N22" i="24"/>
  <c r="N24" i="24"/>
  <c r="N31" i="55"/>
  <c r="N20" i="22"/>
  <c r="N17" i="22"/>
  <c r="N18" i="22"/>
  <c r="N19" i="22"/>
  <c r="N17" i="19"/>
  <c r="N16" i="55"/>
  <c r="N29" i="12"/>
  <c r="N28" i="12"/>
  <c r="N27" i="12"/>
  <c r="N26" i="12"/>
  <c r="N25" i="12"/>
  <c r="N24" i="12"/>
  <c r="N21" i="12"/>
  <c r="J11" i="34"/>
  <c r="M11" i="34"/>
  <c r="N11" i="34" l="1"/>
  <c r="N19" i="34" s="1"/>
  <c r="J27" i="39"/>
  <c r="N27" i="39" s="1"/>
  <c r="J53" i="34"/>
  <c r="M53" i="34"/>
  <c r="N53" i="34" l="1"/>
  <c r="J68" i="34"/>
  <c r="M68" i="34"/>
  <c r="J67" i="34"/>
  <c r="M67" i="34"/>
  <c r="J15" i="28"/>
  <c r="E15" i="28"/>
  <c r="M15" i="28" s="1"/>
  <c r="J13" i="33"/>
  <c r="M13" i="33"/>
  <c r="N13" i="33" s="1"/>
  <c r="N15" i="28" l="1"/>
  <c r="N67" i="34"/>
  <c r="N68" i="34"/>
  <c r="E45" i="60"/>
  <c r="E44" i="60"/>
  <c r="E38" i="60"/>
  <c r="M38" i="60" s="1"/>
  <c r="J45" i="60"/>
  <c r="N45" i="60" s="1"/>
  <c r="J44" i="60"/>
  <c r="N44" i="60" s="1"/>
  <c r="J38" i="60"/>
  <c r="M11" i="59"/>
  <c r="M12" i="59"/>
  <c r="J12" i="59"/>
  <c r="J11" i="59"/>
  <c r="E88" i="39"/>
  <c r="E87" i="39"/>
  <c r="J88" i="39"/>
  <c r="N88" i="39" s="1"/>
  <c r="J87" i="39"/>
  <c r="N87" i="39" s="1"/>
  <c r="E81" i="39"/>
  <c r="J81" i="39"/>
  <c r="N81" i="39" s="1"/>
  <c r="N82" i="39" s="1"/>
  <c r="J75" i="39"/>
  <c r="N75" i="39" s="1"/>
  <c r="J74" i="39"/>
  <c r="N74" i="39" s="1"/>
  <c r="E67" i="39"/>
  <c r="E68" i="39"/>
  <c r="J68" i="39"/>
  <c r="N68" i="39" s="1"/>
  <c r="J67" i="39"/>
  <c r="N67" i="39" s="1"/>
  <c r="M61" i="39"/>
  <c r="J61" i="39"/>
  <c r="M55" i="39"/>
  <c r="J55" i="39"/>
  <c r="J46" i="39"/>
  <c r="N46" i="39" s="1"/>
  <c r="J45" i="39"/>
  <c r="N45" i="39" s="1"/>
  <c r="J44" i="39"/>
  <c r="N44" i="39" s="1"/>
  <c r="J43" i="39"/>
  <c r="N43" i="39" s="1"/>
  <c r="J26" i="39"/>
  <c r="N26" i="39" s="1"/>
  <c r="J25" i="39"/>
  <c r="N25" i="39" s="1"/>
  <c r="N32" i="39" s="1"/>
  <c r="J26" i="65"/>
  <c r="E26" i="65"/>
  <c r="M26" i="65" s="1"/>
  <c r="J25" i="65"/>
  <c r="E25" i="65"/>
  <c r="M25" i="65" s="1"/>
  <c r="J24" i="65"/>
  <c r="E24" i="65"/>
  <c r="M24" i="65" s="1"/>
  <c r="J23" i="65"/>
  <c r="E23" i="65"/>
  <c r="M23" i="65" s="1"/>
  <c r="E30" i="55"/>
  <c r="M30" i="55" s="1"/>
  <c r="E11" i="55"/>
  <c r="M11" i="55" s="1"/>
  <c r="E12" i="55"/>
  <c r="M12" i="55" s="1"/>
  <c r="E13" i="55"/>
  <c r="M13" i="55" s="1"/>
  <c r="E14" i="55"/>
  <c r="M14" i="55" s="1"/>
  <c r="E15" i="55"/>
  <c r="M15" i="55" s="1"/>
  <c r="J30" i="55"/>
  <c r="M57" i="41"/>
  <c r="J57" i="41"/>
  <c r="M56" i="41"/>
  <c r="J56" i="41"/>
  <c r="M55" i="41"/>
  <c r="J55" i="41"/>
  <c r="M54" i="41"/>
  <c r="J54" i="41"/>
  <c r="M53" i="41"/>
  <c r="J53" i="41"/>
  <c r="M52" i="41"/>
  <c r="J52" i="41"/>
  <c r="M51" i="41"/>
  <c r="J51" i="41"/>
  <c r="M50" i="41"/>
  <c r="J50" i="41"/>
  <c r="M49" i="41"/>
  <c r="J49" i="41"/>
  <c r="M48" i="41"/>
  <c r="J48" i="41"/>
  <c r="M47" i="41"/>
  <c r="J47" i="41"/>
  <c r="M12" i="66"/>
  <c r="M13" i="66"/>
  <c r="M14" i="66"/>
  <c r="M15" i="66"/>
  <c r="M11" i="66"/>
  <c r="J15" i="66"/>
  <c r="J14" i="66"/>
  <c r="J13" i="66"/>
  <c r="J12" i="66"/>
  <c r="J11" i="66"/>
  <c r="E11" i="29"/>
  <c r="M11" i="29" s="1"/>
  <c r="E12" i="29"/>
  <c r="M12" i="29" s="1"/>
  <c r="E13" i="29"/>
  <c r="M13" i="29" s="1"/>
  <c r="E14" i="29"/>
  <c r="M14" i="29" s="1"/>
  <c r="E15" i="29"/>
  <c r="M15" i="29" s="1"/>
  <c r="E16" i="29"/>
  <c r="M16" i="29" s="1"/>
  <c r="E17" i="29"/>
  <c r="M17" i="29" s="1"/>
  <c r="E18" i="29"/>
  <c r="M18" i="29" s="1"/>
  <c r="E19" i="29"/>
  <c r="M19" i="29" s="1"/>
  <c r="E20" i="29"/>
  <c r="M20" i="29" s="1"/>
  <c r="E21" i="29"/>
  <c r="M21" i="29" s="1"/>
  <c r="E22" i="29"/>
  <c r="M22" i="29" s="1"/>
  <c r="E12" i="28"/>
  <c r="M12" i="28" s="1"/>
  <c r="E13" i="28"/>
  <c r="M13" i="28" s="1"/>
  <c r="E14" i="28"/>
  <c r="M14" i="28" s="1"/>
  <c r="E11" i="28"/>
  <c r="M11" i="28" s="1"/>
  <c r="E12" i="65"/>
  <c r="E14" i="65"/>
  <c r="E15" i="65"/>
  <c r="M15" i="65" s="1"/>
  <c r="E16" i="65"/>
  <c r="E17" i="65"/>
  <c r="E11" i="65"/>
  <c r="M11" i="65" s="1"/>
  <c r="E11" i="24"/>
  <c r="M11" i="24" s="1"/>
  <c r="E12" i="24"/>
  <c r="M12" i="24" s="1"/>
  <c r="E13" i="24"/>
  <c r="M13" i="24" s="1"/>
  <c r="E14" i="24"/>
  <c r="M14" i="24" s="1"/>
  <c r="E16" i="24"/>
  <c r="M16" i="24" s="1"/>
  <c r="E17" i="24"/>
  <c r="M17" i="24" s="1"/>
  <c r="E18" i="24"/>
  <c r="M18" i="24" s="1"/>
  <c r="E19" i="24"/>
  <c r="M19" i="24" s="1"/>
  <c r="E20" i="24"/>
  <c r="M20" i="24" s="1"/>
  <c r="J20" i="24"/>
  <c r="J19" i="24"/>
  <c r="J18" i="24"/>
  <c r="J17" i="24"/>
  <c r="J16" i="24"/>
  <c r="J14" i="24"/>
  <c r="J13" i="24"/>
  <c r="J12" i="24"/>
  <c r="J11" i="24"/>
  <c r="J17" i="65"/>
  <c r="M17" i="65"/>
  <c r="J16" i="65"/>
  <c r="M16" i="65"/>
  <c r="J15" i="65"/>
  <c r="J14" i="65"/>
  <c r="M14" i="65"/>
  <c r="J12" i="65"/>
  <c r="M12" i="65"/>
  <c r="J11" i="65"/>
  <c r="M15" i="22"/>
  <c r="J15" i="22"/>
  <c r="J12" i="64"/>
  <c r="O12" i="64" s="1"/>
  <c r="J11" i="64"/>
  <c r="O11" i="64" s="1"/>
  <c r="M11" i="63"/>
  <c r="J11" i="63"/>
  <c r="M12" i="63"/>
  <c r="N12" i="63" s="1"/>
  <c r="O24" i="64" l="1"/>
  <c r="N49" i="39"/>
  <c r="N46" i="60"/>
  <c r="N89" i="39"/>
  <c r="N17" i="24"/>
  <c r="N16" i="24"/>
  <c r="N12" i="65"/>
  <c r="N14" i="65"/>
  <c r="N15" i="65"/>
  <c r="N16" i="65"/>
  <c r="N69" i="39"/>
  <c r="N76" i="39"/>
  <c r="N17" i="65"/>
  <c r="N11" i="65"/>
  <c r="N18" i="24"/>
  <c r="N11" i="63"/>
  <c r="N12" i="59"/>
  <c r="N11" i="59"/>
  <c r="N38" i="60"/>
  <c r="N39" i="60" s="1"/>
  <c r="N47" i="41"/>
  <c r="N48" i="41"/>
  <c r="N49" i="41"/>
  <c r="N50" i="41"/>
  <c r="N51" i="41"/>
  <c r="N52" i="41"/>
  <c r="N53" i="41"/>
  <c r="N54" i="41"/>
  <c r="N55" i="41"/>
  <c r="N15" i="22"/>
  <c r="N19" i="24"/>
  <c r="N12" i="24"/>
  <c r="N13" i="24"/>
  <c r="N20" i="24"/>
  <c r="N57" i="41"/>
  <c r="N30" i="55"/>
  <c r="N35" i="55" s="1"/>
  <c r="N14" i="24"/>
  <c r="N56" i="41"/>
  <c r="N23" i="65"/>
  <c r="N26" i="65"/>
  <c r="N24" i="65"/>
  <c r="N25" i="65"/>
  <c r="N61" i="39"/>
  <c r="N55" i="39"/>
  <c r="N56" i="39" s="1"/>
  <c r="N38" i="39"/>
  <c r="N11" i="66"/>
  <c r="N12" i="66"/>
  <c r="N13" i="66"/>
  <c r="N14" i="66"/>
  <c r="N15" i="66"/>
  <c r="N11" i="24"/>
  <c r="N13" i="63"/>
  <c r="N48" i="60" l="1"/>
  <c r="N33" i="24"/>
  <c r="N43" i="24" s="1"/>
  <c r="N13" i="59"/>
  <c r="N17" i="66"/>
  <c r="N19" i="65"/>
  <c r="N27" i="65"/>
  <c r="N58" i="41"/>
  <c r="N62" i="39"/>
  <c r="N29" i="65" l="1"/>
  <c r="N11" i="23"/>
  <c r="N12" i="23"/>
  <c r="N13" i="23"/>
  <c r="N14" i="23"/>
  <c r="M11" i="22"/>
  <c r="M12" i="22"/>
  <c r="M13" i="22"/>
  <c r="M14" i="22"/>
  <c r="M12" i="19"/>
  <c r="M13" i="19"/>
  <c r="M14" i="19"/>
  <c r="M15" i="19"/>
  <c r="M16" i="19"/>
  <c r="M11" i="19"/>
  <c r="M12" i="12"/>
  <c r="M13" i="12"/>
  <c r="M14" i="12"/>
  <c r="M15" i="12"/>
  <c r="M16" i="12"/>
  <c r="M17" i="12"/>
  <c r="M18" i="12"/>
  <c r="M11" i="12"/>
  <c r="M84" i="34"/>
  <c r="M85" i="34"/>
  <c r="M86" i="34"/>
  <c r="M87" i="34"/>
  <c r="M88" i="34"/>
  <c r="M77" i="34"/>
  <c r="M78" i="34"/>
  <c r="M64" i="34"/>
  <c r="M65" i="34"/>
  <c r="M66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22" i="34"/>
  <c r="M23" i="34"/>
  <c r="M24" i="34"/>
  <c r="M25" i="34"/>
  <c r="M26" i="34"/>
  <c r="M12" i="33" l="1"/>
  <c r="M11" i="33"/>
  <c r="J78" i="34"/>
  <c r="N78" i="34" s="1"/>
  <c r="J14" i="28" l="1"/>
  <c r="N14" i="28" s="1"/>
  <c r="J18" i="12" l="1"/>
  <c r="N18" i="12" s="1"/>
  <c r="J17" i="12"/>
  <c r="N17" i="12" s="1"/>
  <c r="J22" i="29"/>
  <c r="N22" i="29" s="1"/>
  <c r="J15" i="55"/>
  <c r="N15" i="55" s="1"/>
  <c r="J16" i="19"/>
  <c r="N16" i="19" s="1"/>
  <c r="J88" i="34"/>
  <c r="N88" i="34" s="1"/>
  <c r="J13" i="55" l="1"/>
  <c r="N13" i="55" s="1"/>
  <c r="J14" i="55"/>
  <c r="N14" i="55" s="1"/>
  <c r="J66" i="34" l="1"/>
  <c r="N66" i="34" s="1"/>
  <c r="J11" i="61" l="1"/>
  <c r="N11" i="61" s="1"/>
  <c r="N12" i="61" s="1"/>
  <c r="N20" i="61" s="1"/>
  <c r="J11" i="55"/>
  <c r="N11" i="55" s="1"/>
  <c r="J12" i="55"/>
  <c r="N12" i="55" s="1"/>
  <c r="J11" i="39"/>
  <c r="N11" i="39" s="1"/>
  <c r="J12" i="39"/>
  <c r="N12" i="39" s="1"/>
  <c r="J13" i="39"/>
  <c r="N13" i="39" s="1"/>
  <c r="J14" i="39"/>
  <c r="N14" i="39" s="1"/>
  <c r="J15" i="39"/>
  <c r="N15" i="39" s="1"/>
  <c r="J16" i="39"/>
  <c r="N16" i="39" s="1"/>
  <c r="J17" i="39"/>
  <c r="N17" i="39" s="1"/>
  <c r="N25" i="55" l="1"/>
  <c r="N37" i="55" s="1"/>
  <c r="N20" i="39"/>
  <c r="N92" i="39" s="1"/>
  <c r="J11" i="29"/>
  <c r="N11" i="29" s="1"/>
  <c r="J12" i="29"/>
  <c r="N12" i="29" s="1"/>
  <c r="J13" i="29"/>
  <c r="N13" i="29" s="1"/>
  <c r="J14" i="29"/>
  <c r="N14" i="29" s="1"/>
  <c r="J15" i="29"/>
  <c r="N15" i="29" s="1"/>
  <c r="J16" i="29"/>
  <c r="N16" i="29" s="1"/>
  <c r="J17" i="29"/>
  <c r="N17" i="29" s="1"/>
  <c r="J18" i="29"/>
  <c r="N18" i="29" s="1"/>
  <c r="J19" i="29"/>
  <c r="N19" i="29" s="1"/>
  <c r="J20" i="29"/>
  <c r="N20" i="29" s="1"/>
  <c r="J21" i="29"/>
  <c r="N21" i="29" s="1"/>
  <c r="J11" i="28"/>
  <c r="N11" i="28" s="1"/>
  <c r="J12" i="28"/>
  <c r="N12" i="28" s="1"/>
  <c r="J13" i="28"/>
  <c r="N13" i="28" s="1"/>
  <c r="J11" i="23"/>
  <c r="O11" i="23" s="1"/>
  <c r="J12" i="23"/>
  <c r="O12" i="23" s="1"/>
  <c r="J13" i="23"/>
  <c r="O13" i="23" s="1"/>
  <c r="J14" i="23"/>
  <c r="O14" i="23" s="1"/>
  <c r="J11" i="22"/>
  <c r="N11" i="22" s="1"/>
  <c r="J12" i="22"/>
  <c r="N12" i="22" s="1"/>
  <c r="J13" i="22"/>
  <c r="N13" i="22" s="1"/>
  <c r="J14" i="22"/>
  <c r="N14" i="22" s="1"/>
  <c r="J11" i="19"/>
  <c r="N11" i="19" s="1"/>
  <c r="J12" i="19"/>
  <c r="N12" i="19" s="1"/>
  <c r="J13" i="19"/>
  <c r="N13" i="19" s="1"/>
  <c r="J14" i="19"/>
  <c r="N14" i="19" s="1"/>
  <c r="J15" i="19"/>
  <c r="N15" i="19" s="1"/>
  <c r="J11" i="12"/>
  <c r="N11" i="12" s="1"/>
  <c r="J12" i="12"/>
  <c r="N12" i="12" s="1"/>
  <c r="J13" i="12"/>
  <c r="N13" i="12" s="1"/>
  <c r="J14" i="12"/>
  <c r="N14" i="12" s="1"/>
  <c r="J15" i="12"/>
  <c r="N15" i="12" s="1"/>
  <c r="J16" i="12"/>
  <c r="N16" i="12" s="1"/>
  <c r="J84" i="34"/>
  <c r="N84" i="34" s="1"/>
  <c r="J85" i="34"/>
  <c r="N85" i="34" s="1"/>
  <c r="J86" i="34"/>
  <c r="N86" i="34" s="1"/>
  <c r="J87" i="34"/>
  <c r="N87" i="34" s="1"/>
  <c r="J77" i="34"/>
  <c r="N77" i="34" s="1"/>
  <c r="J64" i="34"/>
  <c r="N64" i="34" s="1"/>
  <c r="J65" i="34"/>
  <c r="N65" i="34" s="1"/>
  <c r="J38" i="34"/>
  <c r="N38" i="34" s="1"/>
  <c r="J39" i="34"/>
  <c r="N39" i="34" s="1"/>
  <c r="J40" i="34"/>
  <c r="N40" i="34" s="1"/>
  <c r="J41" i="34"/>
  <c r="N41" i="34" s="1"/>
  <c r="J42" i="34"/>
  <c r="N42" i="34" s="1"/>
  <c r="J43" i="34"/>
  <c r="N43" i="34" s="1"/>
  <c r="J44" i="34"/>
  <c r="N44" i="34" s="1"/>
  <c r="J45" i="34"/>
  <c r="N45" i="34" s="1"/>
  <c r="J46" i="34"/>
  <c r="N46" i="34" s="1"/>
  <c r="J47" i="34"/>
  <c r="N47" i="34" s="1"/>
  <c r="J48" i="34"/>
  <c r="N48" i="34" s="1"/>
  <c r="J49" i="34"/>
  <c r="N49" i="34" s="1"/>
  <c r="J50" i="34"/>
  <c r="N50" i="34" s="1"/>
  <c r="J51" i="34"/>
  <c r="N51" i="34" s="1"/>
  <c r="J52" i="34"/>
  <c r="N52" i="34" s="1"/>
  <c r="N25" i="28" l="1"/>
  <c r="N56" i="12"/>
  <c r="N18" i="19"/>
  <c r="N61" i="34"/>
  <c r="O17" i="23"/>
  <c r="N24" i="22"/>
  <c r="N31" i="29"/>
  <c r="N96" i="34"/>
  <c r="N81" i="34"/>
  <c r="N74" i="34"/>
  <c r="J22" i="34"/>
  <c r="N22" i="34" s="1"/>
  <c r="J23" i="34"/>
  <c r="N23" i="34" s="1"/>
  <c r="J24" i="34"/>
  <c r="N24" i="34" s="1"/>
  <c r="J25" i="34"/>
  <c r="N25" i="34" s="1"/>
  <c r="J26" i="34"/>
  <c r="N26" i="34" s="1"/>
  <c r="J12" i="33"/>
  <c r="N12" i="33" s="1"/>
  <c r="J11" i="33"/>
  <c r="N11" i="33" s="1"/>
  <c r="N14" i="33" l="1"/>
  <c r="N35" i="34"/>
  <c r="N104" i="34" s="1"/>
</calcChain>
</file>

<file path=xl/comments1.xml><?xml version="1.0" encoding="utf-8"?>
<comments xmlns="http://schemas.openxmlformats.org/spreadsheetml/2006/main">
  <authors>
    <author>GUDANG</author>
    <author>PC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188/193
</t>
        </r>
      </text>
    </comment>
    <comment ref="D28" authorId="1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Actual Panjang 97/99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C21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Actual 31/33
</t>
        </r>
      </text>
    </comment>
    <comment ref="D48" authorId="0">
      <text>
        <r>
          <rPr>
            <b/>
            <sz val="10"/>
            <color indexed="81"/>
            <rFont val="Tahoma"/>
            <family val="2"/>
          </rPr>
          <t>PC:</t>
        </r>
        <r>
          <rPr>
            <sz val="10"/>
            <color indexed="81"/>
            <rFont val="Tahoma"/>
            <family val="2"/>
          </rPr>
          <t xml:space="preserve">
69/74
</t>
        </r>
      </text>
    </comment>
    <comment ref="D51" authorId="0">
      <text>
        <r>
          <rPr>
            <b/>
            <sz val="10"/>
            <color indexed="81"/>
            <rFont val="Tahoma"/>
            <family val="2"/>
          </rPr>
          <t>PC:</t>
        </r>
        <r>
          <rPr>
            <sz val="10"/>
            <color indexed="81"/>
            <rFont val="Tahoma"/>
            <family val="2"/>
          </rPr>
          <t xml:space="preserve">
55/60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E14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Actual 130/135
</t>
        </r>
      </text>
    </comment>
    <comment ref="C15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Actual 82/90
</t>
        </r>
      </text>
    </comment>
    <comment ref="C16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Actual 80/90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Actual 134/145
</t>
        </r>
      </text>
    </comment>
  </commentList>
</comments>
</file>

<file path=xl/comments4.xml><?xml version="1.0" encoding="utf-8"?>
<comments xmlns="http://schemas.openxmlformats.org/spreadsheetml/2006/main">
  <authors>
    <author>GUDANG</author>
    <author>PC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27/35
</t>
        </r>
      </text>
    </comment>
    <comment ref="D24" authorId="1">
      <text>
        <r>
          <rPr>
            <b/>
            <sz val="10"/>
            <color indexed="81"/>
            <rFont val="Tahoma"/>
            <family val="2"/>
          </rPr>
          <t>PC:</t>
        </r>
        <r>
          <rPr>
            <sz val="10"/>
            <color indexed="81"/>
            <rFont val="Tahoma"/>
            <family val="2"/>
          </rPr>
          <t xml:space="preserve">
84/88</t>
        </r>
      </text>
    </comment>
  </commentList>
</comments>
</file>

<file path=xl/comments5.xml><?xml version="1.0" encoding="utf-8"?>
<comments xmlns="http://schemas.openxmlformats.org/spreadsheetml/2006/main">
  <authors>
    <author>Warehouse</author>
  </authors>
  <commentList>
    <comment ref="C48" authorId="0">
      <text>
        <r>
          <rPr>
            <b/>
            <sz val="9"/>
            <color indexed="81"/>
            <rFont val="Tahoma"/>
            <family val="2"/>
          </rPr>
          <t>Warehouse:</t>
        </r>
        <r>
          <rPr>
            <sz val="9"/>
            <color indexed="81"/>
            <rFont val="Tahoma"/>
            <family val="2"/>
          </rPr>
          <t xml:space="preserve">
42/52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Warehouse:</t>
        </r>
        <r>
          <rPr>
            <sz val="9"/>
            <color indexed="81"/>
            <rFont val="Tahoma"/>
            <family val="2"/>
          </rPr>
          <t xml:space="preserve">
46/50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Warehouse:</t>
        </r>
        <r>
          <rPr>
            <sz val="9"/>
            <color indexed="81"/>
            <rFont val="Tahoma"/>
            <family val="2"/>
          </rPr>
          <t xml:space="preserve">
42/51</t>
        </r>
      </text>
    </comment>
  </commentList>
</comments>
</file>

<file path=xl/sharedStrings.xml><?xml version="1.0" encoding="utf-8"?>
<sst xmlns="http://schemas.openxmlformats.org/spreadsheetml/2006/main" count="1752" uniqueCount="265">
  <si>
    <t>Keterangan</t>
  </si>
  <si>
    <t>Qty</t>
  </si>
  <si>
    <t>Ukuran</t>
  </si>
  <si>
    <t>Sisa Gatting</t>
  </si>
  <si>
    <t>Stock Gatting</t>
  </si>
  <si>
    <t>AL-6</t>
  </si>
  <si>
    <t>Sisa Cutting</t>
  </si>
  <si>
    <t>S45C</t>
  </si>
  <si>
    <t>Stock</t>
  </si>
  <si>
    <t>A618</t>
  </si>
  <si>
    <t>-</t>
  </si>
  <si>
    <t>A718</t>
  </si>
  <si>
    <t>PX4</t>
  </si>
  <si>
    <t>EB2311</t>
  </si>
  <si>
    <t>No Name</t>
  </si>
  <si>
    <t>CENA 1</t>
  </si>
  <si>
    <t>Sisa Stock</t>
  </si>
  <si>
    <t>DC 11</t>
  </si>
  <si>
    <t>Nak 80</t>
  </si>
  <si>
    <t>Stock Lama</t>
  </si>
  <si>
    <t>Sisa Machining</t>
  </si>
  <si>
    <t>EB2316</t>
  </si>
  <si>
    <t>VCL</t>
  </si>
  <si>
    <t>VCN 705</t>
  </si>
  <si>
    <t>VCN</t>
  </si>
  <si>
    <t>SCMM440H</t>
  </si>
  <si>
    <t>Sisa CNC 5 Axis</t>
  </si>
  <si>
    <t>A88</t>
  </si>
  <si>
    <t>6W</t>
  </si>
  <si>
    <t>S45C 6W</t>
  </si>
  <si>
    <t>BECU</t>
  </si>
  <si>
    <t>KUNINGAN</t>
  </si>
  <si>
    <t>BRONZE</t>
  </si>
  <si>
    <t>EX BTRAPT (Sisa Cutting)</t>
  </si>
  <si>
    <t>EX CUTTING</t>
  </si>
  <si>
    <t>ASSAB</t>
  </si>
  <si>
    <t>EX PISAU CRUSSER</t>
  </si>
  <si>
    <t>AL-5</t>
  </si>
  <si>
    <t>No</t>
  </si>
  <si>
    <t>TEMBAGA</t>
  </si>
  <si>
    <t>TIDAK JADI DIGUNAKAN GS.BAB</t>
  </si>
  <si>
    <t>Sisa</t>
  </si>
  <si>
    <t>Keluar</t>
  </si>
  <si>
    <t xml:space="preserve">Keluar </t>
  </si>
  <si>
    <t>Digunakan Untuk:</t>
  </si>
  <si>
    <t>Tgl.Pengambilan</t>
  </si>
  <si>
    <t xml:space="preserve">Jenis Material </t>
  </si>
  <si>
    <t>Jenis Material</t>
  </si>
  <si>
    <t>Digunakan Untuk</t>
  </si>
  <si>
    <t>Ex.Shoe Lifter B</t>
  </si>
  <si>
    <t>Stock  Untuk Electroda</t>
  </si>
  <si>
    <t>Ex.Cavity Front Panel Kit GN1</t>
  </si>
  <si>
    <t>Ex.Stripper Plate Mata Boneka</t>
  </si>
  <si>
    <t>Ex.Cavity Insert RH LH HDPC KIT RB3</t>
  </si>
  <si>
    <t>Ex.Die Core Ring 1B OP4</t>
  </si>
  <si>
    <t>Ex.Punch Core Ring 1A, 1B</t>
  </si>
  <si>
    <t>Ex.Die Core 1B</t>
  </si>
  <si>
    <t>Beli,Tidak Jadi Dipakai.Jadi Stock</t>
  </si>
  <si>
    <t>Kuningan</t>
  </si>
  <si>
    <t>Ex.Wedge Block Im ME</t>
  </si>
  <si>
    <t>Ex.Slider 4 Im ME</t>
  </si>
  <si>
    <t>Ex.Slider 3 Im ME</t>
  </si>
  <si>
    <t>Tempat Penyimpanan</t>
  </si>
  <si>
    <t>Bulan</t>
  </si>
  <si>
    <t>Ex.Core Adjustable Foot</t>
  </si>
  <si>
    <t>Ex.Core Ins Adjustable Foot</t>
  </si>
  <si>
    <t>Px4</t>
  </si>
  <si>
    <t>Ex Cavity Insert Headpiece Kit</t>
  </si>
  <si>
    <t>DHA1-R2</t>
  </si>
  <si>
    <t>Sisa Cutting Pengganti Ireko Atas Core Hagumi</t>
  </si>
  <si>
    <t>Sisa Cutting Cavity 918,919 &amp; ADJ Foot Sss R63</t>
  </si>
  <si>
    <t>Beli,Tidak Jadi Dipakai.Jadi Stock(Ex.Holder 04072263/Bundle Pusher F350D)</t>
  </si>
  <si>
    <t>ROY ALLOY</t>
  </si>
  <si>
    <t>EX Drum Transfer0205241 Part Drum(Tidak Jadi Di Pakai Karena Material Di Ganti Jadi Royaaloy)</t>
  </si>
  <si>
    <t xml:space="preserve">Hexagon </t>
  </si>
  <si>
    <t>Sisa Cutting Disc Rotor</t>
  </si>
  <si>
    <t>Sisa Hasami Gauge</t>
  </si>
  <si>
    <t>Sisa Cutiing</t>
  </si>
  <si>
    <t>Al-6</t>
  </si>
  <si>
    <t xml:space="preserve">Ex Catcher 236 / Part Drum </t>
  </si>
  <si>
    <t>Al-5</t>
  </si>
  <si>
    <t xml:space="preserve">Ex Runner Drag 5 , Pattern Case Thermostat </t>
  </si>
  <si>
    <t>Ex. Runner Drag 8, Pattern Case Thermostat</t>
  </si>
  <si>
    <t>Ex Runner Drag 7, Pattern Case Thermostat</t>
  </si>
  <si>
    <t>PXA30</t>
  </si>
  <si>
    <t>Salah Beli Material</t>
  </si>
  <si>
    <t>S45C+6W</t>
  </si>
  <si>
    <t>Dijadikan Stock</t>
  </si>
  <si>
    <t>SS400</t>
  </si>
  <si>
    <t>Sisa Cutting Cavity 918,919 &amp; ADJ Foot Sss R643</t>
  </si>
  <si>
    <t>Ex.Cavity Insert RH LH HDPC KIT RB4</t>
  </si>
  <si>
    <t>Ex.Cavity Insert RH LH HDPC KIT RB5</t>
  </si>
  <si>
    <t>Ex.Cavity Insert RH LH HDPC KIT RB6</t>
  </si>
  <si>
    <t>No. Doc: FIK-PURC-02-01-04</t>
  </si>
  <si>
    <t xml:space="preserve">Form / Check sheet </t>
  </si>
  <si>
    <t>Date:</t>
  </si>
  <si>
    <t>Approved</t>
  </si>
  <si>
    <t>Checked</t>
  </si>
  <si>
    <t>Prepared</t>
  </si>
  <si>
    <t>Data Material</t>
  </si>
  <si>
    <t>Tgl Aplikasi</t>
  </si>
  <si>
    <t>Revisi</t>
  </si>
  <si>
    <t xml:space="preserve"> Nak 80 &amp; DC11</t>
  </si>
  <si>
    <t xml:space="preserve"> R.Gudang</t>
  </si>
  <si>
    <t xml:space="preserve"> AL 5083</t>
  </si>
  <si>
    <t xml:space="preserve"> AL 6061</t>
  </si>
  <si>
    <t xml:space="preserve"> A618</t>
  </si>
  <si>
    <t xml:space="preserve"> PX4</t>
  </si>
  <si>
    <t xml:space="preserve"> EB2311 &amp; EB2316</t>
  </si>
  <si>
    <t>Sisa cutting</t>
  </si>
  <si>
    <t>Digunakan untuk</t>
  </si>
  <si>
    <t>SKD61</t>
  </si>
  <si>
    <t>Ex.Guide 227 FC550 Next</t>
  </si>
  <si>
    <t>Ex.Angle 35 FC 550 Next</t>
  </si>
  <si>
    <t xml:space="preserve"> CENA 1</t>
  </si>
  <si>
    <t xml:space="preserve"> ROUND OTHER</t>
  </si>
  <si>
    <t xml:space="preserve"> TEMBAGA</t>
  </si>
  <si>
    <t xml:space="preserve"> S45C (ROUND)</t>
  </si>
  <si>
    <t>Track Plate HLP 776</t>
  </si>
  <si>
    <t>Sisa Project</t>
  </si>
  <si>
    <t>Sisa Blow Mold</t>
  </si>
  <si>
    <t>HEXAGON</t>
  </si>
  <si>
    <t>Cavity lens PN6</t>
  </si>
  <si>
    <t>Guide Rail</t>
  </si>
  <si>
    <t xml:space="preserve">Ex Guide 04073227 </t>
  </si>
  <si>
    <t xml:space="preserve">Ex Angle 04073235 </t>
  </si>
  <si>
    <t>Ex catcher Drum</t>
  </si>
  <si>
    <t>Ex Catcher Drum</t>
  </si>
  <si>
    <t>Plunger 04072059</t>
  </si>
  <si>
    <t>Cig Track La Bold</t>
  </si>
  <si>
    <t>Holder F5 Transfer</t>
  </si>
  <si>
    <t>Holder 04072081</t>
  </si>
  <si>
    <t>Track Plate P071979</t>
  </si>
  <si>
    <t>Sisa Bracket Cylinder</t>
  </si>
  <si>
    <t>Ex CP 4 Liter</t>
  </si>
  <si>
    <t>Cavity Insert BTRAPT</t>
  </si>
  <si>
    <t>Ex Insert Cavity PTTMAO</t>
  </si>
  <si>
    <t>FOLDER 04072279</t>
  </si>
  <si>
    <t>FOLDER 04072280</t>
  </si>
  <si>
    <t>Cgt Vane set Cig Hooper</t>
  </si>
  <si>
    <t>End Vane RH/LH</t>
  </si>
  <si>
    <t xml:space="preserve">Cgt Vane set </t>
  </si>
  <si>
    <t>Cgt Vane Set F5-565</t>
  </si>
  <si>
    <t>RoyAlloy</t>
  </si>
  <si>
    <t>Folder 04072280</t>
  </si>
  <si>
    <t>Al</t>
  </si>
  <si>
    <t>Part Yamamoto</t>
  </si>
  <si>
    <t>Betso D-11</t>
  </si>
  <si>
    <t>Material Dari Supplier</t>
  </si>
  <si>
    <t>FC250</t>
  </si>
  <si>
    <t xml:space="preserve"> Area Produksi</t>
  </si>
  <si>
    <t xml:space="preserve"> Other Pesanan</t>
  </si>
  <si>
    <t>ex- Spacer Base Plate Drar B G(H) EW060</t>
  </si>
  <si>
    <t>VCL Pree</t>
  </si>
  <si>
    <t>EB2316 6W</t>
  </si>
  <si>
    <t>6 W (-)</t>
  </si>
  <si>
    <t>Harga satuan</t>
  </si>
  <si>
    <t>Total</t>
  </si>
  <si>
    <t>TOTAL</t>
  </si>
  <si>
    <t>SUB TOTAL 1</t>
  </si>
  <si>
    <t>SUB TOTAL 2</t>
  </si>
  <si>
    <t>SUB TOTAL 3</t>
  </si>
  <si>
    <t>SUB TOTAL 4</t>
  </si>
  <si>
    <t>SUB TOTAL 5</t>
  </si>
  <si>
    <t>SUB TOTAL 6</t>
  </si>
  <si>
    <t>SUB TOTAL 7</t>
  </si>
  <si>
    <t>SUB TOTAL 8</t>
  </si>
  <si>
    <t>r</t>
  </si>
  <si>
    <t>A718 &amp; P20</t>
  </si>
  <si>
    <t>ROUND EB2311 &amp; EB2316</t>
  </si>
  <si>
    <t xml:space="preserve"> ROUND VCL</t>
  </si>
  <si>
    <t>ROUND VCN</t>
  </si>
  <si>
    <t>ROUND TEMBAGA</t>
  </si>
  <si>
    <t>PLAT TEMBAGA</t>
  </si>
  <si>
    <t>ROY ALLOY (A)</t>
  </si>
  <si>
    <t>BELI SISA DARI ASSAB</t>
  </si>
  <si>
    <t>Harga Satuan</t>
  </si>
  <si>
    <t>S45C (6W)</t>
  </si>
  <si>
    <t>MATERIAL PESANAN DIJADIKAN STOCK {S45C (6W)}</t>
  </si>
  <si>
    <t>MATERIAL PESANAN DIJADIKAN STOCK (ROUND AL-6)</t>
  </si>
  <si>
    <t>MATERIAL PESANAN DIJADIKAN STOCK (EB2316)</t>
  </si>
  <si>
    <t>MATERIAL (ROUND EB2316)</t>
  </si>
  <si>
    <t>MATERIAL PESANAN DIJADIKAN STOCK (A618)</t>
  </si>
  <si>
    <t>MATERIAL PESANAN DIJADIKAN STOCK (NO NAME)</t>
  </si>
  <si>
    <t>MATERIAL PESANAN TIDAK TERPAKAI KARNA MUDAH PATAH (KUNINGAN)</t>
  </si>
  <si>
    <t>MATERIAL PESANAN DIJADIKAN STOCK (KUNINGAN)</t>
  </si>
  <si>
    <t>MATERIAL PESANAN DIJADIKAN STOCK (ROUND OTHER)</t>
  </si>
  <si>
    <t xml:space="preserve"> MATERIAL PESANAN DIJADIKAN STOCK (OTHER)</t>
  </si>
  <si>
    <t>STOCK (ROUND TEMBAGA)</t>
  </si>
  <si>
    <t>STOCK TEMBAGA (PLAT TEMBAGA)</t>
  </si>
  <si>
    <t>MATERIAL SS400</t>
  </si>
  <si>
    <t>MATERIAL HEXAGON</t>
  </si>
  <si>
    <t>SISA MATERIAL DJARUM (ROUND AL-6)</t>
  </si>
  <si>
    <t>SISA MATERIAL DJARUM (ROUND NO NAME)</t>
  </si>
  <si>
    <t xml:space="preserve"> Sisa material DJARUM (EB2316)</t>
  </si>
  <si>
    <t>PLAT VCN</t>
  </si>
  <si>
    <t>MATERIAL (ROUND AL-5)</t>
  </si>
  <si>
    <t>SUB TOTAL 9</t>
  </si>
  <si>
    <t>Sisa Cuting</t>
  </si>
  <si>
    <t>Guide 04073094&amp;95-ReciproCutting Pocket</t>
  </si>
  <si>
    <t>Guide 04073104-ReciproCutting Pocket</t>
  </si>
  <si>
    <t xml:space="preserve"> MATERIAL DJARUM (EB2316)</t>
  </si>
  <si>
    <t>6582 R (VCN)</t>
  </si>
  <si>
    <t>A705 (VCN)</t>
  </si>
  <si>
    <t>Layout Insert Sprue-Support Mounting CMF-1</t>
  </si>
  <si>
    <t>Material Plate (SKD61)</t>
  </si>
  <si>
    <t>EB2316 (6W)</t>
  </si>
  <si>
    <t>Top Folder FC 552 Folding Flog 132&amp;133</t>
  </si>
  <si>
    <t>Guide 129-Top Folder</t>
  </si>
  <si>
    <t>Folding Flog 130&amp;131-Top Folder FC552</t>
  </si>
  <si>
    <t>Jig Pocket</t>
  </si>
  <si>
    <t>Double Order Layout Insert Core A S/D E</t>
  </si>
  <si>
    <t>CENA 1 (6W)</t>
  </si>
  <si>
    <t xml:space="preserve"> </t>
  </si>
  <si>
    <t>Ex Layout Insert Cav-Seat Shift Lever</t>
  </si>
  <si>
    <t>Ex Layout Slider-Seat Shift Lever</t>
  </si>
  <si>
    <t>Ex Layout Insert Cav A-Seat Shift Lever</t>
  </si>
  <si>
    <t xml:space="preserve">EB2316 </t>
  </si>
  <si>
    <t xml:space="preserve">Stock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</si>
  <si>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</si>
  <si>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SISA CUTTING PROJECT</t>
  </si>
  <si>
    <t>STOCK</t>
  </si>
  <si>
    <t>.</t>
  </si>
  <si>
    <t>SUB TOTAL 10</t>
  </si>
  <si>
    <t>SUBTOTAL 1</t>
  </si>
  <si>
    <t>SUBTOTAL 2</t>
  </si>
  <si>
    <t>SUBTOTAL 3</t>
  </si>
  <si>
    <t>SISA CUTTING</t>
  </si>
  <si>
    <t>EX Back Plate Sprue -pattern bracket Generator YLO</t>
  </si>
  <si>
    <t>Ex Fixture Risser Squeeze Pattern Bracket Generator Y4L</t>
  </si>
  <si>
    <t>GAK JADI DI PAKE KEMBALI KE GUDANG</t>
  </si>
  <si>
    <t>EX GLUING SEGMENT</t>
  </si>
  <si>
    <t>MATERIAL PESANAN DIJADIKAN STOCK (BECU &amp; BRONZE)</t>
  </si>
  <si>
    <t>Ex Layout Guide Slider-Mold Corner F SWF 0250B</t>
  </si>
  <si>
    <t>Ex Layout Wedge Block-Case B L&amp;R Renewal</t>
  </si>
  <si>
    <t>Stock Ring MDLT</t>
  </si>
  <si>
    <t>Insert Cavity-ETPB</t>
  </si>
  <si>
    <t>SUS 304</t>
  </si>
  <si>
    <t>Ex Insert Cavity A-ADJ Foot R75</t>
  </si>
  <si>
    <t>Ex Layout Wedge Block Plate Detent</t>
  </si>
  <si>
    <t>PX5</t>
  </si>
  <si>
    <t xml:space="preserve"> S45C </t>
  </si>
  <si>
    <t>Bracket A1/B1 (Bracket Mesin Tochu) Chamber E/F90</t>
  </si>
  <si>
    <t>sisa cutting</t>
  </si>
  <si>
    <t>JANUARI 2024</t>
  </si>
  <si>
    <t>baut wire cut</t>
  </si>
  <si>
    <t>Bracket A1/B1 (Bracket Mesin Tochu) Chamber E/F91</t>
  </si>
  <si>
    <t>FEBRURY 2024</t>
  </si>
  <si>
    <t>FEBRUARY 2024</t>
  </si>
  <si>
    <t>HOLDER 751.18.0009 MDLU</t>
  </si>
  <si>
    <t>CATCH 750.13.3224&amp;3227 MDLU</t>
  </si>
  <si>
    <t>TURRET MDLU &amp; DISCHARGE MDLU</t>
  </si>
  <si>
    <t>GUIDE 550.13.1388 MDLU</t>
  </si>
  <si>
    <t>Electroda Boot BRK &amp; Knob</t>
  </si>
  <si>
    <t>Insrt Cavity &amp; core Mold Orifice</t>
  </si>
  <si>
    <t>plug-modif pattern case A2</t>
  </si>
  <si>
    <t>INSERT CAVITY CORE MASK 2 - BC DNGA</t>
  </si>
  <si>
    <t>EL INSERT CORE 1_SEAT B SPRING TL6</t>
  </si>
  <si>
    <t>plug - Lever Sift Lock</t>
  </si>
  <si>
    <t>electroda - Knob Cover</t>
  </si>
  <si>
    <t>Gouge Disc Front D74A &amp; D20N</t>
  </si>
  <si>
    <t>Electroda Guide Ball _El Cav Modif 1</t>
  </si>
  <si>
    <t>Mold Lider Bush - Cb Diff Cage A7119 &amp; B9130</t>
  </si>
  <si>
    <t>Electroda_Mold Orifice</t>
  </si>
  <si>
    <t>Electroda _Orifice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</si>
</sst>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164" formatCode="_-&quot;Rp&quot;* #,##0_-;\-&quot;Rp&quot;* #,##0_-;_-&quot;Rp&quot;* &quot;-&quot;_-;_-@_-"/>
    <numFmt numFmtId="165" formatCode="dd/mm/yyyy;@"/>
    <numFmt numFmtId="166" formatCode="[$-421]dd\ mmmm\ yyyy;@"/>
    <numFmt numFmtId="167" formatCode="_-[$Rp-421]* #,##0_-;\-[$Rp-421]* #,##0_-;_-[$Rp-421]* &quot;-&quot;_-;_-@_-"/>
    <numFmt numFmtId="168" formatCode="_-[$Rp-421]* #,##0.00_ ;_-[$Rp-421]* \-#,##0.00\ ;_-[$Rp-421]* &quot;-&quot;??_ ;_-@_ "/>
    <numFmt numFmtId="169" formatCode="_([$Rp-421]* #,##0_);_([$Rp-421]* \(#,##0\);_([$Rp-421]* &quot;-&quot;_);_(@_)"/>
    <numFmt numFmtId="170" formatCode="_-[$Rp-421]* #,##0_ ;_-[$Rp-421]* \-#,##0\ ;_-[$Rp-421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theme="1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7" fontId="0" fillId="0" borderId="0" xfId="0" applyNumberFormat="1" applyAlignment="1">
      <alignment horizontal="left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/>
    <xf numFmtId="0" fontId="4" fillId="0" borderId="9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5" fillId="0" borderId="8" xfId="0" applyFont="1" applyBorder="1" applyAlignment="1">
      <alignment vertical="center"/>
    </xf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0" fillId="0" borderId="14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6" xfId="0" applyBorder="1" applyAlignment="1">
      <alignment horizontal="left"/>
    </xf>
    <xf numFmtId="17" fontId="0" fillId="0" borderId="3" xfId="0" applyNumberFormat="1" applyBorder="1" applyAlignment="1">
      <alignment horizontal="left"/>
    </xf>
    <xf numFmtId="0" fontId="0" fillId="0" borderId="6" xfId="0" applyBorder="1"/>
    <xf numFmtId="15" fontId="0" fillId="0" borderId="13" xfId="0" applyNumberFormat="1" applyBorder="1"/>
    <xf numFmtId="0" fontId="5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left"/>
    </xf>
    <xf numFmtId="166" fontId="0" fillId="0" borderId="0" xfId="0" applyNumberFormat="1"/>
    <xf numFmtId="166" fontId="2" fillId="0" borderId="1" xfId="0" applyNumberFormat="1" applyFont="1" applyBorder="1" applyAlignment="1">
      <alignment horizontal="center" vertical="center"/>
    </xf>
    <xf numFmtId="15" fontId="0" fillId="0" borderId="4" xfId="0" applyNumberFormat="1" applyBorder="1"/>
    <xf numFmtId="15" fontId="0" fillId="0" borderId="14" xfId="0" applyNumberFormat="1" applyBorder="1"/>
    <xf numFmtId="15" fontId="0" fillId="0" borderId="9" xfId="0" applyNumberFormat="1" applyBorder="1"/>
    <xf numFmtId="0" fontId="3" fillId="0" borderId="1" xfId="0" applyFont="1" applyBorder="1" applyAlignment="1">
      <alignment horizontal="center" vertical="center"/>
    </xf>
    <xf numFmtId="49" fontId="0" fillId="0" borderId="9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" fontId="0" fillId="0" borderId="9" xfId="0" applyNumberForma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7" fontId="7" fillId="3" borderId="1" xfId="0" applyNumberFormat="1" applyFont="1" applyFill="1" applyBorder="1"/>
    <xf numFmtId="167" fontId="7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15" fontId="0" fillId="0" borderId="13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66" fontId="0" fillId="5" borderId="0" xfId="0" applyNumberFormat="1" applyFill="1"/>
    <xf numFmtId="0" fontId="7" fillId="0" borderId="0" xfId="0" applyFont="1"/>
    <xf numFmtId="0" fontId="0" fillId="5" borderId="0" xfId="0" applyFill="1" applyAlignment="1">
      <alignment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166" fontId="0" fillId="0" borderId="6" xfId="0" applyNumberFormat="1" applyBorder="1" applyAlignment="1">
      <alignment horizontal="center" vertical="center"/>
    </xf>
    <xf numFmtId="166" fontId="0" fillId="0" borderId="6" xfId="0" applyNumberFormat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7" fillId="0" borderId="13" xfId="0" applyFont="1" applyBorder="1" applyAlignment="1">
      <alignment wrapText="1"/>
    </xf>
    <xf numFmtId="0" fontId="7" fillId="0" borderId="13" xfId="0" applyFont="1" applyBorder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5" borderId="0" xfId="0" applyFill="1" applyAlignment="1">
      <alignment vertical="center"/>
    </xf>
    <xf numFmtId="14" fontId="0" fillId="0" borderId="0" xfId="0" applyNumberFormat="1"/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4" fontId="0" fillId="5" borderId="0" xfId="0" applyNumberFormat="1" applyFill="1"/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" fillId="5" borderId="0" xfId="0" applyFont="1" applyFill="1" applyAlignment="1">
      <alignment horizontal="center" vertical="center"/>
    </xf>
    <xf numFmtId="166" fontId="0" fillId="5" borderId="0" xfId="0" applyNumberFormat="1" applyFill="1" applyAlignment="1">
      <alignment vertical="center"/>
    </xf>
    <xf numFmtId="0" fontId="7" fillId="3" borderId="14" xfId="0" applyFont="1" applyFill="1" applyBorder="1" applyAlignment="1">
      <alignment horizontal="center"/>
    </xf>
    <xf numFmtId="164" fontId="0" fillId="0" borderId="14" xfId="0" applyNumberFormat="1" applyBorder="1"/>
    <xf numFmtId="167" fontId="7" fillId="0" borderId="0" xfId="0" applyNumberFormat="1" applyFont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  <xf numFmtId="0" fontId="0" fillId="0" borderId="6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167" fontId="7" fillId="2" borderId="1" xfId="0" applyNumberFormat="1" applyFont="1" applyFill="1" applyBorder="1"/>
    <xf numFmtId="0" fontId="7" fillId="2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/>
    <xf numFmtId="0" fontId="7" fillId="8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168" fontId="7" fillId="3" borderId="1" xfId="0" applyNumberFormat="1" applyFont="1" applyFill="1" applyBorder="1"/>
    <xf numFmtId="168" fontId="0" fillId="0" borderId="1" xfId="0" applyNumberFormat="1" applyBorder="1"/>
    <xf numFmtId="168" fontId="7" fillId="8" borderId="1" xfId="0" applyNumberFormat="1" applyFont="1" applyFill="1" applyBorder="1"/>
    <xf numFmtId="0" fontId="0" fillId="0" borderId="6" xfId="0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67" fontId="7" fillId="0" borderId="1" xfId="0" applyNumberFormat="1" applyFont="1" applyBorder="1"/>
    <xf numFmtId="168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166" fontId="0" fillId="0" borderId="6" xfId="0" applyNumberFormat="1" applyBorder="1" applyAlignment="1">
      <alignment vertical="center" wrapText="1"/>
    </xf>
    <xf numFmtId="42" fontId="0" fillId="0" borderId="1" xfId="0" applyNumberFormat="1" applyBorder="1"/>
    <xf numFmtId="169" fontId="0" fillId="0" borderId="1" xfId="0" applyNumberFormat="1" applyBorder="1"/>
    <xf numFmtId="0" fontId="0" fillId="0" borderId="3" xfId="0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167" fontId="7" fillId="2" borderId="3" xfId="0" applyNumberFormat="1" applyFont="1" applyFill="1" applyBorder="1"/>
    <xf numFmtId="167" fontId="7" fillId="3" borderId="14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wrapText="1"/>
    </xf>
    <xf numFmtId="0" fontId="7" fillId="4" borderId="0" xfId="0" applyFont="1" applyFill="1" applyAlignment="1">
      <alignment horizontal="center"/>
    </xf>
    <xf numFmtId="168" fontId="7" fillId="4" borderId="0" xfId="0" applyNumberFormat="1" applyFont="1" applyFill="1"/>
    <xf numFmtId="42" fontId="0" fillId="0" borderId="1" xfId="0" applyNumberFormat="1" applyBorder="1" applyAlignment="1">
      <alignment horizontal="left"/>
    </xf>
    <xf numFmtId="42" fontId="0" fillId="0" borderId="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 wrapText="1"/>
    </xf>
    <xf numFmtId="167" fontId="0" fillId="0" borderId="1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7" xfId="0" applyBorder="1" applyAlignment="1">
      <alignment vertical="center"/>
    </xf>
    <xf numFmtId="0" fontId="0" fillId="0" borderId="13" xfId="0" applyBorder="1" applyAlignment="1">
      <alignment vertical="center"/>
    </xf>
    <xf numFmtId="15" fontId="0" fillId="0" borderId="1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vertical="center"/>
    </xf>
    <xf numFmtId="49" fontId="0" fillId="0" borderId="9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10" xfId="0" applyBorder="1" applyAlignment="1">
      <alignment horizontal="center" vertical="center"/>
    </xf>
    <xf numFmtId="49" fontId="0" fillId="0" borderId="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7" fontId="0" fillId="5" borderId="0" xfId="0" applyNumberFormat="1" applyFill="1" applyAlignment="1">
      <alignment vertical="center"/>
    </xf>
    <xf numFmtId="0" fontId="2" fillId="0" borderId="0" xfId="0" applyFont="1" applyAlignment="1">
      <alignment vertical="center"/>
    </xf>
    <xf numFmtId="0" fontId="0" fillId="7" borderId="1" xfId="0" applyFill="1" applyBorder="1" applyAlignment="1">
      <alignment vertical="center"/>
    </xf>
    <xf numFmtId="167" fontId="7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167" fontId="7" fillId="2" borderId="1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170" fontId="0" fillId="0" borderId="1" xfId="0" applyNumberFormat="1" applyBorder="1" applyAlignment="1">
      <alignment wrapText="1"/>
    </xf>
    <xf numFmtId="170" fontId="7" fillId="3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9" xfId="0" applyNumberFormat="1" applyFont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167" fontId="0" fillId="0" borderId="1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15" xfId="0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0" fillId="0" borderId="3" xfId="0" applyBorder="1"/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1</xdr:row>
          <xdr:rowOff>57150</xdr:rowOff>
        </xdr:from>
        <xdr:to>
          <xdr:col>1</xdr:col>
          <xdr:colOff>1000125</xdr:colOff>
          <xdr:row>5</xdr:row>
          <xdr:rowOff>161925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63489" name="Object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1</xdr:row>
          <xdr:rowOff>47625</xdr:rowOff>
        </xdr:from>
        <xdr:to>
          <xdr:col>2</xdr:col>
          <xdr:colOff>0</xdr:colOff>
          <xdr:row>5</xdr:row>
          <xdr:rowOff>142875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83969" name="Object 1" hidden="1">
              <a:extLst>
                <a:ext uri="{63B3BB69-23CF-44E3-9099-C40C66FF867C}">
                  <a14:compatExt spid="_x0000_s83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2</xdr:col>
          <xdr:colOff>0</xdr:colOff>
          <xdr:row>1</xdr:row>
          <xdr:rowOff>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</xdr:row>
          <xdr:rowOff>66675</xdr:rowOff>
        </xdr:from>
        <xdr:to>
          <xdr:col>1</xdr:col>
          <xdr:colOff>1019175</xdr:colOff>
          <xdr:row>5</xdr:row>
          <xdr:rowOff>123825</xdr:rowOff>
        </xdr:to>
        <xdr:sp macro="" textlink="">
          <xdr:nvSpPr>
            <xdr:cNvPr id="26626" name="Object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2</xdr:col>
          <xdr:colOff>0</xdr:colOff>
          <xdr:row>1</xdr:row>
          <xdr:rowOff>0</xdr:rowOff>
        </xdr:to>
        <xdr:sp macro="" textlink="">
          <xdr:nvSpPr>
            <xdr:cNvPr id="77825" name="Object 1" hidden="1">
              <a:extLst>
                <a:ext uri="{63B3BB69-23CF-44E3-9099-C40C66FF867C}">
                  <a14:compatExt spid="_x0000_s77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77829" name="Object 5" hidden="1">
              <a:extLst>
                <a:ext uri="{63B3BB69-23CF-44E3-9099-C40C66FF867C}">
                  <a14:compatExt spid="_x0000_s77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1</xdr:row>
          <xdr:rowOff>57150</xdr:rowOff>
        </xdr:from>
        <xdr:to>
          <xdr:col>1</xdr:col>
          <xdr:colOff>1066800</xdr:colOff>
          <xdr:row>5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</xdr:row>
          <xdr:rowOff>104775</xdr:rowOff>
        </xdr:from>
        <xdr:to>
          <xdr:col>1</xdr:col>
          <xdr:colOff>1009650</xdr:colOff>
          <xdr:row>5</xdr:row>
          <xdr:rowOff>114300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66675</xdr:rowOff>
        </xdr:from>
        <xdr:to>
          <xdr:col>1</xdr:col>
          <xdr:colOff>1066800</xdr:colOff>
          <xdr:row>5</xdr:row>
          <xdr:rowOff>152400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1</xdr:row>
          <xdr:rowOff>57150</xdr:rowOff>
        </xdr:from>
        <xdr:to>
          <xdr:col>1</xdr:col>
          <xdr:colOff>1057275</xdr:colOff>
          <xdr:row>5</xdr:row>
          <xdr:rowOff>133350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0</xdr:col>
          <xdr:colOff>0</xdr:colOff>
          <xdr:row>6</xdr:row>
          <xdr:rowOff>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0</xdr:col>
          <xdr:colOff>0</xdr:colOff>
          <xdr:row>6</xdr:row>
          <xdr:rowOff>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0</xdr:col>
          <xdr:colOff>0</xdr:colOff>
          <xdr:row>6</xdr:row>
          <xdr:rowOff>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76200</xdr:rowOff>
        </xdr:from>
        <xdr:to>
          <xdr:col>0</xdr:col>
          <xdr:colOff>0</xdr:colOff>
          <xdr:row>5</xdr:row>
          <xdr:rowOff>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1</xdr:row>
          <xdr:rowOff>66675</xdr:rowOff>
        </xdr:from>
        <xdr:to>
          <xdr:col>1</xdr:col>
          <xdr:colOff>1104900</xdr:colOff>
          <xdr:row>5</xdr:row>
          <xdr:rowOff>123825</xdr:rowOff>
        </xdr:to>
        <xdr:sp macro="" textlink="">
          <xdr:nvSpPr>
            <xdr:cNvPr id="13318" name="Object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11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Relationship Id="rId9" Type="http://schemas.openxmlformats.org/officeDocument/2006/relationships/oleObject" Target="../embeddings/oleObject1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mments" Target="../comments4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oleObject2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7" Type="http://schemas.openxmlformats.org/officeDocument/2006/relationships/comments" Target="../comments5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oleObject" Target="../embeddings/oleObject2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14"/>
  <sheetViews>
    <sheetView zoomScale="84" zoomScaleNormal="84" workbookViewId="0">
      <selection activeCell="C8" sqref="C8"/>
    </sheetView>
  </sheetViews>
  <sheetFormatPr defaultRowHeight="15" x14ac:dyDescent="0.25"/>
  <cols>
    <col min="1" max="1" width="3.7109375" customWidth="1"/>
    <col min="2" max="2" width="16.5703125" customWidth="1"/>
    <col min="3" max="5" width="6.28515625" customWidth="1"/>
    <col min="6" max="6" width="11.140625" customWidth="1"/>
    <col min="7" max="7" width="10.42578125" customWidth="1"/>
    <col min="8" max="8" width="9.28515625" customWidth="1"/>
    <col min="9" max="9" width="8.85546875" customWidth="1"/>
    <col min="10" max="10" width="9" customWidth="1"/>
    <col min="11" max="11" width="17" customWidth="1"/>
    <col min="12" max="12" width="17.5703125" customWidth="1"/>
    <col min="13" max="13" width="15" style="76" customWidth="1"/>
    <col min="14" max="14" width="14.140625" style="76" customWidth="1"/>
  </cols>
  <sheetData>
    <row r="1" spans="1:14" ht="15" customHeight="1" x14ac:dyDescent="0.25">
      <c r="H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7"/>
      <c r="H2" s="47" t="s">
        <v>96</v>
      </c>
      <c r="I2" s="47" t="s">
        <v>97</v>
      </c>
      <c r="J2" s="38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6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35"/>
    </row>
    <row r="5" spans="1:14" ht="15" customHeight="1" x14ac:dyDescent="0.25">
      <c r="A5" s="34"/>
      <c r="C5" s="257"/>
      <c r="D5" s="258"/>
      <c r="E5" s="259"/>
      <c r="F5" s="37"/>
      <c r="G5" s="27"/>
      <c r="H5" s="23"/>
      <c r="I5" s="23"/>
      <c r="J5" s="35"/>
    </row>
    <row r="6" spans="1:14" ht="15" customHeight="1" x14ac:dyDescent="0.25">
      <c r="A6" s="27"/>
      <c r="B6" s="12"/>
      <c r="C6" s="248"/>
      <c r="D6" s="250"/>
      <c r="E6" s="249"/>
      <c r="F6" s="36"/>
      <c r="G6" s="46"/>
      <c r="H6" s="41"/>
      <c r="I6" s="41"/>
      <c r="J6" s="49"/>
    </row>
    <row r="7" spans="1:14" ht="15" customHeight="1" x14ac:dyDescent="0.25">
      <c r="A7" s="42" t="s">
        <v>47</v>
      </c>
      <c r="B7" s="7"/>
      <c r="C7" s="34" t="s">
        <v>102</v>
      </c>
      <c r="F7" s="28"/>
      <c r="G7" s="29"/>
      <c r="J7" s="35"/>
    </row>
    <row r="8" spans="1:14" ht="15" customHeight="1" x14ac:dyDescent="0.25">
      <c r="A8" s="42" t="s">
        <v>63</v>
      </c>
      <c r="B8" s="43"/>
      <c r="C8" s="61" t="s">
        <v>247</v>
      </c>
      <c r="D8" s="62"/>
      <c r="E8" s="62"/>
      <c r="G8" s="11"/>
      <c r="H8" s="15"/>
      <c r="I8" s="8"/>
      <c r="J8" s="30"/>
    </row>
    <row r="9" spans="1:14" ht="15" customHeight="1" x14ac:dyDescent="0.25">
      <c r="A9" s="44" t="s">
        <v>62</v>
      </c>
      <c r="B9" s="43"/>
      <c r="C9" s="71" t="s">
        <v>103</v>
      </c>
      <c r="D9" s="15"/>
      <c r="E9" s="15"/>
      <c r="F9" s="10"/>
      <c r="G9" s="12"/>
      <c r="H9" s="12"/>
      <c r="I9" s="10"/>
      <c r="J9" s="31"/>
    </row>
    <row r="10" spans="1:14" ht="15" customHeight="1" x14ac:dyDescent="0.25">
      <c r="A10" s="1" t="s">
        <v>38</v>
      </c>
      <c r="B10" s="24" t="s">
        <v>46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77" t="s">
        <v>156</v>
      </c>
      <c r="N10" s="77" t="s">
        <v>157</v>
      </c>
    </row>
    <row r="11" spans="1:14" x14ac:dyDescent="0.25">
      <c r="A11" s="2">
        <v>1</v>
      </c>
      <c r="B11" s="63" t="s">
        <v>17</v>
      </c>
      <c r="C11" s="69">
        <v>31</v>
      </c>
      <c r="D11" s="70">
        <v>41</v>
      </c>
      <c r="E11" s="70">
        <v>157</v>
      </c>
      <c r="F11" s="248" t="s">
        <v>6</v>
      </c>
      <c r="G11" s="249"/>
      <c r="H11" s="3">
        <v>1</v>
      </c>
      <c r="I11" s="3"/>
      <c r="J11" s="3">
        <f>H11-I11</f>
        <v>1</v>
      </c>
      <c r="K11" s="2"/>
      <c r="L11" s="18"/>
      <c r="M11" s="78">
        <f>(C11*D11*E11)*7.9/1000000*139917</f>
        <v>220568.13903210001</v>
      </c>
      <c r="N11" s="78">
        <f>M11*J11</f>
        <v>220568.13903210001</v>
      </c>
    </row>
    <row r="12" spans="1:14" x14ac:dyDescent="0.25">
      <c r="A12" s="2">
        <v>2</v>
      </c>
      <c r="B12" s="3" t="s">
        <v>17</v>
      </c>
      <c r="C12" s="4">
        <v>32</v>
      </c>
      <c r="D12" s="65">
        <v>151</v>
      </c>
      <c r="E12" s="65">
        <v>157</v>
      </c>
      <c r="F12" s="248" t="s">
        <v>4</v>
      </c>
      <c r="G12" s="249"/>
      <c r="H12" s="3">
        <v>1</v>
      </c>
      <c r="I12" s="3"/>
      <c r="J12" s="3">
        <f t="shared" ref="J12:J13" si="0">H12-I12</f>
        <v>1</v>
      </c>
      <c r="K12" s="2"/>
      <c r="L12" s="18"/>
      <c r="M12" s="78">
        <f>(C12*D12*E12)*7.9/1000000*139917</f>
        <v>838540.71424320003</v>
      </c>
      <c r="N12" s="78">
        <f t="shared" ref="N12:N13" si="1">M12*J12</f>
        <v>838540.71424320003</v>
      </c>
    </row>
    <row r="13" spans="1:14" x14ac:dyDescent="0.25">
      <c r="A13" s="2">
        <v>3</v>
      </c>
      <c r="B13" s="3" t="s">
        <v>18</v>
      </c>
      <c r="C13" s="4">
        <v>21</v>
      </c>
      <c r="D13" s="4">
        <v>40</v>
      </c>
      <c r="E13" s="4">
        <v>96</v>
      </c>
      <c r="F13" s="248" t="s">
        <v>6</v>
      </c>
      <c r="G13" s="249"/>
      <c r="H13" s="3">
        <v>1</v>
      </c>
      <c r="I13" s="3"/>
      <c r="J13" s="3">
        <f t="shared" si="0"/>
        <v>1</v>
      </c>
      <c r="K13" s="2"/>
      <c r="L13" s="18"/>
      <c r="M13" s="78">
        <f t="shared" ref="M13" si="2">(C13*D13*E13)*7.9/1000000*176091</f>
        <v>112179.828096</v>
      </c>
      <c r="N13" s="78">
        <f t="shared" si="1"/>
        <v>112179.828096</v>
      </c>
    </row>
    <row r="14" spans="1:14" x14ac:dyDescent="0.25">
      <c r="M14" s="87" t="s">
        <v>158</v>
      </c>
      <c r="N14" s="87">
        <f>SUM(N11:N13)</f>
        <v>1171288.6813713</v>
      </c>
    </row>
  </sheetData>
  <mergeCells count="8">
    <mergeCell ref="F12:G12"/>
    <mergeCell ref="F13:G13"/>
    <mergeCell ref="C2:E2"/>
    <mergeCell ref="C3:E5"/>
    <mergeCell ref="C6:E6"/>
    <mergeCell ref="F10:G10"/>
    <mergeCell ref="F11:G11"/>
    <mergeCell ref="C10:E10"/>
  </mergeCells>
  <pageMargins left="0.70866141732283472" right="0.70866141732283472" top="0.74803149606299213" bottom="0.74803149606299213" header="0.31496062992125984" footer="0.31496062992125984"/>
  <pageSetup paperSize="9" orientation="portrait" horizontalDpi="4294967294" verticalDpi="300" r:id="rId1"/>
  <drawing r:id="rId2"/>
  <legacyDrawing r:id="rId3"/>
  <oleObjects>
    <mc:AlternateContent xmlns:mc="http://schemas.openxmlformats.org/markup-compatibility/2006">
      <mc:Choice Requires="x14">
        <oleObject progId="PBrush" shapeId="1029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1029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O24"/>
  <sheetViews>
    <sheetView zoomScale="84" zoomScaleNormal="84" workbookViewId="0">
      <selection activeCell="C9" sqref="C9"/>
    </sheetView>
  </sheetViews>
  <sheetFormatPr defaultRowHeight="15" x14ac:dyDescent="0.25"/>
  <cols>
    <col min="1" max="1" width="4.42578125" customWidth="1"/>
    <col min="2" max="2" width="16.5703125" customWidth="1"/>
    <col min="3" max="5" width="6.28515625" customWidth="1"/>
    <col min="6" max="6" width="10.42578125" customWidth="1"/>
    <col min="7" max="7" width="10" customWidth="1"/>
    <col min="8" max="8" width="9.5703125" customWidth="1"/>
    <col min="9" max="9" width="8.42578125" customWidth="1"/>
    <col min="10" max="10" width="9.140625" customWidth="1"/>
    <col min="11" max="11" width="5.7109375" hidden="1" customWidth="1"/>
    <col min="12" max="12" width="18.5703125" customWidth="1"/>
    <col min="13" max="13" width="19.28515625" customWidth="1"/>
    <col min="14" max="14" width="19.140625" customWidth="1"/>
    <col min="15" max="15" width="21.85546875" customWidth="1"/>
  </cols>
  <sheetData>
    <row r="1" spans="1:15" ht="15" customHeight="1" x14ac:dyDescent="0.25">
      <c r="H1" s="11" t="s">
        <v>93</v>
      </c>
    </row>
    <row r="2" spans="1:15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47" t="s">
        <v>97</v>
      </c>
      <c r="J2" s="38" t="s">
        <v>98</v>
      </c>
    </row>
    <row r="3" spans="1:15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5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5" ht="15" customHeight="1" x14ac:dyDescent="0.25">
      <c r="A5" s="34"/>
      <c r="C5" s="257"/>
      <c r="D5" s="258"/>
      <c r="E5" s="259"/>
      <c r="F5" s="37"/>
      <c r="G5" s="27"/>
      <c r="H5" s="39"/>
      <c r="I5" s="39"/>
      <c r="J5" s="39"/>
    </row>
    <row r="6" spans="1:15" ht="15" customHeight="1" x14ac:dyDescent="0.25">
      <c r="A6" s="27"/>
      <c r="B6" s="12"/>
      <c r="C6" s="248"/>
      <c r="D6" s="250"/>
      <c r="E6" s="249"/>
      <c r="F6" s="49"/>
      <c r="G6" s="40"/>
      <c r="H6" s="48"/>
      <c r="I6" s="48"/>
      <c r="J6" s="48"/>
    </row>
    <row r="7" spans="1:15" ht="15" customHeight="1" x14ac:dyDescent="0.25">
      <c r="A7" s="25" t="s">
        <v>47</v>
      </c>
      <c r="B7" s="26"/>
      <c r="C7" t="s">
        <v>14</v>
      </c>
      <c r="F7" s="28"/>
      <c r="G7" s="28"/>
      <c r="H7" s="28"/>
      <c r="I7" s="28"/>
      <c r="J7" s="26"/>
    </row>
    <row r="8" spans="1:15" ht="15" customHeight="1" x14ac:dyDescent="0.25">
      <c r="A8" s="42" t="s">
        <v>63</v>
      </c>
      <c r="B8" s="51"/>
      <c r="C8" s="62" t="s">
        <v>248</v>
      </c>
      <c r="D8" s="62"/>
      <c r="E8" s="62"/>
      <c r="F8" s="11"/>
      <c r="I8" s="8"/>
      <c r="J8" s="30"/>
    </row>
    <row r="9" spans="1:15" ht="15" customHeight="1" x14ac:dyDescent="0.25">
      <c r="A9" s="27" t="s">
        <v>62</v>
      </c>
      <c r="B9" s="50"/>
      <c r="C9" t="s">
        <v>103</v>
      </c>
      <c r="F9" s="12"/>
      <c r="G9" s="12"/>
      <c r="H9" s="12"/>
      <c r="I9" s="10"/>
      <c r="J9" s="31"/>
    </row>
    <row r="10" spans="1:15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24" t="s">
        <v>41</v>
      </c>
      <c r="K10" s="53"/>
      <c r="L10" s="2" t="s">
        <v>110</v>
      </c>
      <c r="M10" s="1" t="s">
        <v>45</v>
      </c>
      <c r="N10" s="79" t="s">
        <v>156</v>
      </c>
      <c r="O10" s="79" t="s">
        <v>157</v>
      </c>
    </row>
    <row r="11" spans="1:15" x14ac:dyDescent="0.25">
      <c r="A11" s="2">
        <v>1</v>
      </c>
      <c r="B11" s="3" t="s">
        <v>10</v>
      </c>
      <c r="C11" s="73">
        <v>15</v>
      </c>
      <c r="D11" s="72">
        <v>120</v>
      </c>
      <c r="E11" s="72">
        <v>295</v>
      </c>
      <c r="F11" s="248" t="s">
        <v>14</v>
      </c>
      <c r="G11" s="249"/>
      <c r="H11" s="3">
        <v>3</v>
      </c>
      <c r="I11" s="3"/>
      <c r="J11" s="2">
        <f>H11-I11</f>
        <v>3</v>
      </c>
      <c r="K11" s="2"/>
      <c r="L11" s="18"/>
      <c r="M11" s="78"/>
      <c r="N11" s="80"/>
      <c r="O11" s="80">
        <f>N11*J11</f>
        <v>0</v>
      </c>
    </row>
    <row r="12" spans="1:15" x14ac:dyDescent="0.25">
      <c r="A12" s="2">
        <v>2</v>
      </c>
      <c r="B12" s="3" t="s">
        <v>10</v>
      </c>
      <c r="C12" s="3">
        <v>15</v>
      </c>
      <c r="D12" s="63">
        <v>120</v>
      </c>
      <c r="E12" s="63">
        <v>146</v>
      </c>
      <c r="F12" s="248" t="s">
        <v>6</v>
      </c>
      <c r="G12" s="249"/>
      <c r="H12" s="3">
        <v>1</v>
      </c>
      <c r="I12" s="3"/>
      <c r="J12" s="2">
        <f t="shared" ref="J12" si="0">H12-I12</f>
        <v>1</v>
      </c>
      <c r="K12" s="52"/>
      <c r="L12" s="52"/>
      <c r="M12" s="78"/>
      <c r="N12" s="78"/>
      <c r="O12" s="80">
        <f t="shared" ref="O12:O23" si="1">N12*J12</f>
        <v>0</v>
      </c>
    </row>
    <row r="13" spans="1:15" x14ac:dyDescent="0.25">
      <c r="A13" s="138">
        <v>3</v>
      </c>
      <c r="B13" s="3" t="s">
        <v>10</v>
      </c>
      <c r="C13" s="4">
        <v>10</v>
      </c>
      <c r="D13" s="65">
        <v>122</v>
      </c>
      <c r="E13" s="65">
        <v>218</v>
      </c>
      <c r="F13" s="248" t="s">
        <v>132</v>
      </c>
      <c r="G13" s="249"/>
      <c r="H13" s="3">
        <v>2</v>
      </c>
      <c r="I13" s="1"/>
      <c r="J13" s="9">
        <f t="shared" ref="J13:J23" si="2">H13-I13</f>
        <v>2</v>
      </c>
      <c r="K13" s="1"/>
      <c r="L13" s="20"/>
      <c r="M13" s="2"/>
      <c r="N13" s="2"/>
      <c r="O13" s="80">
        <f t="shared" si="1"/>
        <v>0</v>
      </c>
    </row>
    <row r="14" spans="1:15" x14ac:dyDescent="0.25">
      <c r="A14" s="138">
        <v>4</v>
      </c>
      <c r="B14" s="3" t="s">
        <v>10</v>
      </c>
      <c r="C14" s="4">
        <v>54.5</v>
      </c>
      <c r="D14" s="65">
        <v>110</v>
      </c>
      <c r="E14" s="65">
        <v>185</v>
      </c>
      <c r="F14" s="248" t="s">
        <v>131</v>
      </c>
      <c r="G14" s="249"/>
      <c r="H14" s="3">
        <v>1</v>
      </c>
      <c r="I14" s="1"/>
      <c r="J14" s="9">
        <f t="shared" si="2"/>
        <v>1</v>
      </c>
      <c r="K14" s="1"/>
      <c r="L14" s="20"/>
      <c r="M14" s="2"/>
      <c r="N14" s="2"/>
      <c r="O14" s="80">
        <f t="shared" si="1"/>
        <v>0</v>
      </c>
    </row>
    <row r="15" spans="1:15" x14ac:dyDescent="0.25">
      <c r="A15" s="138">
        <v>5</v>
      </c>
      <c r="B15" s="1" t="s">
        <v>10</v>
      </c>
      <c r="C15" s="69">
        <v>15</v>
      </c>
      <c r="D15" s="70">
        <v>128</v>
      </c>
      <c r="E15" s="70">
        <v>184</v>
      </c>
      <c r="F15" s="248" t="s">
        <v>118</v>
      </c>
      <c r="G15" s="249"/>
      <c r="H15" s="3">
        <v>1</v>
      </c>
      <c r="I15" s="3"/>
      <c r="J15" s="9">
        <f t="shared" si="2"/>
        <v>1</v>
      </c>
      <c r="K15" s="9"/>
      <c r="L15" s="21"/>
      <c r="M15" s="2"/>
      <c r="N15" s="2"/>
      <c r="O15" s="80">
        <f t="shared" si="1"/>
        <v>0</v>
      </c>
    </row>
    <row r="16" spans="1:15" x14ac:dyDescent="0.25">
      <c r="A16" s="138">
        <v>6</v>
      </c>
      <c r="B16" s="1" t="s">
        <v>10</v>
      </c>
      <c r="C16" s="4">
        <v>10.9</v>
      </c>
      <c r="D16" s="65">
        <v>121</v>
      </c>
      <c r="E16" s="65">
        <v>176</v>
      </c>
      <c r="F16" s="248" t="s">
        <v>10</v>
      </c>
      <c r="G16" s="249"/>
      <c r="H16" s="3">
        <v>1</v>
      </c>
      <c r="I16" s="3"/>
      <c r="J16" s="9">
        <f t="shared" si="2"/>
        <v>1</v>
      </c>
      <c r="K16" s="9"/>
      <c r="L16" s="21"/>
      <c r="M16" s="2"/>
      <c r="N16" s="2"/>
      <c r="O16" s="80">
        <f t="shared" si="1"/>
        <v>0</v>
      </c>
    </row>
    <row r="17" spans="1:15" x14ac:dyDescent="0.25">
      <c r="A17" s="138">
        <v>7</v>
      </c>
      <c r="B17" s="1" t="s">
        <v>10</v>
      </c>
      <c r="C17" s="4">
        <v>10.1</v>
      </c>
      <c r="D17" s="65">
        <v>212</v>
      </c>
      <c r="E17" s="65">
        <v>257</v>
      </c>
      <c r="F17" s="248" t="s">
        <v>10</v>
      </c>
      <c r="G17" s="249"/>
      <c r="H17" s="3">
        <v>1</v>
      </c>
      <c r="I17" s="3"/>
      <c r="J17" s="9">
        <f t="shared" si="2"/>
        <v>1</v>
      </c>
      <c r="K17" s="9"/>
      <c r="L17" s="21"/>
      <c r="M17" s="2"/>
      <c r="N17" s="2"/>
      <c r="O17" s="80">
        <f t="shared" si="1"/>
        <v>0</v>
      </c>
    </row>
    <row r="18" spans="1:15" x14ac:dyDescent="0.25">
      <c r="A18" s="138">
        <v>8</v>
      </c>
      <c r="B18" s="1" t="s">
        <v>10</v>
      </c>
      <c r="C18" s="4">
        <v>18</v>
      </c>
      <c r="D18" s="4">
        <v>78</v>
      </c>
      <c r="E18" s="4">
        <v>80.5</v>
      </c>
      <c r="F18" s="248" t="s">
        <v>10</v>
      </c>
      <c r="G18" s="249"/>
      <c r="H18" s="3">
        <v>1</v>
      </c>
      <c r="I18" s="3"/>
      <c r="J18" s="9">
        <f t="shared" si="2"/>
        <v>1</v>
      </c>
      <c r="K18" s="9"/>
      <c r="L18" s="21"/>
      <c r="M18" s="2"/>
      <c r="N18" s="2"/>
      <c r="O18" s="80">
        <f t="shared" si="1"/>
        <v>0</v>
      </c>
    </row>
    <row r="19" spans="1:15" x14ac:dyDescent="0.25">
      <c r="A19" s="138">
        <v>9</v>
      </c>
      <c r="B19" s="1" t="s">
        <v>10</v>
      </c>
      <c r="C19" s="4">
        <v>21</v>
      </c>
      <c r="D19" s="4">
        <v>142</v>
      </c>
      <c r="E19" s="4">
        <v>456</v>
      </c>
      <c r="F19" s="248" t="s">
        <v>10</v>
      </c>
      <c r="G19" s="249"/>
      <c r="H19" s="3">
        <v>1</v>
      </c>
      <c r="I19" s="3"/>
      <c r="J19" s="9">
        <f t="shared" si="2"/>
        <v>1</v>
      </c>
      <c r="K19" s="9"/>
      <c r="L19" s="21"/>
      <c r="M19" s="2"/>
      <c r="N19" s="2"/>
      <c r="O19" s="80">
        <f t="shared" si="1"/>
        <v>0</v>
      </c>
    </row>
    <row r="20" spans="1:15" x14ac:dyDescent="0.25">
      <c r="A20" s="138">
        <v>10</v>
      </c>
      <c r="B20" s="1" t="s">
        <v>10</v>
      </c>
      <c r="C20" s="4">
        <v>142</v>
      </c>
      <c r="D20" s="4">
        <v>120</v>
      </c>
      <c r="E20" s="4">
        <v>50</v>
      </c>
      <c r="F20" s="248" t="s">
        <v>10</v>
      </c>
      <c r="G20" s="249"/>
      <c r="H20" s="3">
        <v>1</v>
      </c>
      <c r="I20" s="3"/>
      <c r="J20" s="9">
        <f t="shared" si="2"/>
        <v>1</v>
      </c>
      <c r="K20" s="9"/>
      <c r="L20" s="21"/>
      <c r="M20" s="2"/>
      <c r="N20" s="2"/>
      <c r="O20" s="80">
        <f t="shared" si="1"/>
        <v>0</v>
      </c>
    </row>
    <row r="21" spans="1:15" ht="34.5" customHeight="1" x14ac:dyDescent="0.25">
      <c r="A21" s="138">
        <v>11</v>
      </c>
      <c r="B21" s="1" t="s">
        <v>10</v>
      </c>
      <c r="C21" s="4">
        <v>55</v>
      </c>
      <c r="D21" s="4">
        <v>65.5</v>
      </c>
      <c r="E21" s="4">
        <v>70.5</v>
      </c>
      <c r="F21" s="262" t="s">
        <v>207</v>
      </c>
      <c r="G21" s="263"/>
      <c r="H21" s="3">
        <v>2</v>
      </c>
      <c r="I21" s="3"/>
      <c r="J21" s="9">
        <f t="shared" si="2"/>
        <v>2</v>
      </c>
      <c r="K21" s="9"/>
      <c r="L21" s="21"/>
      <c r="M21" s="2"/>
      <c r="N21" s="2"/>
      <c r="O21" s="80">
        <f t="shared" si="1"/>
        <v>0</v>
      </c>
    </row>
    <row r="22" spans="1:15" x14ac:dyDescent="0.25">
      <c r="A22" s="138">
        <v>12</v>
      </c>
      <c r="B22" s="1" t="s">
        <v>10</v>
      </c>
      <c r="C22" s="4">
        <v>110.5</v>
      </c>
      <c r="D22" s="4">
        <v>50.5</v>
      </c>
      <c r="E22" s="4">
        <v>45</v>
      </c>
      <c r="F22" s="248" t="s">
        <v>208</v>
      </c>
      <c r="G22" s="249"/>
      <c r="H22" s="3">
        <v>1</v>
      </c>
      <c r="I22" s="3"/>
      <c r="J22" s="9">
        <f t="shared" si="2"/>
        <v>1</v>
      </c>
      <c r="K22" s="9"/>
      <c r="L22" s="21"/>
      <c r="M22" s="2"/>
      <c r="N22" s="2"/>
      <c r="O22" s="80">
        <f t="shared" si="1"/>
        <v>0</v>
      </c>
    </row>
    <row r="23" spans="1:15" ht="36" customHeight="1" x14ac:dyDescent="0.25">
      <c r="A23" s="138">
        <v>13</v>
      </c>
      <c r="B23" s="1" t="s">
        <v>10</v>
      </c>
      <c r="C23" s="4">
        <v>50</v>
      </c>
      <c r="D23" s="4">
        <v>65.5</v>
      </c>
      <c r="E23" s="4">
        <v>100.5</v>
      </c>
      <c r="F23" s="275" t="s">
        <v>209</v>
      </c>
      <c r="G23" s="276"/>
      <c r="H23" s="3">
        <v>1</v>
      </c>
      <c r="I23" s="3"/>
      <c r="J23" s="9">
        <f t="shared" si="2"/>
        <v>1</v>
      </c>
      <c r="K23" s="9"/>
      <c r="L23" s="21"/>
      <c r="M23" s="2"/>
      <c r="N23" s="2"/>
      <c r="O23" s="80">
        <f t="shared" si="1"/>
        <v>0</v>
      </c>
    </row>
    <row r="24" spans="1:15" x14ac:dyDescent="0.25">
      <c r="N24" s="95" t="s">
        <v>158</v>
      </c>
      <c r="O24" s="96">
        <f>SUM(O11:O23)</f>
        <v>0</v>
      </c>
    </row>
  </sheetData>
  <mergeCells count="18">
    <mergeCell ref="F11:G11"/>
    <mergeCell ref="F12:G12"/>
    <mergeCell ref="C2:E2"/>
    <mergeCell ref="C3:E5"/>
    <mergeCell ref="C6:E6"/>
    <mergeCell ref="C10:E10"/>
    <mergeCell ref="F10:G10"/>
    <mergeCell ref="F13:G13"/>
    <mergeCell ref="F14:G14"/>
    <mergeCell ref="F15:G15"/>
    <mergeCell ref="F16:G16"/>
    <mergeCell ref="F17:G17"/>
    <mergeCell ref="F23:G23"/>
    <mergeCell ref="F18:G18"/>
    <mergeCell ref="F19:G19"/>
    <mergeCell ref="F20:G20"/>
    <mergeCell ref="F21:G21"/>
    <mergeCell ref="F22:G22"/>
  </mergeCells>
  <pageMargins left="0.7" right="0.7" top="0.75" bottom="0.75" header="0.3" footer="0.3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39937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3993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O17"/>
  <sheetViews>
    <sheetView zoomScale="82" zoomScaleNormal="82" workbookViewId="0">
      <selection activeCell="C9" sqref="C9"/>
    </sheetView>
  </sheetViews>
  <sheetFormatPr defaultRowHeight="15" x14ac:dyDescent="0.25"/>
  <cols>
    <col min="1" max="1" width="4.42578125" customWidth="1"/>
    <col min="2" max="2" width="17.28515625" customWidth="1"/>
    <col min="3" max="5" width="6.28515625" customWidth="1"/>
    <col min="6" max="6" width="10.42578125" customWidth="1"/>
    <col min="7" max="7" width="10" customWidth="1"/>
    <col min="8" max="8" width="9.5703125" customWidth="1"/>
    <col min="9" max="9" width="8.42578125" customWidth="1"/>
    <col min="10" max="10" width="9.140625" customWidth="1"/>
    <col min="11" max="11" width="5.7109375" hidden="1" customWidth="1"/>
    <col min="12" max="12" width="18.5703125" customWidth="1"/>
    <col min="13" max="13" width="19.28515625" customWidth="1"/>
    <col min="14" max="15" width="21.85546875" customWidth="1"/>
  </cols>
  <sheetData>
    <row r="1" spans="1:15" ht="15" customHeight="1" x14ac:dyDescent="0.25">
      <c r="H1" s="11" t="s">
        <v>93</v>
      </c>
    </row>
    <row r="2" spans="1:15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47" t="s">
        <v>97</v>
      </c>
      <c r="J2" s="38" t="s">
        <v>98</v>
      </c>
    </row>
    <row r="3" spans="1:15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5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5" ht="15" customHeight="1" x14ac:dyDescent="0.25">
      <c r="A5" s="34"/>
      <c r="C5" s="257"/>
      <c r="D5" s="258"/>
      <c r="E5" s="259"/>
      <c r="F5" s="37"/>
      <c r="G5" s="27"/>
      <c r="H5" s="39"/>
      <c r="I5" s="39"/>
      <c r="J5" s="39"/>
    </row>
    <row r="6" spans="1:15" ht="15" customHeight="1" x14ac:dyDescent="0.25">
      <c r="A6" s="27"/>
      <c r="B6" s="12"/>
      <c r="C6" s="248"/>
      <c r="D6" s="250"/>
      <c r="E6" s="249"/>
      <c r="F6" s="49"/>
      <c r="G6" s="40"/>
      <c r="H6" s="48"/>
      <c r="I6" s="48"/>
      <c r="J6" s="48"/>
    </row>
    <row r="7" spans="1:15" ht="15" customHeight="1" x14ac:dyDescent="0.25">
      <c r="A7" s="25" t="s">
        <v>47</v>
      </c>
      <c r="B7" s="26"/>
      <c r="C7" t="s">
        <v>114</v>
      </c>
      <c r="F7" s="28"/>
      <c r="G7" s="28"/>
      <c r="H7" s="28"/>
      <c r="I7" s="28"/>
      <c r="J7" s="26"/>
    </row>
    <row r="8" spans="1:15" ht="15" customHeight="1" x14ac:dyDescent="0.25">
      <c r="A8" s="42" t="s">
        <v>63</v>
      </c>
      <c r="B8" s="51"/>
      <c r="C8" s="62" t="s">
        <v>248</v>
      </c>
      <c r="D8" s="62"/>
      <c r="E8" s="62"/>
      <c r="F8" s="11"/>
      <c r="I8" s="8"/>
      <c r="J8" s="30"/>
    </row>
    <row r="9" spans="1:15" ht="15" customHeight="1" x14ac:dyDescent="0.25">
      <c r="A9" s="27" t="s">
        <v>62</v>
      </c>
      <c r="B9" s="50"/>
      <c r="C9" t="s">
        <v>103</v>
      </c>
      <c r="F9" s="12"/>
      <c r="G9" s="12"/>
      <c r="H9" s="12"/>
      <c r="I9" s="10"/>
      <c r="J9" s="31"/>
    </row>
    <row r="10" spans="1:15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24" t="s">
        <v>41</v>
      </c>
      <c r="K10" s="53"/>
      <c r="L10" s="2" t="s">
        <v>110</v>
      </c>
      <c r="M10" s="1" t="s">
        <v>45</v>
      </c>
      <c r="N10" s="79" t="s">
        <v>156</v>
      </c>
      <c r="O10" s="79" t="s">
        <v>157</v>
      </c>
    </row>
    <row r="11" spans="1:15" x14ac:dyDescent="0.25">
      <c r="A11" s="3">
        <v>1</v>
      </c>
      <c r="B11" s="3" t="s">
        <v>15</v>
      </c>
      <c r="C11" s="3">
        <v>38</v>
      </c>
      <c r="D11" s="63">
        <v>43</v>
      </c>
      <c r="E11" s="63">
        <v>57</v>
      </c>
      <c r="F11" s="248" t="s">
        <v>16</v>
      </c>
      <c r="G11" s="249"/>
      <c r="H11" s="3">
        <v>1</v>
      </c>
      <c r="I11" s="3"/>
      <c r="J11" s="3">
        <f t="shared" ref="J11:J16" si="0">H11-I11</f>
        <v>1</v>
      </c>
      <c r="K11" s="52"/>
      <c r="L11" s="52"/>
      <c r="M11" s="17"/>
      <c r="N11" s="78">
        <f t="shared" ref="N11:N16" si="1">(C11*D11*E11)*7.9/1000000*210000</f>
        <v>154515.94200000001</v>
      </c>
      <c r="O11" s="80">
        <f t="shared" ref="O11:O16" si="2">N11*J11</f>
        <v>154515.94200000001</v>
      </c>
    </row>
    <row r="12" spans="1:15" x14ac:dyDescent="0.25">
      <c r="A12" s="3">
        <v>2</v>
      </c>
      <c r="B12" s="3" t="s">
        <v>15</v>
      </c>
      <c r="C12" s="3">
        <v>25</v>
      </c>
      <c r="D12" s="63">
        <v>26</v>
      </c>
      <c r="E12" s="63">
        <v>207</v>
      </c>
      <c r="F12" s="248" t="s">
        <v>8</v>
      </c>
      <c r="G12" s="249"/>
      <c r="H12" s="3">
        <v>1</v>
      </c>
      <c r="I12" s="3"/>
      <c r="J12" s="3">
        <f t="shared" si="0"/>
        <v>1</v>
      </c>
      <c r="K12" s="52"/>
      <c r="L12" s="52"/>
      <c r="M12" s="17"/>
      <c r="N12" s="78">
        <f t="shared" si="1"/>
        <v>223218.45</v>
      </c>
      <c r="O12" s="80">
        <f t="shared" si="2"/>
        <v>223218.45</v>
      </c>
    </row>
    <row r="13" spans="1:15" x14ac:dyDescent="0.25">
      <c r="A13" s="3">
        <v>3</v>
      </c>
      <c r="B13" s="3" t="s">
        <v>15</v>
      </c>
      <c r="C13" s="3">
        <v>35</v>
      </c>
      <c r="D13" s="63">
        <v>167</v>
      </c>
      <c r="E13" s="63">
        <v>170</v>
      </c>
      <c r="F13" s="248" t="s">
        <v>122</v>
      </c>
      <c r="G13" s="249"/>
      <c r="H13" s="3">
        <v>1</v>
      </c>
      <c r="I13" s="3"/>
      <c r="J13" s="3">
        <f t="shared" si="0"/>
        <v>1</v>
      </c>
      <c r="K13" s="52"/>
      <c r="L13" s="52"/>
      <c r="M13" s="17"/>
      <c r="N13" s="78">
        <f t="shared" si="1"/>
        <v>1648465.3499999999</v>
      </c>
      <c r="O13" s="80">
        <f t="shared" si="2"/>
        <v>1648465.3499999999</v>
      </c>
    </row>
    <row r="14" spans="1:15" x14ac:dyDescent="0.25">
      <c r="A14" s="3">
        <v>4</v>
      </c>
      <c r="B14" s="3" t="s">
        <v>15</v>
      </c>
      <c r="C14" s="3">
        <v>30</v>
      </c>
      <c r="D14" s="63">
        <v>125</v>
      </c>
      <c r="E14" s="63">
        <v>148</v>
      </c>
      <c r="F14" s="248" t="s">
        <v>122</v>
      </c>
      <c r="G14" s="249"/>
      <c r="H14" s="3">
        <v>1</v>
      </c>
      <c r="I14" s="3"/>
      <c r="J14" s="3">
        <f t="shared" si="0"/>
        <v>1</v>
      </c>
      <c r="K14" s="52"/>
      <c r="L14" s="52"/>
      <c r="M14" s="17"/>
      <c r="N14" s="78">
        <f t="shared" si="1"/>
        <v>920745</v>
      </c>
      <c r="O14" s="80">
        <f t="shared" si="2"/>
        <v>920745</v>
      </c>
    </row>
    <row r="15" spans="1:15" x14ac:dyDescent="0.25">
      <c r="A15" s="3">
        <v>5</v>
      </c>
      <c r="B15" s="3" t="s">
        <v>15</v>
      </c>
      <c r="C15" s="3">
        <v>29</v>
      </c>
      <c r="D15" s="3">
        <v>42</v>
      </c>
      <c r="E15" s="3">
        <v>72</v>
      </c>
      <c r="F15" s="248" t="s">
        <v>6</v>
      </c>
      <c r="G15" s="249"/>
      <c r="H15" s="3">
        <v>1</v>
      </c>
      <c r="I15" s="3"/>
      <c r="J15" s="3">
        <f t="shared" si="0"/>
        <v>1</v>
      </c>
      <c r="K15" s="1"/>
      <c r="L15" s="1"/>
      <c r="M15" s="17"/>
      <c r="N15" s="78">
        <f t="shared" si="1"/>
        <v>145487.66400000002</v>
      </c>
      <c r="O15" s="80">
        <f t="shared" si="2"/>
        <v>145487.66400000002</v>
      </c>
    </row>
    <row r="16" spans="1:15" ht="27" customHeight="1" x14ac:dyDescent="0.25">
      <c r="A16" s="3">
        <v>6</v>
      </c>
      <c r="B16" s="3" t="s">
        <v>212</v>
      </c>
      <c r="C16" s="3">
        <v>42</v>
      </c>
      <c r="D16" s="3">
        <v>90</v>
      </c>
      <c r="E16" s="3">
        <v>90</v>
      </c>
      <c r="F16" s="268" t="s">
        <v>211</v>
      </c>
      <c r="G16" s="269"/>
      <c r="H16" s="3">
        <v>1</v>
      </c>
      <c r="I16" s="3"/>
      <c r="J16" s="3">
        <f t="shared" si="0"/>
        <v>1</v>
      </c>
      <c r="K16" s="1"/>
      <c r="L16" s="1"/>
      <c r="M16" s="17"/>
      <c r="N16" s="157">
        <f t="shared" si="1"/>
        <v>564391.80000000005</v>
      </c>
      <c r="O16" s="158">
        <f t="shared" si="2"/>
        <v>564391.80000000005</v>
      </c>
    </row>
    <row r="17" spans="14:15" x14ac:dyDescent="0.25">
      <c r="N17" s="93" t="s">
        <v>158</v>
      </c>
      <c r="O17" s="82">
        <f>SUM(O11:O16)</f>
        <v>3656824.2059999993</v>
      </c>
    </row>
  </sheetData>
  <mergeCells count="11">
    <mergeCell ref="F15:G15"/>
    <mergeCell ref="F16:G16"/>
    <mergeCell ref="F14:G14"/>
    <mergeCell ref="F12:G12"/>
    <mergeCell ref="C2:E2"/>
    <mergeCell ref="C3:E5"/>
    <mergeCell ref="C6:E6"/>
    <mergeCell ref="F13:G13"/>
    <mergeCell ref="C10:E10"/>
    <mergeCell ref="F10:G10"/>
    <mergeCell ref="F11:G11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13314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13314" r:id="rId4"/>
      </mc:Fallback>
    </mc:AlternateContent>
    <mc:AlternateContent xmlns:mc="http://schemas.openxmlformats.org/markup-compatibility/2006">
      <mc:Choice Requires="x14">
        <oleObject progId="PBrush" shapeId="13315" r:id="rId6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13315" r:id="rId6"/>
      </mc:Fallback>
    </mc:AlternateContent>
    <mc:AlternateContent xmlns:mc="http://schemas.openxmlformats.org/markup-compatibility/2006">
      <mc:Choice Requires="x14">
        <oleObject progId="PBrush" shapeId="13316" r:id="rId7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13316" r:id="rId7"/>
      </mc:Fallback>
    </mc:AlternateContent>
    <mc:AlternateContent xmlns:mc="http://schemas.openxmlformats.org/markup-compatibility/2006">
      <mc:Choice Requires="x14">
        <oleObject progId="PBrush" shapeId="13317" r:id="rId8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76200</xdr:rowOff>
              </from>
              <to>
                <xdr:col>0</xdr:col>
                <xdr:colOff>0</xdr:colOff>
                <xdr:row>5</xdr:row>
                <xdr:rowOff>0</xdr:rowOff>
              </to>
            </anchor>
          </objectPr>
        </oleObject>
      </mc:Choice>
      <mc:Fallback>
        <oleObject progId="PBrush" shapeId="13317" r:id="rId8"/>
      </mc:Fallback>
    </mc:AlternateContent>
    <mc:AlternateContent xmlns:mc="http://schemas.openxmlformats.org/markup-compatibility/2006">
      <mc:Choice Requires="x14">
        <oleObject progId="PBrush" shapeId="13318" r:id="rId9">
          <objectPr defaultSize="0" autoPict="0" r:id="rId5">
            <anchor moveWithCells="1" sizeWithCells="1">
              <from>
                <xdr:col>0</xdr:col>
                <xdr:colOff>85725</xdr:colOff>
                <xdr:row>1</xdr:row>
                <xdr:rowOff>66675</xdr:rowOff>
              </from>
              <to>
                <xdr:col>1</xdr:col>
                <xdr:colOff>1104900</xdr:colOff>
                <xdr:row>5</xdr:row>
                <xdr:rowOff>123825</xdr:rowOff>
              </to>
            </anchor>
          </objectPr>
        </oleObject>
      </mc:Choice>
      <mc:Fallback>
        <oleObject progId="PBrush" shapeId="13318" r:id="rId9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N43"/>
  <sheetViews>
    <sheetView zoomScale="80" zoomScaleNormal="80" workbookViewId="0">
      <selection activeCell="L17" sqref="L17"/>
    </sheetView>
  </sheetViews>
  <sheetFormatPr defaultRowHeight="15" x14ac:dyDescent="0.25"/>
  <cols>
    <col min="1" max="1" width="4.140625" customWidth="1"/>
    <col min="2" max="2" width="16.5703125" customWidth="1"/>
    <col min="3" max="5" width="6.28515625" customWidth="1"/>
    <col min="6" max="6" width="11.28515625" customWidth="1"/>
    <col min="7" max="7" width="10" customWidth="1"/>
    <col min="8" max="8" width="9" customWidth="1"/>
    <col min="9" max="9" width="8.28515625" customWidth="1"/>
    <col min="11" max="11" width="24" customWidth="1"/>
    <col min="12" max="12" width="19.42578125" style="55" customWidth="1"/>
    <col min="13" max="13" width="19" customWidth="1"/>
    <col min="14" max="14" width="18.42578125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3" t="s">
        <v>97</v>
      </c>
      <c r="J2" s="9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57"/>
      <c r="J3" s="22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59"/>
      <c r="I4" s="23"/>
      <c r="J4" s="35"/>
    </row>
    <row r="5" spans="1:14" ht="15" customHeight="1" x14ac:dyDescent="0.25">
      <c r="A5" s="34"/>
      <c r="C5" s="257"/>
      <c r="D5" s="258"/>
      <c r="E5" s="259"/>
      <c r="F5" s="37"/>
      <c r="G5" s="12"/>
      <c r="H5" s="58"/>
      <c r="I5" s="39"/>
      <c r="J5" s="39"/>
    </row>
    <row r="6" spans="1:14" ht="15" customHeight="1" x14ac:dyDescent="0.25">
      <c r="A6" s="27"/>
      <c r="B6" s="12"/>
      <c r="C6" s="248"/>
      <c r="D6" s="250"/>
      <c r="E6" s="249"/>
      <c r="F6" s="49"/>
      <c r="G6" s="41"/>
      <c r="H6" s="40"/>
      <c r="I6" s="48"/>
      <c r="J6" s="48"/>
    </row>
    <row r="7" spans="1:14" ht="15" customHeight="1" x14ac:dyDescent="0.25">
      <c r="A7" s="25" t="s">
        <v>47</v>
      </c>
      <c r="B7" s="26"/>
      <c r="C7" t="s">
        <v>115</v>
      </c>
      <c r="F7" s="28"/>
      <c r="G7" s="28"/>
      <c r="H7" s="28"/>
      <c r="I7" s="28"/>
      <c r="J7" s="26"/>
    </row>
    <row r="8" spans="1:14" x14ac:dyDescent="0.25">
      <c r="A8" s="42" t="s">
        <v>63</v>
      </c>
      <c r="B8" s="7"/>
      <c r="C8" s="62" t="s">
        <v>248</v>
      </c>
      <c r="D8" s="62"/>
      <c r="E8" s="62"/>
      <c r="F8" s="11"/>
      <c r="G8" s="11"/>
      <c r="J8" s="30"/>
    </row>
    <row r="9" spans="1:14" x14ac:dyDescent="0.25">
      <c r="A9" s="27" t="s">
        <v>62</v>
      </c>
      <c r="B9" s="37"/>
      <c r="C9" s="12" t="s">
        <v>103</v>
      </c>
      <c r="D9" s="12"/>
      <c r="E9" s="12"/>
      <c r="F9" s="12"/>
      <c r="G9" s="12"/>
      <c r="H9" s="12"/>
      <c r="I9" s="12"/>
      <c r="J9" s="31"/>
    </row>
    <row r="10" spans="1:14" x14ac:dyDescent="0.25">
      <c r="A10" s="1" t="s">
        <v>38</v>
      </c>
      <c r="B10" s="1" t="s">
        <v>47</v>
      </c>
      <c r="C10" s="248" t="s">
        <v>2</v>
      </c>
      <c r="D10" s="250"/>
      <c r="E10" s="75" t="s">
        <v>167</v>
      </c>
      <c r="F10" s="272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48</v>
      </c>
      <c r="L10" s="20" t="s">
        <v>45</v>
      </c>
      <c r="M10" s="79" t="s">
        <v>156</v>
      </c>
      <c r="N10" s="79" t="s">
        <v>157</v>
      </c>
    </row>
    <row r="11" spans="1:14" x14ac:dyDescent="0.25">
      <c r="A11" s="1">
        <v>1</v>
      </c>
      <c r="B11" s="3" t="s">
        <v>25</v>
      </c>
      <c r="C11" s="65">
        <v>120</v>
      </c>
      <c r="D11" s="65">
        <v>87</v>
      </c>
      <c r="E11" s="65">
        <f t="shared" ref="E11:E20" si="0">C11/2</f>
        <v>60</v>
      </c>
      <c r="F11" s="248" t="s">
        <v>19</v>
      </c>
      <c r="G11" s="249"/>
      <c r="H11" s="3">
        <v>1</v>
      </c>
      <c r="I11" s="3"/>
      <c r="J11" s="3">
        <f t="shared" ref="J11:J20" si="1">H11-I11</f>
        <v>1</v>
      </c>
      <c r="K11" s="2"/>
      <c r="L11" s="19"/>
      <c r="M11" s="78">
        <f t="shared" ref="M11:M25" si="2">(3.14*E11*E11*D11)*7.9/1000000*72500</f>
        <v>563269.84200000006</v>
      </c>
      <c r="N11" s="80">
        <f t="shared" ref="N11:N32" si="3">M11*J11</f>
        <v>563269.84200000006</v>
      </c>
    </row>
    <row r="12" spans="1:14" x14ac:dyDescent="0.25">
      <c r="A12" s="1">
        <v>2</v>
      </c>
      <c r="B12" s="3" t="s">
        <v>25</v>
      </c>
      <c r="C12" s="65">
        <v>120</v>
      </c>
      <c r="D12" s="65">
        <v>87</v>
      </c>
      <c r="E12" s="65">
        <f t="shared" si="0"/>
        <v>60</v>
      </c>
      <c r="F12" s="248" t="s">
        <v>19</v>
      </c>
      <c r="G12" s="249"/>
      <c r="H12" s="3">
        <v>1</v>
      </c>
      <c r="I12" s="3"/>
      <c r="J12" s="3">
        <f t="shared" si="1"/>
        <v>1</v>
      </c>
      <c r="K12" s="2"/>
      <c r="L12" s="19"/>
      <c r="M12" s="78">
        <f t="shared" si="2"/>
        <v>563269.84200000006</v>
      </c>
      <c r="N12" s="80">
        <f t="shared" si="3"/>
        <v>563269.84200000006</v>
      </c>
    </row>
    <row r="13" spans="1:14" x14ac:dyDescent="0.25">
      <c r="A13" s="1">
        <v>3</v>
      </c>
      <c r="B13" s="3" t="s">
        <v>68</v>
      </c>
      <c r="C13" s="65">
        <v>85</v>
      </c>
      <c r="D13" s="65">
        <v>450</v>
      </c>
      <c r="E13" s="65">
        <f t="shared" si="0"/>
        <v>42.5</v>
      </c>
      <c r="F13" s="272" t="s">
        <v>77</v>
      </c>
      <c r="G13" s="261"/>
      <c r="H13" s="1">
        <v>1</v>
      </c>
      <c r="I13" s="3"/>
      <c r="J13" s="3">
        <f t="shared" si="1"/>
        <v>1</v>
      </c>
      <c r="K13" s="2"/>
      <c r="L13" s="19"/>
      <c r="M13" s="78">
        <f t="shared" si="2"/>
        <v>1461790.4484375003</v>
      </c>
      <c r="N13" s="80">
        <f t="shared" si="3"/>
        <v>1461790.4484375003</v>
      </c>
    </row>
    <row r="14" spans="1:14" x14ac:dyDescent="0.25">
      <c r="A14" s="1">
        <v>4</v>
      </c>
      <c r="B14" s="1" t="s">
        <v>84</v>
      </c>
      <c r="C14" s="24">
        <v>65</v>
      </c>
      <c r="D14" s="24">
        <v>108</v>
      </c>
      <c r="E14" s="65">
        <f t="shared" si="0"/>
        <v>32.5</v>
      </c>
      <c r="F14" s="272" t="s">
        <v>135</v>
      </c>
      <c r="G14" s="261"/>
      <c r="H14" s="3">
        <v>1</v>
      </c>
      <c r="I14" s="3"/>
      <c r="J14" s="3">
        <f t="shared" si="1"/>
        <v>1</v>
      </c>
      <c r="K14" s="2"/>
      <c r="L14" s="19"/>
      <c r="M14" s="78">
        <f t="shared" si="2"/>
        <v>205156.47262500002</v>
      </c>
      <c r="N14" s="80">
        <f t="shared" si="3"/>
        <v>205156.47262500002</v>
      </c>
    </row>
    <row r="15" spans="1:14" x14ac:dyDescent="0.25">
      <c r="A15" s="1">
        <v>5</v>
      </c>
      <c r="B15" s="1" t="s">
        <v>12</v>
      </c>
      <c r="C15" s="66">
        <v>75</v>
      </c>
      <c r="D15" s="66">
        <v>55</v>
      </c>
      <c r="E15" s="65">
        <f t="shared" si="0"/>
        <v>37.5</v>
      </c>
      <c r="F15" s="272" t="s">
        <v>109</v>
      </c>
      <c r="G15" s="261"/>
      <c r="H15" s="3">
        <v>1</v>
      </c>
      <c r="I15" s="3"/>
      <c r="J15" s="3">
        <f t="shared" si="1"/>
        <v>1</v>
      </c>
      <c r="K15" s="2"/>
      <c r="L15" s="19"/>
      <c r="M15" s="78">
        <f t="shared" si="2"/>
        <v>139097.70703125</v>
      </c>
      <c r="N15" s="80">
        <f t="shared" si="3"/>
        <v>139097.70703125</v>
      </c>
    </row>
    <row r="16" spans="1:14" x14ac:dyDescent="0.25">
      <c r="A16" s="1">
        <v>6</v>
      </c>
      <c r="B16" s="1" t="s">
        <v>111</v>
      </c>
      <c r="C16" s="66">
        <v>55</v>
      </c>
      <c r="D16" s="66">
        <v>40</v>
      </c>
      <c r="E16" s="65">
        <f t="shared" si="0"/>
        <v>27.5</v>
      </c>
      <c r="F16" s="272" t="s">
        <v>6</v>
      </c>
      <c r="G16" s="261"/>
      <c r="H16" s="3">
        <v>2</v>
      </c>
      <c r="I16" s="3">
        <v>2</v>
      </c>
      <c r="J16" s="3">
        <f t="shared" si="1"/>
        <v>0</v>
      </c>
      <c r="K16" s="14" t="s">
        <v>262</v>
      </c>
      <c r="L16" s="19">
        <v>45350</v>
      </c>
      <c r="M16" s="78">
        <f t="shared" si="2"/>
        <v>54402.65875000001</v>
      </c>
      <c r="N16" s="80">
        <f t="shared" si="3"/>
        <v>0</v>
      </c>
    </row>
    <row r="17" spans="1:14" x14ac:dyDescent="0.25">
      <c r="A17" s="1">
        <v>7</v>
      </c>
      <c r="B17" s="3" t="s">
        <v>9</v>
      </c>
      <c r="C17" s="63">
        <v>160</v>
      </c>
      <c r="D17" s="63">
        <v>75</v>
      </c>
      <c r="E17" s="65">
        <f t="shared" si="0"/>
        <v>80</v>
      </c>
      <c r="F17" s="248" t="s">
        <v>19</v>
      </c>
      <c r="G17" s="249"/>
      <c r="H17" s="3">
        <v>1</v>
      </c>
      <c r="I17" s="3"/>
      <c r="J17" s="3">
        <f t="shared" si="1"/>
        <v>1</v>
      </c>
      <c r="K17" s="2"/>
      <c r="L17" s="19"/>
      <c r="M17" s="78">
        <f t="shared" si="2"/>
        <v>863248.79999999993</v>
      </c>
      <c r="N17" s="80">
        <f t="shared" si="3"/>
        <v>863248.79999999993</v>
      </c>
    </row>
    <row r="18" spans="1:14" x14ac:dyDescent="0.25">
      <c r="A18" s="1">
        <v>8</v>
      </c>
      <c r="B18" s="3" t="s">
        <v>9</v>
      </c>
      <c r="C18" s="63">
        <v>91</v>
      </c>
      <c r="D18" s="63">
        <v>30</v>
      </c>
      <c r="E18" s="65">
        <f t="shared" si="0"/>
        <v>45.5</v>
      </c>
      <c r="F18" s="248" t="s">
        <v>6</v>
      </c>
      <c r="G18" s="249"/>
      <c r="H18" s="3">
        <v>1</v>
      </c>
      <c r="I18" s="3"/>
      <c r="J18" s="3">
        <f t="shared" si="1"/>
        <v>1</v>
      </c>
      <c r="K18" s="2"/>
      <c r="L18" s="19"/>
      <c r="M18" s="78">
        <f t="shared" si="2"/>
        <v>111696.30176250001</v>
      </c>
      <c r="N18" s="80">
        <f t="shared" si="3"/>
        <v>111696.30176250001</v>
      </c>
    </row>
    <row r="19" spans="1:14" x14ac:dyDescent="0.25">
      <c r="A19" s="1">
        <v>9</v>
      </c>
      <c r="B19" s="3" t="s">
        <v>27</v>
      </c>
      <c r="C19" s="65">
        <v>43</v>
      </c>
      <c r="D19" s="65">
        <v>48</v>
      </c>
      <c r="E19" s="65">
        <f t="shared" si="0"/>
        <v>21.5</v>
      </c>
      <c r="F19" s="248" t="s">
        <v>10</v>
      </c>
      <c r="G19" s="249"/>
      <c r="H19" s="3">
        <v>1</v>
      </c>
      <c r="I19" s="3"/>
      <c r="J19" s="3">
        <f t="shared" si="1"/>
        <v>1</v>
      </c>
      <c r="K19" s="2"/>
      <c r="L19" s="19"/>
      <c r="M19" s="78">
        <f t="shared" si="2"/>
        <v>39903.675780000005</v>
      </c>
      <c r="N19" s="80">
        <f t="shared" si="3"/>
        <v>39903.675780000005</v>
      </c>
    </row>
    <row r="20" spans="1:14" x14ac:dyDescent="0.25">
      <c r="A20" s="1">
        <v>10</v>
      </c>
      <c r="B20" s="3" t="s">
        <v>10</v>
      </c>
      <c r="C20" s="63">
        <v>65</v>
      </c>
      <c r="D20" s="63">
        <v>300</v>
      </c>
      <c r="E20" s="65">
        <f t="shared" si="0"/>
        <v>32.5</v>
      </c>
      <c r="F20" s="248" t="s">
        <v>10</v>
      </c>
      <c r="G20" s="249"/>
      <c r="H20" s="3">
        <v>1</v>
      </c>
      <c r="I20" s="3"/>
      <c r="J20" s="3">
        <f t="shared" si="1"/>
        <v>1</v>
      </c>
      <c r="K20" s="2"/>
      <c r="L20" s="19"/>
      <c r="M20" s="78">
        <f t="shared" si="2"/>
        <v>569879.09062499995</v>
      </c>
      <c r="N20" s="80">
        <f t="shared" si="3"/>
        <v>569879.09062499995</v>
      </c>
    </row>
    <row r="21" spans="1:14" ht="32.25" customHeight="1" x14ac:dyDescent="0.25">
      <c r="A21" s="140">
        <v>11</v>
      </c>
      <c r="B21" s="3">
        <v>2510</v>
      </c>
      <c r="C21" s="65">
        <v>113</v>
      </c>
      <c r="D21" s="65">
        <v>70</v>
      </c>
      <c r="E21" s="65">
        <f t="shared" ref="E21:E32" si="4">C21/2</f>
        <v>56.5</v>
      </c>
      <c r="F21" s="262" t="s">
        <v>55</v>
      </c>
      <c r="G21" s="263"/>
      <c r="H21" s="3">
        <v>1</v>
      </c>
      <c r="I21" s="3"/>
      <c r="J21" s="3">
        <f t="shared" ref="J21:J32" si="5">H21-I21</f>
        <v>1</v>
      </c>
      <c r="K21" s="2"/>
      <c r="L21" s="2"/>
      <c r="M21" s="78">
        <f t="shared" si="2"/>
        <v>401873.78901250003</v>
      </c>
      <c r="N21" s="80">
        <f t="shared" si="3"/>
        <v>401873.78901250003</v>
      </c>
    </row>
    <row r="22" spans="1:14" ht="30" customHeight="1" x14ac:dyDescent="0.25">
      <c r="A22" s="139">
        <v>12</v>
      </c>
      <c r="B22" s="3">
        <v>2510</v>
      </c>
      <c r="C22" s="65">
        <v>105</v>
      </c>
      <c r="D22" s="65">
        <v>46</v>
      </c>
      <c r="E22" s="65">
        <f t="shared" si="4"/>
        <v>52.5</v>
      </c>
      <c r="F22" s="262" t="s">
        <v>54</v>
      </c>
      <c r="G22" s="263"/>
      <c r="H22" s="3">
        <v>1</v>
      </c>
      <c r="I22" s="3"/>
      <c r="J22" s="3">
        <f t="shared" si="5"/>
        <v>1</v>
      </c>
      <c r="K22" s="2"/>
      <c r="L22" s="2"/>
      <c r="M22" s="78">
        <f t="shared" si="2"/>
        <v>228019.07756250002</v>
      </c>
      <c r="N22" s="80">
        <f t="shared" si="3"/>
        <v>228019.07756250002</v>
      </c>
    </row>
    <row r="23" spans="1:14" x14ac:dyDescent="0.25">
      <c r="A23" s="140">
        <v>13</v>
      </c>
      <c r="B23" s="3">
        <v>2510</v>
      </c>
      <c r="C23" s="65">
        <v>60</v>
      </c>
      <c r="D23" s="65">
        <v>78</v>
      </c>
      <c r="E23" s="65">
        <f t="shared" si="4"/>
        <v>30</v>
      </c>
      <c r="F23" s="262" t="s">
        <v>56</v>
      </c>
      <c r="G23" s="263"/>
      <c r="H23" s="3">
        <v>1</v>
      </c>
      <c r="I23" s="3"/>
      <c r="J23" s="3">
        <f t="shared" si="5"/>
        <v>1</v>
      </c>
      <c r="K23" s="2"/>
      <c r="L23" s="2"/>
      <c r="M23" s="78">
        <f t="shared" si="2"/>
        <v>126250.13700000002</v>
      </c>
      <c r="N23" s="80">
        <f t="shared" si="3"/>
        <v>126250.13700000002</v>
      </c>
    </row>
    <row r="24" spans="1:14" x14ac:dyDescent="0.25">
      <c r="A24" s="139">
        <v>14</v>
      </c>
      <c r="B24" s="3">
        <v>2510</v>
      </c>
      <c r="C24" s="63">
        <v>60</v>
      </c>
      <c r="D24" s="63">
        <v>78</v>
      </c>
      <c r="E24" s="65">
        <f t="shared" si="4"/>
        <v>30</v>
      </c>
      <c r="F24" s="262" t="s">
        <v>10</v>
      </c>
      <c r="G24" s="263"/>
      <c r="H24" s="3">
        <v>1</v>
      </c>
      <c r="I24" s="3"/>
      <c r="J24" s="3">
        <f t="shared" si="5"/>
        <v>1</v>
      </c>
      <c r="K24" s="9"/>
      <c r="L24" s="19"/>
      <c r="M24" s="78">
        <f t="shared" si="2"/>
        <v>126250.13700000002</v>
      </c>
      <c r="N24" s="80">
        <f t="shared" si="3"/>
        <v>126250.13700000002</v>
      </c>
    </row>
    <row r="25" spans="1:14" x14ac:dyDescent="0.25">
      <c r="A25" s="3">
        <v>15</v>
      </c>
      <c r="B25" s="3" t="s">
        <v>111</v>
      </c>
      <c r="C25" s="3">
        <v>55</v>
      </c>
      <c r="D25" s="3">
        <v>45</v>
      </c>
      <c r="E25" s="4">
        <f t="shared" si="4"/>
        <v>27.5</v>
      </c>
      <c r="F25" s="248" t="s">
        <v>218</v>
      </c>
      <c r="G25" s="249"/>
      <c r="H25" s="3">
        <v>1</v>
      </c>
      <c r="I25" s="3"/>
      <c r="J25" s="3">
        <f t="shared" si="5"/>
        <v>1</v>
      </c>
      <c r="K25" s="2"/>
      <c r="L25" s="19"/>
      <c r="M25" s="78">
        <f t="shared" si="2"/>
        <v>61202.99109375001</v>
      </c>
      <c r="N25" s="80">
        <f t="shared" si="3"/>
        <v>61202.99109375001</v>
      </c>
    </row>
    <row r="26" spans="1:14" x14ac:dyDescent="0.25">
      <c r="A26" s="3">
        <v>16</v>
      </c>
      <c r="B26" s="3">
        <v>2083</v>
      </c>
      <c r="C26" s="3">
        <v>40</v>
      </c>
      <c r="D26" s="3">
        <v>286</v>
      </c>
      <c r="E26" s="4">
        <f t="shared" si="4"/>
        <v>20</v>
      </c>
      <c r="F26" s="248" t="s">
        <v>231</v>
      </c>
      <c r="G26" s="249"/>
      <c r="H26" s="3">
        <v>2</v>
      </c>
      <c r="I26" s="1"/>
      <c r="J26" s="1">
        <f t="shared" si="5"/>
        <v>2</v>
      </c>
      <c r="K26" s="2"/>
      <c r="L26" s="19"/>
      <c r="M26" s="78">
        <f>(3.14*E26*E26*D26)*7.9/1000000*110000</f>
        <v>312158.70399999997</v>
      </c>
      <c r="N26" s="80">
        <f t="shared" si="3"/>
        <v>624317.40799999994</v>
      </c>
    </row>
    <row r="27" spans="1:14" x14ac:dyDescent="0.25">
      <c r="A27" s="227">
        <v>17</v>
      </c>
      <c r="B27" s="3">
        <v>2083</v>
      </c>
      <c r="C27" s="3">
        <v>40</v>
      </c>
      <c r="D27" s="3">
        <v>285</v>
      </c>
      <c r="E27" s="4">
        <f t="shared" si="4"/>
        <v>20</v>
      </c>
      <c r="F27" s="248" t="s">
        <v>231</v>
      </c>
      <c r="G27" s="249"/>
      <c r="H27" s="3">
        <v>1</v>
      </c>
      <c r="I27" s="1"/>
      <c r="J27" s="1">
        <f t="shared" si="5"/>
        <v>1</v>
      </c>
      <c r="K27" s="2"/>
      <c r="L27" s="19"/>
      <c r="M27" s="78">
        <f>(3.14*E27*E27*D27)*7.9/1000000*110000</f>
        <v>311067.24</v>
      </c>
      <c r="N27" s="80">
        <f t="shared" si="3"/>
        <v>311067.24</v>
      </c>
    </row>
    <row r="28" spans="1:14" x14ac:dyDescent="0.25">
      <c r="A28" s="227">
        <v>18</v>
      </c>
      <c r="B28" s="3" t="s">
        <v>12</v>
      </c>
      <c r="C28" s="3">
        <v>32</v>
      </c>
      <c r="D28" s="3">
        <v>500</v>
      </c>
      <c r="E28" s="4">
        <f t="shared" si="4"/>
        <v>16</v>
      </c>
      <c r="F28" s="248" t="s">
        <v>236</v>
      </c>
      <c r="G28" s="249"/>
      <c r="H28" s="3">
        <v>1</v>
      </c>
      <c r="I28" s="1"/>
      <c r="J28" s="1">
        <f t="shared" si="5"/>
        <v>1</v>
      </c>
      <c r="K28" s="2"/>
      <c r="L28" s="19"/>
      <c r="M28" s="78">
        <f t="shared" ref="M28:M32" si="6">(3.14*E28*E28*D28)*7.9/1000000*110000</f>
        <v>349268.48000000004</v>
      </c>
      <c r="N28" s="80">
        <f t="shared" si="3"/>
        <v>349268.48000000004</v>
      </c>
    </row>
    <row r="29" spans="1:14" x14ac:dyDescent="0.25">
      <c r="A29" s="227">
        <v>19</v>
      </c>
      <c r="B29" s="3" t="s">
        <v>237</v>
      </c>
      <c r="C29" s="3">
        <v>38</v>
      </c>
      <c r="D29" s="3">
        <v>157</v>
      </c>
      <c r="E29" s="4">
        <f t="shared" si="4"/>
        <v>19</v>
      </c>
      <c r="F29" s="248" t="s">
        <v>109</v>
      </c>
      <c r="G29" s="249"/>
      <c r="H29" s="3">
        <v>1</v>
      </c>
      <c r="I29" s="1"/>
      <c r="J29" s="1">
        <f t="shared" si="5"/>
        <v>1</v>
      </c>
      <c r="K29" s="2"/>
      <c r="L29" s="19"/>
      <c r="M29" s="78">
        <f t="shared" si="6"/>
        <v>154652.26282</v>
      </c>
      <c r="N29" s="80">
        <f t="shared" si="3"/>
        <v>154652.26282</v>
      </c>
    </row>
    <row r="30" spans="1:14" s="85" customFormat="1" ht="25.5" customHeight="1" x14ac:dyDescent="0.25">
      <c r="A30" s="227">
        <v>20</v>
      </c>
      <c r="B30" s="83" t="s">
        <v>84</v>
      </c>
      <c r="C30" s="83">
        <v>25</v>
      </c>
      <c r="D30" s="83">
        <v>152</v>
      </c>
      <c r="E30" s="167">
        <f t="shared" si="4"/>
        <v>12.5</v>
      </c>
      <c r="F30" s="268" t="s">
        <v>238</v>
      </c>
      <c r="G30" s="269"/>
      <c r="H30" s="83">
        <v>1</v>
      </c>
      <c r="I30" s="83"/>
      <c r="J30" s="83">
        <f t="shared" si="5"/>
        <v>1</v>
      </c>
      <c r="K30" s="83"/>
      <c r="L30" s="151"/>
      <c r="M30" s="155">
        <f t="shared" si="6"/>
        <v>64805.675000000003</v>
      </c>
      <c r="N30" s="156">
        <f t="shared" si="3"/>
        <v>64805.675000000003</v>
      </c>
    </row>
    <row r="31" spans="1:14" s="85" customFormat="1" ht="15" customHeight="1" x14ac:dyDescent="0.25">
      <c r="A31" s="227">
        <v>21</v>
      </c>
      <c r="B31" s="83" t="s">
        <v>68</v>
      </c>
      <c r="C31" s="83">
        <v>60</v>
      </c>
      <c r="D31" s="83">
        <v>895</v>
      </c>
      <c r="E31" s="167">
        <f t="shared" si="4"/>
        <v>30</v>
      </c>
      <c r="F31" s="262" t="s">
        <v>6</v>
      </c>
      <c r="G31" s="263"/>
      <c r="H31" s="83">
        <v>1</v>
      </c>
      <c r="I31" s="83">
        <v>1</v>
      </c>
      <c r="J31" s="83">
        <f t="shared" si="5"/>
        <v>0</v>
      </c>
      <c r="K31" s="83" t="s">
        <v>254</v>
      </c>
      <c r="L31" s="151">
        <v>45339</v>
      </c>
      <c r="M31" s="188">
        <f t="shared" si="6"/>
        <v>2197935.63</v>
      </c>
      <c r="N31" s="189">
        <f t="shared" si="3"/>
        <v>0</v>
      </c>
    </row>
    <row r="32" spans="1:14" s="85" customFormat="1" ht="15" customHeight="1" x14ac:dyDescent="0.25">
      <c r="A32" s="227">
        <v>22</v>
      </c>
      <c r="B32" s="83" t="s">
        <v>68</v>
      </c>
      <c r="C32" s="83">
        <v>45</v>
      </c>
      <c r="D32" s="83">
        <v>295</v>
      </c>
      <c r="E32" s="167">
        <f t="shared" si="4"/>
        <v>22.5</v>
      </c>
      <c r="F32" s="262" t="s">
        <v>6</v>
      </c>
      <c r="G32" s="263"/>
      <c r="H32" s="83">
        <v>1</v>
      </c>
      <c r="I32" s="83"/>
      <c r="J32" s="83">
        <f t="shared" si="5"/>
        <v>1</v>
      </c>
      <c r="K32" s="83"/>
      <c r="L32" s="151"/>
      <c r="M32" s="188">
        <f t="shared" si="6"/>
        <v>407508.31687500008</v>
      </c>
      <c r="N32" s="189">
        <f t="shared" si="3"/>
        <v>407508.31687500008</v>
      </c>
    </row>
    <row r="33" spans="1:14" x14ac:dyDescent="0.25">
      <c r="M33" s="135" t="s">
        <v>159</v>
      </c>
      <c r="N33" s="181">
        <f>SUM(N11:N32)</f>
        <v>7372527.6946250005</v>
      </c>
    </row>
    <row r="35" spans="1:14" x14ac:dyDescent="0.25">
      <c r="B35" s="112" t="s">
        <v>205</v>
      </c>
      <c r="C35" s="110"/>
      <c r="D35" s="110"/>
      <c r="E35" s="110"/>
    </row>
    <row r="36" spans="1:14" x14ac:dyDescent="0.25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109"/>
      <c r="M36" s="92"/>
      <c r="N36" s="92"/>
    </row>
    <row r="37" spans="1:14" x14ac:dyDescent="0.25">
      <c r="A37" s="1" t="s">
        <v>38</v>
      </c>
      <c r="B37" s="24" t="s">
        <v>47</v>
      </c>
      <c r="C37" s="248" t="s">
        <v>2</v>
      </c>
      <c r="D37" s="250"/>
      <c r="E37" s="249"/>
      <c r="F37" s="260" t="s">
        <v>0</v>
      </c>
      <c r="G37" s="261"/>
      <c r="H37" s="1" t="s">
        <v>1</v>
      </c>
      <c r="I37" s="1" t="s">
        <v>42</v>
      </c>
      <c r="J37" s="1" t="s">
        <v>41</v>
      </c>
      <c r="K37" s="1" t="s">
        <v>44</v>
      </c>
      <c r="L37" s="20" t="s">
        <v>45</v>
      </c>
      <c r="M37" s="79" t="s">
        <v>156</v>
      </c>
      <c r="N37" s="79" t="s">
        <v>157</v>
      </c>
    </row>
    <row r="38" spans="1:14" s="94" customFormat="1" ht="27" customHeight="1" x14ac:dyDescent="0.25">
      <c r="A38" s="3">
        <v>1</v>
      </c>
      <c r="B38" s="3" t="s">
        <v>68</v>
      </c>
      <c r="C38" s="3">
        <v>20</v>
      </c>
      <c r="D38" s="3">
        <v>93</v>
      </c>
      <c r="E38" s="3">
        <v>102</v>
      </c>
      <c r="F38" s="268" t="s">
        <v>214</v>
      </c>
      <c r="G38" s="269"/>
      <c r="H38" s="3">
        <v>1</v>
      </c>
      <c r="I38" s="9"/>
      <c r="J38" s="3">
        <f t="shared" ref="J38:J39" si="7">H38-I38</f>
        <v>1</v>
      </c>
      <c r="K38" s="9"/>
      <c r="L38" s="21"/>
      <c r="M38" s="78">
        <f>(C38*D38*E38)</f>
        <v>189720</v>
      </c>
      <c r="N38" s="80">
        <f>M38*J38</f>
        <v>189720</v>
      </c>
    </row>
    <row r="39" spans="1:14" s="94" customFormat="1" ht="26.25" customHeight="1" x14ac:dyDescent="0.25">
      <c r="A39" s="3">
        <v>2</v>
      </c>
      <c r="B39" s="3" t="s">
        <v>68</v>
      </c>
      <c r="C39" s="3">
        <v>45</v>
      </c>
      <c r="D39" s="3">
        <v>45</v>
      </c>
      <c r="E39" s="3">
        <v>76</v>
      </c>
      <c r="F39" s="268" t="s">
        <v>215</v>
      </c>
      <c r="G39" s="269"/>
      <c r="H39" s="3">
        <v>1</v>
      </c>
      <c r="I39" s="9"/>
      <c r="J39" s="3">
        <f t="shared" si="7"/>
        <v>1</v>
      </c>
      <c r="K39" s="9"/>
      <c r="L39" s="21"/>
      <c r="M39" s="78">
        <f t="shared" ref="M39:M40" si="8">(C39*D39*E39)</f>
        <v>153900</v>
      </c>
      <c r="N39" s="80">
        <f t="shared" ref="N39:N40" si="9">M39*J39</f>
        <v>153900</v>
      </c>
    </row>
    <row r="40" spans="1:14" s="94" customFormat="1" ht="29.25" customHeight="1" x14ac:dyDescent="0.25">
      <c r="A40" s="3">
        <v>3</v>
      </c>
      <c r="B40" s="3" t="s">
        <v>68</v>
      </c>
      <c r="C40" s="3">
        <v>25</v>
      </c>
      <c r="D40" s="3">
        <v>40</v>
      </c>
      <c r="E40" s="3">
        <v>70</v>
      </c>
      <c r="F40" s="268" t="s">
        <v>216</v>
      </c>
      <c r="G40" s="269"/>
      <c r="H40" s="3">
        <v>1</v>
      </c>
      <c r="I40" s="9"/>
      <c r="J40" s="3">
        <f t="shared" ref="J40" si="10">H40-I40</f>
        <v>1</v>
      </c>
      <c r="K40" s="9"/>
      <c r="L40" s="21"/>
      <c r="M40" s="78">
        <f t="shared" si="8"/>
        <v>70000</v>
      </c>
      <c r="N40" s="80">
        <f t="shared" si="9"/>
        <v>70000</v>
      </c>
    </row>
    <row r="41" spans="1:14" x14ac:dyDescent="0.25">
      <c r="M41" s="93" t="s">
        <v>160</v>
      </c>
      <c r="N41" s="82">
        <f>SUM(N38:N40)</f>
        <v>413620</v>
      </c>
    </row>
    <row r="42" spans="1:14" x14ac:dyDescent="0.25">
      <c r="M42" s="127"/>
      <c r="N42" s="170"/>
    </row>
    <row r="43" spans="1:14" x14ac:dyDescent="0.25">
      <c r="M43" s="179" t="s">
        <v>158</v>
      </c>
      <c r="N43" s="180">
        <f>N33+N41</f>
        <v>7786147.6946250005</v>
      </c>
    </row>
  </sheetData>
  <autoFilter ref="C1:E43"/>
  <mergeCells count="32">
    <mergeCell ref="F40:G40"/>
    <mergeCell ref="F18:G18"/>
    <mergeCell ref="F19:G19"/>
    <mergeCell ref="F16:G16"/>
    <mergeCell ref="F17:G17"/>
    <mergeCell ref="F20:G20"/>
    <mergeCell ref="F37:G37"/>
    <mergeCell ref="F25:G25"/>
    <mergeCell ref="F26:G26"/>
    <mergeCell ref="F30:G30"/>
    <mergeCell ref="F14:G14"/>
    <mergeCell ref="F38:G38"/>
    <mergeCell ref="F13:G13"/>
    <mergeCell ref="F39:G39"/>
    <mergeCell ref="F15:G15"/>
    <mergeCell ref="F11:G11"/>
    <mergeCell ref="F12:G12"/>
    <mergeCell ref="C3:E5"/>
    <mergeCell ref="C2:E2"/>
    <mergeCell ref="C6:E6"/>
    <mergeCell ref="C10:D10"/>
    <mergeCell ref="F10:G10"/>
    <mergeCell ref="C37:E37"/>
    <mergeCell ref="F21:G21"/>
    <mergeCell ref="F22:G22"/>
    <mergeCell ref="F23:G23"/>
    <mergeCell ref="F24:G24"/>
    <mergeCell ref="F27:G27"/>
    <mergeCell ref="F28:G28"/>
    <mergeCell ref="F29:G29"/>
    <mergeCell ref="F31:G31"/>
    <mergeCell ref="F32:G32"/>
  </mergeCells>
  <pageMargins left="0.7" right="0.7" top="0.75" bottom="0.75" header="0.3" footer="0.3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14337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14337" r:id="rId4"/>
      </mc:Fallback>
    </mc:AlternateContent>
    <mc:AlternateContent xmlns:mc="http://schemas.openxmlformats.org/markup-compatibility/2006">
      <mc:Choice Requires="x14">
        <oleObject progId="PBrush" shapeId="14338" r:id="rId6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14338" r:id="rId6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N29"/>
  <sheetViews>
    <sheetView topLeftCell="A7" zoomScale="82" zoomScaleNormal="82" workbookViewId="0">
      <selection activeCell="C9" sqref="C9"/>
    </sheetView>
  </sheetViews>
  <sheetFormatPr defaultRowHeight="15" x14ac:dyDescent="0.25"/>
  <cols>
    <col min="1" max="1" width="4.140625" customWidth="1"/>
    <col min="2" max="2" width="16.7109375" customWidth="1"/>
    <col min="3" max="4" width="6.28515625" customWidth="1"/>
    <col min="5" max="5" width="6.140625" customWidth="1"/>
    <col min="6" max="6" width="11.28515625" customWidth="1"/>
    <col min="7" max="8" width="10" customWidth="1"/>
    <col min="9" max="9" width="8.5703125" customWidth="1"/>
    <col min="10" max="10" width="9.28515625" customWidth="1"/>
    <col min="11" max="11" width="25.42578125" customWidth="1"/>
    <col min="12" max="12" width="17.5703125" customWidth="1"/>
    <col min="13" max="14" width="17.7109375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47" t="s">
        <v>97</v>
      </c>
      <c r="J2" s="3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3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12"/>
      <c r="H5" s="39"/>
      <c r="I5" s="39"/>
      <c r="J5" s="23"/>
    </row>
    <row r="6" spans="1:14" ht="15" customHeight="1" x14ac:dyDescent="0.25">
      <c r="A6" s="27"/>
      <c r="B6" s="12"/>
      <c r="C6" s="248"/>
      <c r="D6" s="250"/>
      <c r="E6" s="249"/>
      <c r="F6" s="49"/>
      <c r="G6" s="41"/>
      <c r="H6" s="40"/>
      <c r="I6" s="48"/>
      <c r="J6" s="41"/>
    </row>
    <row r="7" spans="1:14" ht="15" customHeight="1" x14ac:dyDescent="0.25">
      <c r="A7" s="25" t="s">
        <v>47</v>
      </c>
      <c r="B7" s="26"/>
      <c r="C7" t="s">
        <v>169</v>
      </c>
      <c r="F7" s="28"/>
      <c r="G7" s="28"/>
      <c r="H7" s="28"/>
      <c r="I7" s="28"/>
      <c r="J7" s="26"/>
    </row>
    <row r="8" spans="1:14" ht="15" customHeight="1" x14ac:dyDescent="0.25">
      <c r="A8" s="42" t="s">
        <v>63</v>
      </c>
      <c r="B8" s="7"/>
      <c r="C8" s="62" t="s">
        <v>248</v>
      </c>
      <c r="D8" s="62"/>
      <c r="E8" s="62"/>
      <c r="F8" s="11"/>
      <c r="G8" s="11"/>
      <c r="J8" s="30"/>
    </row>
    <row r="9" spans="1:14" ht="15" customHeight="1" x14ac:dyDescent="0.25">
      <c r="A9" s="27" t="s">
        <v>62</v>
      </c>
      <c r="B9" s="37"/>
      <c r="C9" t="s">
        <v>103</v>
      </c>
      <c r="F9" s="12"/>
      <c r="G9" s="12"/>
      <c r="H9" s="12"/>
      <c r="I9" s="12"/>
      <c r="J9" s="31"/>
    </row>
    <row r="10" spans="1:14" x14ac:dyDescent="0.25">
      <c r="A10" s="1" t="s">
        <v>38</v>
      </c>
      <c r="B10" s="24" t="s">
        <v>47</v>
      </c>
      <c r="C10" s="248" t="s">
        <v>2</v>
      </c>
      <c r="D10" s="250"/>
      <c r="E10" s="3" t="s">
        <v>167</v>
      </c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48</v>
      </c>
      <c r="L10" s="1" t="s">
        <v>45</v>
      </c>
      <c r="M10" s="79" t="s">
        <v>156</v>
      </c>
      <c r="N10" s="79" t="s">
        <v>157</v>
      </c>
    </row>
    <row r="11" spans="1:14" x14ac:dyDescent="0.25">
      <c r="A11" s="3">
        <v>1</v>
      </c>
      <c r="B11" s="3" t="s">
        <v>13</v>
      </c>
      <c r="C11" s="63">
        <v>235</v>
      </c>
      <c r="D11" s="63">
        <v>109</v>
      </c>
      <c r="E11" s="65">
        <f>C11/2</f>
        <v>117.5</v>
      </c>
      <c r="F11" s="248" t="s">
        <v>20</v>
      </c>
      <c r="G11" s="249"/>
      <c r="H11" s="3">
        <v>1</v>
      </c>
      <c r="I11" s="3"/>
      <c r="J11" s="3">
        <f t="shared" ref="J11:J18" si="0">H11-I11</f>
        <v>1</v>
      </c>
      <c r="K11" s="2"/>
      <c r="L11" s="19"/>
      <c r="M11" s="78">
        <f>(3.14*E11*E11*D11)*7.9/1000000*72500</f>
        <v>2706431.1108437502</v>
      </c>
      <c r="N11" s="80">
        <f t="shared" ref="N11:N18" si="1">M11*J11</f>
        <v>2706431.1108437502</v>
      </c>
    </row>
    <row r="12" spans="1:14" x14ac:dyDescent="0.25">
      <c r="A12" s="3">
        <v>2</v>
      </c>
      <c r="B12" s="1" t="s">
        <v>13</v>
      </c>
      <c r="C12" s="63">
        <v>65</v>
      </c>
      <c r="D12" s="63">
        <v>820</v>
      </c>
      <c r="E12" s="65">
        <f t="shared" ref="E12:E18" si="2">C12/2</f>
        <v>32.5</v>
      </c>
      <c r="F12" s="272" t="s">
        <v>6</v>
      </c>
      <c r="G12" s="261"/>
      <c r="H12" s="1">
        <v>1</v>
      </c>
      <c r="I12" s="1"/>
      <c r="J12" s="3">
        <f t="shared" si="0"/>
        <v>1</v>
      </c>
      <c r="K12" s="2"/>
      <c r="L12" s="19"/>
      <c r="M12" s="78">
        <f t="shared" ref="M12:M18" si="3">(3.14*E12*E12*D12)*7.9/1000000*72500</f>
        <v>1557669.514375</v>
      </c>
      <c r="N12" s="80">
        <f t="shared" si="1"/>
        <v>1557669.514375</v>
      </c>
    </row>
    <row r="13" spans="1:14" s="97" customFormat="1" ht="39" customHeight="1" x14ac:dyDescent="0.25">
      <c r="A13" s="225">
        <v>3</v>
      </c>
      <c r="B13" s="83" t="s">
        <v>13</v>
      </c>
      <c r="C13" s="145">
        <v>85</v>
      </c>
      <c r="D13" s="145">
        <v>23</v>
      </c>
      <c r="E13" s="160">
        <f t="shared" si="2"/>
        <v>42.5</v>
      </c>
      <c r="F13" s="268" t="s">
        <v>70</v>
      </c>
      <c r="G13" s="269"/>
      <c r="H13" s="83">
        <v>1</v>
      </c>
      <c r="I13" s="153"/>
      <c r="J13" s="83">
        <f t="shared" si="0"/>
        <v>1</v>
      </c>
      <c r="K13" s="104"/>
      <c r="L13" s="151"/>
      <c r="M13" s="155">
        <f t="shared" si="3"/>
        <v>74713.734031250016</v>
      </c>
      <c r="N13" s="156">
        <f t="shared" si="1"/>
        <v>74713.734031250016</v>
      </c>
    </row>
    <row r="14" spans="1:14" ht="36.75" customHeight="1" x14ac:dyDescent="0.25">
      <c r="A14" s="225">
        <v>4</v>
      </c>
      <c r="B14" s="3" t="s">
        <v>13</v>
      </c>
      <c r="C14" s="63">
        <v>85</v>
      </c>
      <c r="D14" s="63">
        <v>23</v>
      </c>
      <c r="E14" s="65">
        <f t="shared" si="2"/>
        <v>42.5</v>
      </c>
      <c r="F14" s="268" t="s">
        <v>89</v>
      </c>
      <c r="G14" s="269"/>
      <c r="H14" s="3">
        <v>1</v>
      </c>
      <c r="I14" s="2"/>
      <c r="J14" s="3">
        <f t="shared" si="0"/>
        <v>1</v>
      </c>
      <c r="K14" s="2"/>
      <c r="L14" s="19"/>
      <c r="M14" s="157">
        <f t="shared" si="3"/>
        <v>74713.734031250016</v>
      </c>
      <c r="N14" s="158">
        <f t="shared" si="1"/>
        <v>74713.734031250016</v>
      </c>
    </row>
    <row r="15" spans="1:14" ht="36.75" customHeight="1" x14ac:dyDescent="0.25">
      <c r="A15" s="225">
        <v>5</v>
      </c>
      <c r="B15" s="3" t="s">
        <v>13</v>
      </c>
      <c r="C15" s="63">
        <v>85</v>
      </c>
      <c r="D15" s="63">
        <v>25</v>
      </c>
      <c r="E15" s="65">
        <f t="shared" si="2"/>
        <v>42.5</v>
      </c>
      <c r="F15" s="268" t="s">
        <v>70</v>
      </c>
      <c r="G15" s="269"/>
      <c r="H15" s="3">
        <v>1</v>
      </c>
      <c r="I15" s="2"/>
      <c r="J15" s="3">
        <f t="shared" si="0"/>
        <v>1</v>
      </c>
      <c r="K15" s="2"/>
      <c r="L15" s="19"/>
      <c r="M15" s="157">
        <f t="shared" si="3"/>
        <v>81210.58046875002</v>
      </c>
      <c r="N15" s="158">
        <f t="shared" si="1"/>
        <v>81210.58046875002</v>
      </c>
    </row>
    <row r="16" spans="1:14" ht="37.5" customHeight="1" x14ac:dyDescent="0.25">
      <c r="A16" s="225">
        <v>6</v>
      </c>
      <c r="B16" s="3" t="s">
        <v>13</v>
      </c>
      <c r="C16" s="63">
        <v>85</v>
      </c>
      <c r="D16" s="63">
        <v>27</v>
      </c>
      <c r="E16" s="65">
        <f t="shared" si="2"/>
        <v>42.5</v>
      </c>
      <c r="F16" s="268" t="s">
        <v>70</v>
      </c>
      <c r="G16" s="269"/>
      <c r="H16" s="3">
        <v>1</v>
      </c>
      <c r="I16" s="2"/>
      <c r="J16" s="3">
        <f t="shared" si="0"/>
        <v>1</v>
      </c>
      <c r="K16" s="2"/>
      <c r="L16" s="19"/>
      <c r="M16" s="157">
        <f t="shared" si="3"/>
        <v>87707.426906250024</v>
      </c>
      <c r="N16" s="158">
        <f t="shared" si="1"/>
        <v>87707.426906250024</v>
      </c>
    </row>
    <row r="17" spans="1:14" x14ac:dyDescent="0.25">
      <c r="A17" s="225">
        <v>7</v>
      </c>
      <c r="B17" s="1" t="s">
        <v>13</v>
      </c>
      <c r="C17" s="66">
        <v>50</v>
      </c>
      <c r="D17" s="66">
        <v>225</v>
      </c>
      <c r="E17" s="65">
        <f t="shared" si="2"/>
        <v>25</v>
      </c>
      <c r="F17" s="272" t="s">
        <v>109</v>
      </c>
      <c r="G17" s="261"/>
      <c r="H17" s="3">
        <v>1</v>
      </c>
      <c r="I17" s="2"/>
      <c r="J17" s="3">
        <f t="shared" si="0"/>
        <v>1</v>
      </c>
      <c r="K17" s="2"/>
      <c r="L17" s="18"/>
      <c r="M17" s="78">
        <f t="shared" si="3"/>
        <v>252904.921875</v>
      </c>
      <c r="N17" s="80">
        <f t="shared" si="1"/>
        <v>252904.921875</v>
      </c>
    </row>
    <row r="18" spans="1:14" x14ac:dyDescent="0.25">
      <c r="A18" s="225">
        <v>8</v>
      </c>
      <c r="B18" s="1" t="s">
        <v>13</v>
      </c>
      <c r="C18" s="6">
        <v>90</v>
      </c>
      <c r="D18" s="6">
        <v>130</v>
      </c>
      <c r="E18" s="4">
        <f t="shared" si="2"/>
        <v>45</v>
      </c>
      <c r="F18" s="272" t="s">
        <v>109</v>
      </c>
      <c r="G18" s="261"/>
      <c r="H18" s="3">
        <v>1</v>
      </c>
      <c r="I18" s="2"/>
      <c r="J18" s="3">
        <f t="shared" si="0"/>
        <v>1</v>
      </c>
      <c r="K18" s="2"/>
      <c r="L18" s="18"/>
      <c r="M18" s="78">
        <f t="shared" si="3"/>
        <v>473438.01375000004</v>
      </c>
      <c r="N18" s="80">
        <f t="shared" si="1"/>
        <v>473438.01375000004</v>
      </c>
    </row>
    <row r="19" spans="1:14" x14ac:dyDescent="0.25">
      <c r="M19" s="93" t="s">
        <v>159</v>
      </c>
      <c r="N19" s="82">
        <f>SUM(N11:N18)</f>
        <v>5308789.0362812495</v>
      </c>
    </row>
    <row r="20" spans="1:14" x14ac:dyDescent="0.25">
      <c r="B20" s="112" t="s">
        <v>181</v>
      </c>
      <c r="C20" s="110"/>
    </row>
    <row r="21" spans="1:14" x14ac:dyDescent="0.25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</row>
    <row r="22" spans="1:14" x14ac:dyDescent="0.25">
      <c r="A22" s="1" t="s">
        <v>38</v>
      </c>
      <c r="B22" s="24" t="s">
        <v>47</v>
      </c>
      <c r="C22" s="248" t="s">
        <v>2</v>
      </c>
      <c r="D22" s="250"/>
      <c r="E22" s="3" t="s">
        <v>167</v>
      </c>
      <c r="F22" s="260" t="s">
        <v>0</v>
      </c>
      <c r="G22" s="261"/>
      <c r="H22" s="1" t="s">
        <v>1</v>
      </c>
      <c r="I22" s="1" t="s">
        <v>42</v>
      </c>
      <c r="J22" s="1" t="s">
        <v>41</v>
      </c>
      <c r="K22" s="1" t="s">
        <v>48</v>
      </c>
      <c r="L22" s="1" t="s">
        <v>45</v>
      </c>
      <c r="M22" s="79" t="s">
        <v>156</v>
      </c>
      <c r="N22" s="79" t="s">
        <v>157</v>
      </c>
    </row>
    <row r="23" spans="1:14" x14ac:dyDescent="0.25">
      <c r="A23" s="3">
        <v>1</v>
      </c>
      <c r="B23" s="3" t="s">
        <v>21</v>
      </c>
      <c r="C23" s="63">
        <v>87</v>
      </c>
      <c r="D23" s="63">
        <v>175</v>
      </c>
      <c r="E23" s="65">
        <f t="shared" ref="E23:E26" si="4">C23/2</f>
        <v>43.5</v>
      </c>
      <c r="F23" s="248" t="s">
        <v>16</v>
      </c>
      <c r="G23" s="249"/>
      <c r="H23" s="3">
        <v>1</v>
      </c>
      <c r="I23" s="3"/>
      <c r="J23" s="2">
        <f t="shared" ref="J23:J26" si="5">H23-I23</f>
        <v>1</v>
      </c>
      <c r="K23" s="2"/>
      <c r="L23" s="18"/>
      <c r="M23" s="78">
        <f t="shared" ref="M23:M26" si="6">(3.14*E23*E23*D23)*7.9/1000000*72500</f>
        <v>595540.51003125007</v>
      </c>
      <c r="N23" s="80">
        <f t="shared" ref="N23:N26" si="7">M23*J23</f>
        <v>595540.51003125007</v>
      </c>
    </row>
    <row r="24" spans="1:14" x14ac:dyDescent="0.25">
      <c r="A24" s="3">
        <v>2</v>
      </c>
      <c r="B24" s="3" t="s">
        <v>21</v>
      </c>
      <c r="C24" s="63">
        <v>95</v>
      </c>
      <c r="D24" s="63">
        <v>180</v>
      </c>
      <c r="E24" s="65">
        <f t="shared" si="4"/>
        <v>47.5</v>
      </c>
      <c r="F24" s="248" t="s">
        <v>16</v>
      </c>
      <c r="G24" s="249"/>
      <c r="H24" s="3">
        <v>1</v>
      </c>
      <c r="I24" s="3"/>
      <c r="J24" s="2">
        <f t="shared" si="5"/>
        <v>1</v>
      </c>
      <c r="K24" s="1"/>
      <c r="L24" s="18"/>
      <c r="M24" s="78">
        <f t="shared" si="6"/>
        <v>730389.41437500005</v>
      </c>
      <c r="N24" s="80">
        <f t="shared" si="7"/>
        <v>730389.41437500005</v>
      </c>
    </row>
    <row r="25" spans="1:14" x14ac:dyDescent="0.25">
      <c r="A25" s="3">
        <v>3</v>
      </c>
      <c r="B25" s="3" t="s">
        <v>21</v>
      </c>
      <c r="C25" s="63">
        <v>110</v>
      </c>
      <c r="D25" s="63">
        <v>60</v>
      </c>
      <c r="E25" s="65">
        <f t="shared" si="4"/>
        <v>55</v>
      </c>
      <c r="F25" s="248" t="s">
        <v>10</v>
      </c>
      <c r="G25" s="249"/>
      <c r="H25" s="3">
        <v>1</v>
      </c>
      <c r="I25" s="3"/>
      <c r="J25" s="2">
        <f t="shared" si="5"/>
        <v>1</v>
      </c>
      <c r="K25" s="2"/>
      <c r="L25" s="20"/>
      <c r="M25" s="78">
        <f t="shared" si="6"/>
        <v>326415.95250000007</v>
      </c>
      <c r="N25" s="80">
        <f t="shared" si="7"/>
        <v>326415.95250000007</v>
      </c>
    </row>
    <row r="26" spans="1:14" x14ac:dyDescent="0.25">
      <c r="A26" s="3">
        <v>4</v>
      </c>
      <c r="B26" s="1" t="s">
        <v>21</v>
      </c>
      <c r="C26" s="24">
        <v>80</v>
      </c>
      <c r="D26" s="24">
        <v>56</v>
      </c>
      <c r="E26" s="65">
        <f t="shared" si="4"/>
        <v>40</v>
      </c>
      <c r="F26" s="272" t="s">
        <v>134</v>
      </c>
      <c r="G26" s="261"/>
      <c r="H26" s="3">
        <v>1</v>
      </c>
      <c r="I26" s="2"/>
      <c r="J26" s="2">
        <f t="shared" si="5"/>
        <v>1</v>
      </c>
      <c r="K26" s="2"/>
      <c r="L26" s="20"/>
      <c r="M26" s="78">
        <f t="shared" si="6"/>
        <v>161139.77599999998</v>
      </c>
      <c r="N26" s="80">
        <f t="shared" si="7"/>
        <v>161139.77599999998</v>
      </c>
    </row>
    <row r="27" spans="1:14" x14ac:dyDescent="0.25">
      <c r="M27" s="95" t="s">
        <v>160</v>
      </c>
      <c r="N27" s="81">
        <f>SUM(N23:N26)</f>
        <v>1813485.6529062502</v>
      </c>
    </row>
    <row r="29" spans="1:14" x14ac:dyDescent="0.25">
      <c r="M29" s="148" t="s">
        <v>158</v>
      </c>
      <c r="N29" s="147">
        <f>N19+N27</f>
        <v>7122274.6891874997</v>
      </c>
    </row>
  </sheetData>
  <mergeCells count="19">
    <mergeCell ref="F16:G16"/>
    <mergeCell ref="F17:G17"/>
    <mergeCell ref="F18:G18"/>
    <mergeCell ref="F11:G11"/>
    <mergeCell ref="C2:E2"/>
    <mergeCell ref="C3:E5"/>
    <mergeCell ref="C6:E6"/>
    <mergeCell ref="C10:D10"/>
    <mergeCell ref="F10:G10"/>
    <mergeCell ref="F12:G12"/>
    <mergeCell ref="F13:G13"/>
    <mergeCell ref="F14:G14"/>
    <mergeCell ref="F15:G15"/>
    <mergeCell ref="F23:G23"/>
    <mergeCell ref="F24:G24"/>
    <mergeCell ref="F25:G25"/>
    <mergeCell ref="F26:G26"/>
    <mergeCell ref="C22:D22"/>
    <mergeCell ref="F22:G22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40961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4096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N25"/>
  <sheetViews>
    <sheetView zoomScaleNormal="100" workbookViewId="0">
      <selection activeCell="K16" sqref="K16"/>
    </sheetView>
  </sheetViews>
  <sheetFormatPr defaultRowHeight="15" x14ac:dyDescent="0.25"/>
  <cols>
    <col min="1" max="1" width="4.140625" customWidth="1"/>
    <col min="2" max="2" width="16.5703125" customWidth="1"/>
    <col min="3" max="4" width="6.28515625" customWidth="1"/>
    <col min="5" max="5" width="6.140625" customWidth="1"/>
    <col min="6" max="6" width="11.28515625" customWidth="1"/>
    <col min="7" max="8" width="10" customWidth="1"/>
    <col min="9" max="9" width="8.5703125" customWidth="1"/>
    <col min="10" max="10" width="9.28515625" customWidth="1"/>
    <col min="11" max="11" width="25.42578125" customWidth="1"/>
    <col min="12" max="12" width="19.28515625" customWidth="1"/>
    <col min="13" max="14" width="17.7109375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47" t="s">
        <v>97</v>
      </c>
      <c r="J2" s="3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 t="s">
        <v>219</v>
      </c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12"/>
      <c r="H5" s="39"/>
      <c r="I5" s="39"/>
      <c r="J5" s="23"/>
    </row>
    <row r="6" spans="1:14" ht="15" customHeight="1" x14ac:dyDescent="0.25">
      <c r="A6" s="27"/>
      <c r="B6" s="12"/>
      <c r="C6" s="248"/>
      <c r="D6" s="250"/>
      <c r="E6" s="249"/>
      <c r="F6" s="49"/>
      <c r="G6" s="41"/>
      <c r="H6" s="40"/>
      <c r="I6" s="48"/>
      <c r="J6" s="41"/>
    </row>
    <row r="7" spans="1:14" ht="15" customHeight="1" x14ac:dyDescent="0.25">
      <c r="A7" s="25" t="s">
        <v>47</v>
      </c>
      <c r="B7" s="26"/>
      <c r="C7" t="s">
        <v>170</v>
      </c>
      <c r="F7" s="28"/>
      <c r="G7" s="28"/>
      <c r="H7" s="28"/>
      <c r="I7" s="28"/>
      <c r="J7" s="26"/>
    </row>
    <row r="8" spans="1:14" ht="15" customHeight="1" x14ac:dyDescent="0.25">
      <c r="A8" s="42" t="s">
        <v>63</v>
      </c>
      <c r="B8" s="7"/>
      <c r="C8" s="62" t="s">
        <v>248</v>
      </c>
      <c r="D8" s="62"/>
      <c r="E8" s="62"/>
      <c r="F8" s="11"/>
      <c r="G8" s="11"/>
      <c r="J8" s="30"/>
    </row>
    <row r="9" spans="1:14" ht="15" customHeight="1" x14ac:dyDescent="0.25">
      <c r="A9" s="27" t="s">
        <v>62</v>
      </c>
      <c r="B9" s="37"/>
      <c r="C9" t="s">
        <v>103</v>
      </c>
      <c r="F9" s="12"/>
      <c r="G9" s="12"/>
      <c r="H9" s="12"/>
      <c r="I9" s="12"/>
      <c r="J9" s="31"/>
    </row>
    <row r="10" spans="1:14" x14ac:dyDescent="0.25">
      <c r="A10" s="1" t="s">
        <v>38</v>
      </c>
      <c r="B10" s="24" t="s">
        <v>47</v>
      </c>
      <c r="C10" s="248" t="s">
        <v>2</v>
      </c>
      <c r="D10" s="249"/>
      <c r="E10" s="3" t="s">
        <v>167</v>
      </c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48</v>
      </c>
      <c r="L10" s="1" t="s">
        <v>45</v>
      </c>
      <c r="M10" s="79" t="s">
        <v>156</v>
      </c>
      <c r="N10" s="79" t="s">
        <v>157</v>
      </c>
    </row>
    <row r="11" spans="1:14" x14ac:dyDescent="0.25">
      <c r="A11" s="3">
        <v>1</v>
      </c>
      <c r="B11" s="3" t="s">
        <v>22</v>
      </c>
      <c r="C11" s="65">
        <v>217</v>
      </c>
      <c r="D11" s="65">
        <v>45</v>
      </c>
      <c r="E11" s="70">
        <f>C11/2</f>
        <v>108.5</v>
      </c>
      <c r="F11" s="248" t="s">
        <v>6</v>
      </c>
      <c r="G11" s="249"/>
      <c r="H11" s="3">
        <v>1</v>
      </c>
      <c r="I11" s="3"/>
      <c r="J11" s="3">
        <f>H11-I11</f>
        <v>1</v>
      </c>
      <c r="K11" s="2"/>
      <c r="L11" s="18"/>
      <c r="M11" s="78">
        <f t="shared" ref="M11:M18" si="0">(3.14*E11*E11*D11)*7.9/1000000*35000</f>
        <v>459935.33276249992</v>
      </c>
      <c r="N11" s="80">
        <f t="shared" ref="N11:N18" si="1">M11*J11</f>
        <v>459935.33276249992</v>
      </c>
    </row>
    <row r="12" spans="1:14" x14ac:dyDescent="0.25">
      <c r="A12" s="3">
        <v>2</v>
      </c>
      <c r="B12" s="3" t="s">
        <v>22</v>
      </c>
      <c r="C12" s="65">
        <v>134</v>
      </c>
      <c r="D12" s="65">
        <v>15</v>
      </c>
      <c r="E12" s="70">
        <f t="shared" ref="E12:E15" si="2">C12/2</f>
        <v>67</v>
      </c>
      <c r="F12" s="248" t="s">
        <v>6</v>
      </c>
      <c r="G12" s="249"/>
      <c r="H12" s="3">
        <v>1</v>
      </c>
      <c r="I12" s="3"/>
      <c r="J12" s="3">
        <f t="shared" ref="J12" si="3">H12-I12</f>
        <v>1</v>
      </c>
      <c r="K12" s="2"/>
      <c r="L12" s="18"/>
      <c r="M12" s="78">
        <f t="shared" si="0"/>
        <v>58460.92035</v>
      </c>
      <c r="N12" s="80">
        <f t="shared" si="1"/>
        <v>58460.92035</v>
      </c>
    </row>
    <row r="13" spans="1:14" x14ac:dyDescent="0.25">
      <c r="A13" s="230">
        <v>3</v>
      </c>
      <c r="B13" s="1" t="s">
        <v>22</v>
      </c>
      <c r="C13" s="66">
        <v>32</v>
      </c>
      <c r="D13" s="66">
        <v>74</v>
      </c>
      <c r="E13" s="70">
        <f t="shared" si="2"/>
        <v>16</v>
      </c>
      <c r="F13" s="272" t="s">
        <v>6</v>
      </c>
      <c r="G13" s="261"/>
      <c r="H13" s="1">
        <v>1</v>
      </c>
      <c r="I13" s="2"/>
      <c r="J13" s="3">
        <f t="shared" ref="J13" si="4">H13-I13</f>
        <v>1</v>
      </c>
      <c r="K13" s="2"/>
      <c r="L13" s="20"/>
      <c r="M13" s="78">
        <f t="shared" si="0"/>
        <v>16447.37024</v>
      </c>
      <c r="N13" s="80">
        <f t="shared" si="1"/>
        <v>16447.37024</v>
      </c>
    </row>
    <row r="14" spans="1:14" x14ac:dyDescent="0.25">
      <c r="A14" s="231">
        <v>4</v>
      </c>
      <c r="B14" s="1" t="s">
        <v>22</v>
      </c>
      <c r="C14" s="66">
        <v>35</v>
      </c>
      <c r="D14" s="66">
        <v>380</v>
      </c>
      <c r="E14" s="70">
        <f t="shared" si="2"/>
        <v>17.5</v>
      </c>
      <c r="F14" s="272" t="s">
        <v>109</v>
      </c>
      <c r="G14" s="261"/>
      <c r="H14" s="1">
        <v>1</v>
      </c>
      <c r="I14" s="2"/>
      <c r="J14" s="3">
        <f t="shared" ref="J14" si="5">H14-I14</f>
        <v>1</v>
      </c>
      <c r="K14" s="2"/>
      <c r="L14" s="20"/>
      <c r="M14" s="78">
        <f t="shared" si="0"/>
        <v>101037.93875</v>
      </c>
      <c r="N14" s="80">
        <f t="shared" si="1"/>
        <v>101037.93875</v>
      </c>
    </row>
    <row r="15" spans="1:14" x14ac:dyDescent="0.25">
      <c r="A15" s="231">
        <v>5</v>
      </c>
      <c r="B15" s="1" t="s">
        <v>22</v>
      </c>
      <c r="C15" s="66">
        <v>22</v>
      </c>
      <c r="D15" s="66">
        <v>545</v>
      </c>
      <c r="E15" s="70">
        <f t="shared" si="2"/>
        <v>11</v>
      </c>
      <c r="F15" s="272" t="s">
        <v>6</v>
      </c>
      <c r="G15" s="261"/>
      <c r="H15" s="1">
        <v>1</v>
      </c>
      <c r="I15" s="2"/>
      <c r="J15" s="3">
        <f t="shared" ref="J15" si="6">H15-I15</f>
        <v>1</v>
      </c>
      <c r="K15" s="2"/>
      <c r="L15" s="20"/>
      <c r="M15" s="78">
        <f t="shared" si="0"/>
        <v>57254.10845</v>
      </c>
      <c r="N15" s="80">
        <f t="shared" si="1"/>
        <v>57254.10845</v>
      </c>
    </row>
    <row r="16" spans="1:14" x14ac:dyDescent="0.25">
      <c r="A16" s="239">
        <v>6</v>
      </c>
      <c r="B16" s="3" t="s">
        <v>22</v>
      </c>
      <c r="C16" s="63">
        <v>32</v>
      </c>
      <c r="D16" s="63">
        <v>74</v>
      </c>
      <c r="E16" s="65">
        <f t="shared" ref="E16:E18" si="7">C16/2</f>
        <v>16</v>
      </c>
      <c r="F16" s="262" t="s">
        <v>6</v>
      </c>
      <c r="G16" s="263"/>
      <c r="H16" s="3">
        <v>1</v>
      </c>
      <c r="I16" s="3"/>
      <c r="J16" s="3">
        <f t="shared" ref="J16:J18" si="8">H16-I16</f>
        <v>1</v>
      </c>
      <c r="K16" s="9"/>
      <c r="L16" s="19"/>
      <c r="M16" s="78">
        <f t="shared" si="0"/>
        <v>16447.37024</v>
      </c>
      <c r="N16" s="80">
        <f t="shared" si="1"/>
        <v>16447.37024</v>
      </c>
    </row>
    <row r="17" spans="1:14" x14ac:dyDescent="0.25">
      <c r="A17" s="239">
        <v>7</v>
      </c>
      <c r="B17" s="3" t="s">
        <v>22</v>
      </c>
      <c r="C17" s="63">
        <v>22</v>
      </c>
      <c r="D17" s="63">
        <v>333</v>
      </c>
      <c r="E17" s="65">
        <f t="shared" si="7"/>
        <v>11</v>
      </c>
      <c r="F17" s="262" t="s">
        <v>6</v>
      </c>
      <c r="G17" s="263"/>
      <c r="H17" s="3">
        <v>1</v>
      </c>
      <c r="I17" s="3"/>
      <c r="J17" s="3">
        <f t="shared" si="8"/>
        <v>1</v>
      </c>
      <c r="K17" s="14"/>
      <c r="L17" s="19"/>
      <c r="M17" s="78">
        <f t="shared" si="0"/>
        <v>34982.785530000001</v>
      </c>
      <c r="N17" s="80">
        <f t="shared" si="1"/>
        <v>34982.785530000001</v>
      </c>
    </row>
    <row r="18" spans="1:14" x14ac:dyDescent="0.25">
      <c r="A18" s="239">
        <v>8</v>
      </c>
      <c r="B18" s="3" t="s">
        <v>22</v>
      </c>
      <c r="C18" s="63">
        <v>32</v>
      </c>
      <c r="D18" s="63">
        <v>645</v>
      </c>
      <c r="E18" s="65">
        <f t="shared" si="7"/>
        <v>16</v>
      </c>
      <c r="F18" s="262" t="s">
        <v>6</v>
      </c>
      <c r="G18" s="263"/>
      <c r="H18" s="3">
        <v>1</v>
      </c>
      <c r="I18" s="3"/>
      <c r="J18" s="3">
        <f t="shared" si="8"/>
        <v>1</v>
      </c>
      <c r="K18" s="14"/>
      <c r="L18" s="19"/>
      <c r="M18" s="78">
        <f t="shared" si="0"/>
        <v>143358.83520000003</v>
      </c>
      <c r="N18" s="80">
        <f t="shared" si="1"/>
        <v>143358.83520000003</v>
      </c>
    </row>
    <row r="19" spans="1:14" x14ac:dyDescent="0.25">
      <c r="A19" s="239">
        <v>9</v>
      </c>
      <c r="B19" s="1" t="s">
        <v>153</v>
      </c>
      <c r="C19" s="6">
        <v>50</v>
      </c>
      <c r="D19" s="6">
        <v>878</v>
      </c>
      <c r="E19" s="4">
        <f t="shared" ref="E19:E23" si="9">C19/2</f>
        <v>25</v>
      </c>
      <c r="F19" s="248" t="s">
        <v>6</v>
      </c>
      <c r="G19" s="249"/>
      <c r="H19" s="1">
        <v>1</v>
      </c>
      <c r="I19" s="2"/>
      <c r="J19" s="3">
        <f t="shared" ref="J19" si="10">H19-I19</f>
        <v>1</v>
      </c>
      <c r="K19" s="2"/>
      <c r="L19" s="20"/>
      <c r="M19" s="78">
        <f t="shared" ref="M19:M24" si="11">(3.14*E19*E19*D19)*7.9/1000000*55000</f>
        <v>748676.08750000002</v>
      </c>
      <c r="N19" s="80">
        <f t="shared" ref="N19" si="12">M19*J19</f>
        <v>748676.08750000002</v>
      </c>
    </row>
    <row r="20" spans="1:14" x14ac:dyDescent="0.25">
      <c r="A20" s="239">
        <v>10</v>
      </c>
      <c r="B20" s="1" t="s">
        <v>153</v>
      </c>
      <c r="C20" s="6">
        <v>45</v>
      </c>
      <c r="D20" s="6">
        <v>635</v>
      </c>
      <c r="E20" s="4">
        <f t="shared" si="9"/>
        <v>22.5</v>
      </c>
      <c r="F20" s="248" t="s">
        <v>6</v>
      </c>
      <c r="G20" s="249"/>
      <c r="H20" s="1">
        <v>1</v>
      </c>
      <c r="I20" s="2"/>
      <c r="J20" s="3">
        <f t="shared" ref="J20" si="13">H20-I20</f>
        <v>1</v>
      </c>
      <c r="K20" s="2"/>
      <c r="L20" s="20"/>
      <c r="M20" s="78">
        <f t="shared" si="11"/>
        <v>438589.45968750009</v>
      </c>
      <c r="N20" s="80">
        <f t="shared" ref="N20" si="14">M20*J20</f>
        <v>438589.45968750009</v>
      </c>
    </row>
    <row r="21" spans="1:14" x14ac:dyDescent="0.25">
      <c r="A21" s="239">
        <v>11</v>
      </c>
      <c r="B21" s="1" t="s">
        <v>153</v>
      </c>
      <c r="C21" s="6">
        <v>13</v>
      </c>
      <c r="D21" s="6">
        <v>627</v>
      </c>
      <c r="E21" s="4">
        <f t="shared" si="9"/>
        <v>6.5</v>
      </c>
      <c r="F21" s="248" t="s">
        <v>6</v>
      </c>
      <c r="G21" s="249"/>
      <c r="H21" s="1">
        <v>1</v>
      </c>
      <c r="I21" s="2"/>
      <c r="J21" s="3">
        <f t="shared" ref="J21" si="15">H21-I21</f>
        <v>1</v>
      </c>
      <c r="K21" s="2"/>
      <c r="L21" s="20"/>
      <c r="M21" s="78">
        <f t="shared" si="11"/>
        <v>36142.1249475</v>
      </c>
      <c r="N21" s="80">
        <f t="shared" ref="N21" si="16">M21*J21</f>
        <v>36142.1249475</v>
      </c>
    </row>
    <row r="22" spans="1:14" x14ac:dyDescent="0.25">
      <c r="A22" s="239">
        <v>12</v>
      </c>
      <c r="B22" s="1" t="s">
        <v>153</v>
      </c>
      <c r="C22" s="6">
        <v>35</v>
      </c>
      <c r="D22" s="6">
        <v>476</v>
      </c>
      <c r="E22" s="4">
        <f t="shared" si="9"/>
        <v>17.5</v>
      </c>
      <c r="F22" s="248" t="s">
        <v>6</v>
      </c>
      <c r="G22" s="249"/>
      <c r="H22" s="1">
        <v>1</v>
      </c>
      <c r="I22" s="3"/>
      <c r="J22" s="3">
        <f t="shared" ref="J22:J23" si="17">H22-I22</f>
        <v>1</v>
      </c>
      <c r="K22" s="2"/>
      <c r="L22" s="20"/>
      <c r="M22" s="78">
        <f t="shared" si="11"/>
        <v>198885.20575000002</v>
      </c>
      <c r="N22" s="80">
        <f t="shared" ref="N22:N24" si="18">M22*J22</f>
        <v>198885.20575000002</v>
      </c>
    </row>
    <row r="23" spans="1:14" x14ac:dyDescent="0.25">
      <c r="A23" s="239">
        <v>13</v>
      </c>
      <c r="B23" s="1" t="s">
        <v>153</v>
      </c>
      <c r="C23" s="6">
        <v>45</v>
      </c>
      <c r="D23" s="6">
        <v>338</v>
      </c>
      <c r="E23" s="4">
        <f t="shared" si="9"/>
        <v>22.5</v>
      </c>
      <c r="F23" s="248" t="s">
        <v>6</v>
      </c>
      <c r="G23" s="249"/>
      <c r="H23" s="1">
        <v>1</v>
      </c>
      <c r="I23" s="3"/>
      <c r="J23" s="3">
        <f t="shared" si="17"/>
        <v>1</v>
      </c>
      <c r="K23" s="2"/>
      <c r="L23" s="20"/>
      <c r="M23" s="78">
        <f t="shared" si="11"/>
        <v>233453.91712500004</v>
      </c>
      <c r="N23" s="80">
        <f t="shared" si="18"/>
        <v>233453.91712500004</v>
      </c>
    </row>
    <row r="24" spans="1:14" x14ac:dyDescent="0.25">
      <c r="A24" s="239">
        <v>14</v>
      </c>
      <c r="B24" s="1" t="s">
        <v>153</v>
      </c>
      <c r="C24" s="6">
        <v>16</v>
      </c>
      <c r="D24" s="6">
        <v>474</v>
      </c>
      <c r="E24" s="4">
        <f t="shared" ref="E24" si="19">C24/2</f>
        <v>8</v>
      </c>
      <c r="F24" s="248" t="s">
        <v>6</v>
      </c>
      <c r="G24" s="249"/>
      <c r="H24" s="1">
        <v>1</v>
      </c>
      <c r="I24" s="236"/>
      <c r="J24" s="236">
        <f t="shared" ref="J24" si="20">H24-I24</f>
        <v>1</v>
      </c>
      <c r="K24" s="2"/>
      <c r="L24" s="20"/>
      <c r="M24" s="78">
        <f t="shared" si="11"/>
        <v>41388.314880000005</v>
      </c>
      <c r="N24" s="80">
        <f t="shared" si="18"/>
        <v>41388.314880000005</v>
      </c>
    </row>
    <row r="25" spans="1:14" x14ac:dyDescent="0.25">
      <c r="M25" s="93" t="s">
        <v>158</v>
      </c>
      <c r="N25" s="82">
        <f>SUM(N11:N24)</f>
        <v>2585059.7714125002</v>
      </c>
    </row>
  </sheetData>
  <autoFilter ref="C1:E25"/>
  <mergeCells count="19">
    <mergeCell ref="F20:G20"/>
    <mergeCell ref="F19:G19"/>
    <mergeCell ref="F21:G21"/>
    <mergeCell ref="F24:G24"/>
    <mergeCell ref="F18:G18"/>
    <mergeCell ref="F23:G23"/>
    <mergeCell ref="F22:G22"/>
    <mergeCell ref="C2:E2"/>
    <mergeCell ref="C3:E5"/>
    <mergeCell ref="C6:E6"/>
    <mergeCell ref="C10:D10"/>
    <mergeCell ref="F10:G10"/>
    <mergeCell ref="F16:G16"/>
    <mergeCell ref="F17:G17"/>
    <mergeCell ref="F11:G11"/>
    <mergeCell ref="F12:G12"/>
    <mergeCell ref="F15:G15"/>
    <mergeCell ref="F13:G13"/>
    <mergeCell ref="F14:G14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15361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15361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N31"/>
  <sheetViews>
    <sheetView topLeftCell="A10" zoomScale="84" zoomScaleNormal="84" workbookViewId="0">
      <selection activeCell="C9" sqref="C9"/>
    </sheetView>
  </sheetViews>
  <sheetFormatPr defaultRowHeight="15" x14ac:dyDescent="0.25"/>
  <cols>
    <col min="1" max="1" width="4.140625" customWidth="1"/>
    <col min="2" max="2" width="15.85546875" customWidth="1"/>
    <col min="3" max="5" width="6.28515625" customWidth="1"/>
    <col min="6" max="6" width="11.28515625" customWidth="1"/>
    <col min="7" max="8" width="10" customWidth="1"/>
    <col min="9" max="9" width="9.5703125" customWidth="1"/>
    <col min="10" max="10" width="9.28515625" customWidth="1"/>
    <col min="11" max="11" width="24.28515625" customWidth="1"/>
    <col min="12" max="12" width="18.5703125" customWidth="1"/>
    <col min="13" max="14" width="17.85546875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47" t="s">
        <v>97</v>
      </c>
      <c r="J2" s="3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3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2"/>
      <c r="H5" s="12"/>
      <c r="I5" s="39"/>
      <c r="J5" s="39"/>
      <c r="K5" s="23"/>
    </row>
    <row r="6" spans="1:14" ht="15" customHeight="1" x14ac:dyDescent="0.25">
      <c r="A6" s="27"/>
      <c r="B6" s="12"/>
      <c r="C6" s="248"/>
      <c r="D6" s="250"/>
      <c r="E6" s="249"/>
      <c r="F6" s="49"/>
      <c r="G6" s="41"/>
      <c r="H6" s="41"/>
      <c r="I6" s="41"/>
      <c r="J6" s="41"/>
    </row>
    <row r="7" spans="1:14" ht="15" customHeight="1" x14ac:dyDescent="0.25">
      <c r="A7" s="25" t="s">
        <v>47</v>
      </c>
      <c r="B7" s="26"/>
      <c r="C7" t="s">
        <v>171</v>
      </c>
      <c r="F7" s="28"/>
      <c r="G7" s="28"/>
      <c r="H7" s="28"/>
      <c r="I7" s="28"/>
      <c r="J7" s="26"/>
    </row>
    <row r="8" spans="1:14" ht="15" customHeight="1" x14ac:dyDescent="0.25">
      <c r="A8" s="42" t="s">
        <v>63</v>
      </c>
      <c r="B8" s="7"/>
      <c r="C8" s="62" t="s">
        <v>248</v>
      </c>
      <c r="D8" s="62"/>
      <c r="E8" s="62"/>
      <c r="F8" s="11"/>
      <c r="G8" s="11"/>
      <c r="H8" s="11"/>
      <c r="I8" s="11"/>
      <c r="J8" s="35"/>
    </row>
    <row r="9" spans="1:14" ht="15" customHeight="1" x14ac:dyDescent="0.25">
      <c r="A9" s="27" t="s">
        <v>62</v>
      </c>
      <c r="B9" s="37"/>
      <c r="C9" t="s">
        <v>103</v>
      </c>
      <c r="F9" s="12"/>
      <c r="G9" s="12"/>
      <c r="H9" s="12"/>
      <c r="I9" s="12"/>
      <c r="J9" s="37"/>
    </row>
    <row r="10" spans="1:14" ht="15" customHeight="1" x14ac:dyDescent="0.25">
      <c r="A10" s="1" t="s">
        <v>38</v>
      </c>
      <c r="B10" s="24" t="s">
        <v>47</v>
      </c>
      <c r="C10" s="248" t="s">
        <v>2</v>
      </c>
      <c r="D10" s="249"/>
      <c r="E10" s="108" t="s">
        <v>167</v>
      </c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79" t="s">
        <v>156</v>
      </c>
      <c r="N10" s="79" t="s">
        <v>157</v>
      </c>
    </row>
    <row r="11" spans="1:14" x14ac:dyDescent="0.25">
      <c r="A11" s="227">
        <v>1</v>
      </c>
      <c r="B11" s="3" t="s">
        <v>23</v>
      </c>
      <c r="C11" s="65">
        <v>100</v>
      </c>
      <c r="D11" s="65">
        <v>34</v>
      </c>
      <c r="E11" s="70">
        <f t="shared" ref="E11:E22" si="0">C11/2</f>
        <v>50</v>
      </c>
      <c r="F11" s="248" t="s">
        <v>6</v>
      </c>
      <c r="G11" s="249"/>
      <c r="H11" s="3">
        <v>1</v>
      </c>
      <c r="I11" s="3"/>
      <c r="J11" s="3">
        <f t="shared" ref="J11:J22" si="1">H11-I11</f>
        <v>1</v>
      </c>
      <c r="K11" s="2"/>
      <c r="L11" s="18"/>
      <c r="M11" s="78">
        <f t="shared" ref="M11:M29" si="2">(3.14*E11*E11*D11)*7.9/1000000*50000</f>
        <v>105425.5</v>
      </c>
      <c r="N11" s="80">
        <f t="shared" ref="N11:N29" si="3">M11*J11</f>
        <v>105425.5</v>
      </c>
    </row>
    <row r="12" spans="1:14" x14ac:dyDescent="0.25">
      <c r="A12" s="230">
        <v>2</v>
      </c>
      <c r="B12" s="3" t="s">
        <v>23</v>
      </c>
      <c r="C12" s="65">
        <v>75</v>
      </c>
      <c r="D12" s="65">
        <v>65</v>
      </c>
      <c r="E12" s="70">
        <f t="shared" si="0"/>
        <v>37.5</v>
      </c>
      <c r="F12" s="248" t="s">
        <v>6</v>
      </c>
      <c r="G12" s="249"/>
      <c r="H12" s="3">
        <v>1</v>
      </c>
      <c r="I12" s="3"/>
      <c r="J12" s="3">
        <f t="shared" si="1"/>
        <v>1</v>
      </c>
      <c r="K12" s="2"/>
      <c r="L12" s="18"/>
      <c r="M12" s="78">
        <f t="shared" si="2"/>
        <v>113371.17187500001</v>
      </c>
      <c r="N12" s="80">
        <f t="shared" si="3"/>
        <v>113371.17187500001</v>
      </c>
    </row>
    <row r="13" spans="1:14" x14ac:dyDescent="0.25">
      <c r="A13" s="230">
        <v>3</v>
      </c>
      <c r="B13" s="3" t="s">
        <v>24</v>
      </c>
      <c r="C13" s="65">
        <v>75</v>
      </c>
      <c r="D13" s="65">
        <v>145</v>
      </c>
      <c r="E13" s="70">
        <f t="shared" si="0"/>
        <v>37.5</v>
      </c>
      <c r="F13" s="248" t="s">
        <v>6</v>
      </c>
      <c r="G13" s="249"/>
      <c r="H13" s="3">
        <v>1</v>
      </c>
      <c r="I13" s="3"/>
      <c r="J13" s="3">
        <f t="shared" si="1"/>
        <v>1</v>
      </c>
      <c r="K13" s="2"/>
      <c r="L13" s="18"/>
      <c r="M13" s="78">
        <f t="shared" si="2"/>
        <v>252904.921875</v>
      </c>
      <c r="N13" s="80">
        <f t="shared" si="3"/>
        <v>252904.921875</v>
      </c>
    </row>
    <row r="14" spans="1:14" x14ac:dyDescent="0.25">
      <c r="A14" s="231">
        <v>4</v>
      </c>
      <c r="B14" s="3" t="s">
        <v>24</v>
      </c>
      <c r="C14" s="65">
        <v>120</v>
      </c>
      <c r="D14" s="65">
        <v>90</v>
      </c>
      <c r="E14" s="70">
        <f t="shared" si="0"/>
        <v>60</v>
      </c>
      <c r="F14" s="248" t="s">
        <v>6</v>
      </c>
      <c r="G14" s="249"/>
      <c r="H14" s="3">
        <v>1</v>
      </c>
      <c r="I14" s="3"/>
      <c r="J14" s="3">
        <f t="shared" si="1"/>
        <v>1</v>
      </c>
      <c r="K14" s="2"/>
      <c r="L14" s="18"/>
      <c r="M14" s="78">
        <f t="shared" si="2"/>
        <v>401857.19999999995</v>
      </c>
      <c r="N14" s="80">
        <f t="shared" si="3"/>
        <v>401857.19999999995</v>
      </c>
    </row>
    <row r="15" spans="1:14" x14ac:dyDescent="0.25">
      <c r="A15" s="231">
        <v>5</v>
      </c>
      <c r="B15" s="3" t="s">
        <v>24</v>
      </c>
      <c r="C15" s="24">
        <v>100</v>
      </c>
      <c r="D15" s="24">
        <v>55</v>
      </c>
      <c r="E15" s="70">
        <f t="shared" si="0"/>
        <v>50</v>
      </c>
      <c r="F15" s="272" t="s">
        <v>76</v>
      </c>
      <c r="G15" s="261"/>
      <c r="H15" s="1">
        <v>1</v>
      </c>
      <c r="I15" s="1"/>
      <c r="J15" s="3">
        <f t="shared" si="1"/>
        <v>1</v>
      </c>
      <c r="K15" s="1"/>
      <c r="L15" s="18"/>
      <c r="M15" s="78">
        <f t="shared" si="2"/>
        <v>170541.25</v>
      </c>
      <c r="N15" s="80">
        <f t="shared" si="3"/>
        <v>170541.25</v>
      </c>
    </row>
    <row r="16" spans="1:14" x14ac:dyDescent="0.25">
      <c r="A16" s="231">
        <v>6</v>
      </c>
      <c r="B16" s="3" t="s">
        <v>24</v>
      </c>
      <c r="C16" s="24">
        <v>25</v>
      </c>
      <c r="D16" s="24">
        <v>1000</v>
      </c>
      <c r="E16" s="70">
        <f t="shared" si="0"/>
        <v>12.5</v>
      </c>
      <c r="F16" s="272" t="s">
        <v>8</v>
      </c>
      <c r="G16" s="261"/>
      <c r="H16" s="1">
        <v>1</v>
      </c>
      <c r="I16" s="2"/>
      <c r="J16" s="3">
        <f t="shared" si="1"/>
        <v>1</v>
      </c>
      <c r="K16" s="2"/>
      <c r="L16" s="18"/>
      <c r="M16" s="78">
        <f t="shared" si="2"/>
        <v>193796.875</v>
      </c>
      <c r="N16" s="80">
        <f t="shared" si="3"/>
        <v>193796.875</v>
      </c>
    </row>
    <row r="17" spans="1:14" x14ac:dyDescent="0.25">
      <c r="A17" s="231">
        <v>7</v>
      </c>
      <c r="B17" s="3" t="s">
        <v>24</v>
      </c>
      <c r="C17" s="24">
        <v>25</v>
      </c>
      <c r="D17" s="24">
        <v>1000</v>
      </c>
      <c r="E17" s="70">
        <f t="shared" si="0"/>
        <v>12.5</v>
      </c>
      <c r="F17" s="272" t="s">
        <v>8</v>
      </c>
      <c r="G17" s="261"/>
      <c r="H17" s="1">
        <v>1</v>
      </c>
      <c r="I17" s="2"/>
      <c r="J17" s="3">
        <f t="shared" si="1"/>
        <v>1</v>
      </c>
      <c r="K17" s="2"/>
      <c r="L17" s="18"/>
      <c r="M17" s="78">
        <f t="shared" si="2"/>
        <v>193796.875</v>
      </c>
      <c r="N17" s="80">
        <f t="shared" si="3"/>
        <v>193796.875</v>
      </c>
    </row>
    <row r="18" spans="1:14" x14ac:dyDescent="0.25">
      <c r="A18" s="231">
        <v>8</v>
      </c>
      <c r="B18" s="3" t="s">
        <v>24</v>
      </c>
      <c r="C18" s="24">
        <v>40</v>
      </c>
      <c r="D18" s="24">
        <v>654</v>
      </c>
      <c r="E18" s="70">
        <f t="shared" si="0"/>
        <v>20</v>
      </c>
      <c r="F18" s="272" t="s">
        <v>6</v>
      </c>
      <c r="G18" s="261"/>
      <c r="H18" s="1">
        <v>1</v>
      </c>
      <c r="I18" s="1"/>
      <c r="J18" s="3">
        <f t="shared" si="1"/>
        <v>1</v>
      </c>
      <c r="K18" s="2"/>
      <c r="L18" s="18"/>
      <c r="M18" s="78">
        <f t="shared" si="2"/>
        <v>324462.48000000004</v>
      </c>
      <c r="N18" s="80">
        <f t="shared" si="3"/>
        <v>324462.48000000004</v>
      </c>
    </row>
    <row r="19" spans="1:14" x14ac:dyDescent="0.25">
      <c r="A19" s="231">
        <v>9</v>
      </c>
      <c r="B19" s="3" t="s">
        <v>24</v>
      </c>
      <c r="C19" s="65">
        <v>180</v>
      </c>
      <c r="D19" s="65">
        <v>60</v>
      </c>
      <c r="E19" s="70">
        <f t="shared" si="0"/>
        <v>90</v>
      </c>
      <c r="F19" s="272" t="s">
        <v>6</v>
      </c>
      <c r="G19" s="261"/>
      <c r="H19" s="1">
        <v>1</v>
      </c>
      <c r="I19" s="1"/>
      <c r="J19" s="3">
        <f t="shared" si="1"/>
        <v>1</v>
      </c>
      <c r="K19" s="2"/>
      <c r="L19" s="18"/>
      <c r="M19" s="78">
        <f t="shared" si="2"/>
        <v>602785.80000000016</v>
      </c>
      <c r="N19" s="80">
        <f t="shared" si="3"/>
        <v>602785.80000000016</v>
      </c>
    </row>
    <row r="20" spans="1:14" x14ac:dyDescent="0.25">
      <c r="A20" s="231">
        <v>10</v>
      </c>
      <c r="B20" s="3" t="s">
        <v>24</v>
      </c>
      <c r="C20" s="66">
        <v>25</v>
      </c>
      <c r="D20" s="66">
        <v>740</v>
      </c>
      <c r="E20" s="70">
        <f t="shared" si="0"/>
        <v>12.5</v>
      </c>
      <c r="F20" s="272" t="s">
        <v>120</v>
      </c>
      <c r="G20" s="261"/>
      <c r="H20" s="1">
        <v>1</v>
      </c>
      <c r="I20" s="1"/>
      <c r="J20" s="3">
        <f t="shared" si="1"/>
        <v>1</v>
      </c>
      <c r="K20" s="2"/>
      <c r="L20" s="18"/>
      <c r="M20" s="78">
        <f t="shared" si="2"/>
        <v>143409.6875</v>
      </c>
      <c r="N20" s="80">
        <f t="shared" si="3"/>
        <v>143409.6875</v>
      </c>
    </row>
    <row r="21" spans="1:14" x14ac:dyDescent="0.25">
      <c r="A21" s="231">
        <v>11</v>
      </c>
      <c r="B21" s="3" t="s">
        <v>24</v>
      </c>
      <c r="C21" s="65">
        <v>16</v>
      </c>
      <c r="D21" s="65">
        <v>388</v>
      </c>
      <c r="E21" s="70">
        <f t="shared" si="0"/>
        <v>8</v>
      </c>
      <c r="F21" s="272" t="s">
        <v>6</v>
      </c>
      <c r="G21" s="261"/>
      <c r="H21" s="1">
        <v>1</v>
      </c>
      <c r="I21" s="2"/>
      <c r="J21" s="3">
        <f t="shared" si="1"/>
        <v>1</v>
      </c>
      <c r="K21" s="2"/>
      <c r="L21" s="18"/>
      <c r="M21" s="78">
        <f t="shared" si="2"/>
        <v>30799.129599999997</v>
      </c>
      <c r="N21" s="80">
        <f t="shared" si="3"/>
        <v>30799.129599999997</v>
      </c>
    </row>
    <row r="22" spans="1:14" x14ac:dyDescent="0.25">
      <c r="A22" s="231">
        <v>12</v>
      </c>
      <c r="B22" s="3" t="s">
        <v>24</v>
      </c>
      <c r="C22" s="66">
        <v>30</v>
      </c>
      <c r="D22" s="66">
        <v>740</v>
      </c>
      <c r="E22" s="70">
        <f t="shared" si="0"/>
        <v>15</v>
      </c>
      <c r="F22" s="272" t="s">
        <v>6</v>
      </c>
      <c r="G22" s="261"/>
      <c r="H22" s="1">
        <v>1</v>
      </c>
      <c r="I22" s="2"/>
      <c r="J22" s="3">
        <f t="shared" si="1"/>
        <v>1</v>
      </c>
      <c r="K22" s="2"/>
      <c r="L22" s="18"/>
      <c r="M22" s="78">
        <f t="shared" si="2"/>
        <v>206509.95</v>
      </c>
      <c r="N22" s="80">
        <f t="shared" si="3"/>
        <v>206509.95</v>
      </c>
    </row>
    <row r="23" spans="1:14" x14ac:dyDescent="0.25">
      <c r="A23" s="139">
        <v>13</v>
      </c>
      <c r="B23" s="3" t="s">
        <v>202</v>
      </c>
      <c r="C23" s="63">
        <v>105</v>
      </c>
      <c r="D23" s="63">
        <v>62</v>
      </c>
      <c r="E23" s="65">
        <f t="shared" ref="E23:E29" si="4">C23/2</f>
        <v>52.5</v>
      </c>
      <c r="F23" s="262" t="s">
        <v>64</v>
      </c>
      <c r="G23" s="263"/>
      <c r="H23" s="3">
        <v>4</v>
      </c>
      <c r="I23" s="3"/>
      <c r="J23" s="3">
        <f t="shared" ref="J23:J29" si="5">H23-I23</f>
        <v>4</v>
      </c>
      <c r="K23" s="9"/>
      <c r="L23" s="21"/>
      <c r="M23" s="78">
        <f t="shared" si="2"/>
        <v>211951.76625000002</v>
      </c>
      <c r="N23" s="80">
        <f t="shared" si="3"/>
        <v>847807.06500000006</v>
      </c>
    </row>
    <row r="24" spans="1:14" x14ac:dyDescent="0.25">
      <c r="A24" s="139">
        <v>14</v>
      </c>
      <c r="B24" s="3" t="s">
        <v>203</v>
      </c>
      <c r="C24" s="65">
        <v>150</v>
      </c>
      <c r="D24" s="65">
        <v>51</v>
      </c>
      <c r="E24" s="65">
        <f t="shared" si="4"/>
        <v>75</v>
      </c>
      <c r="F24" s="262" t="s">
        <v>73</v>
      </c>
      <c r="G24" s="263"/>
      <c r="H24" s="3">
        <v>1</v>
      </c>
      <c r="I24" s="3"/>
      <c r="J24" s="3">
        <f t="shared" si="5"/>
        <v>1</v>
      </c>
      <c r="K24" s="9"/>
      <c r="L24" s="21"/>
      <c r="M24" s="78">
        <f t="shared" si="2"/>
        <v>355811.0625</v>
      </c>
      <c r="N24" s="80">
        <f t="shared" si="3"/>
        <v>355811.0625</v>
      </c>
    </row>
    <row r="25" spans="1:14" x14ac:dyDescent="0.25">
      <c r="A25" s="139">
        <v>15</v>
      </c>
      <c r="B25" s="3" t="s">
        <v>202</v>
      </c>
      <c r="C25" s="63">
        <v>40</v>
      </c>
      <c r="D25" s="63">
        <v>300</v>
      </c>
      <c r="E25" s="65">
        <f t="shared" si="4"/>
        <v>20</v>
      </c>
      <c r="F25" s="262" t="s">
        <v>65</v>
      </c>
      <c r="G25" s="263"/>
      <c r="H25" s="3">
        <v>1</v>
      </c>
      <c r="I25" s="3"/>
      <c r="J25" s="3">
        <f t="shared" si="5"/>
        <v>1</v>
      </c>
      <c r="K25" s="9"/>
      <c r="L25" s="21"/>
      <c r="M25" s="78">
        <f t="shared" si="2"/>
        <v>148836</v>
      </c>
      <c r="N25" s="80">
        <f t="shared" si="3"/>
        <v>148836</v>
      </c>
    </row>
    <row r="26" spans="1:14" x14ac:dyDescent="0.25">
      <c r="A26" s="3">
        <v>16</v>
      </c>
      <c r="B26" s="3" t="s">
        <v>24</v>
      </c>
      <c r="C26" s="3">
        <v>75</v>
      </c>
      <c r="D26" s="3">
        <v>60</v>
      </c>
      <c r="E26" s="4">
        <f t="shared" si="4"/>
        <v>37.5</v>
      </c>
      <c r="F26" s="262" t="s">
        <v>6</v>
      </c>
      <c r="G26" s="263"/>
      <c r="H26" s="3">
        <v>1</v>
      </c>
      <c r="I26" s="3"/>
      <c r="J26" s="3">
        <f t="shared" si="5"/>
        <v>1</v>
      </c>
      <c r="K26" s="9"/>
      <c r="L26" s="21"/>
      <c r="M26" s="78">
        <f t="shared" si="2"/>
        <v>104650.31250000001</v>
      </c>
      <c r="N26" s="80">
        <f t="shared" si="3"/>
        <v>104650.31250000001</v>
      </c>
    </row>
    <row r="27" spans="1:14" x14ac:dyDescent="0.25">
      <c r="A27" s="3">
        <v>17</v>
      </c>
      <c r="B27" s="3" t="s">
        <v>24</v>
      </c>
      <c r="C27" s="3">
        <v>35</v>
      </c>
      <c r="D27" s="3">
        <v>152</v>
      </c>
      <c r="E27" s="4">
        <f t="shared" si="4"/>
        <v>17.5</v>
      </c>
      <c r="F27" s="262" t="s">
        <v>6</v>
      </c>
      <c r="G27" s="263"/>
      <c r="H27" s="3">
        <v>1</v>
      </c>
      <c r="I27" s="3"/>
      <c r="J27" s="3">
        <f t="shared" si="5"/>
        <v>1</v>
      </c>
      <c r="K27" s="9"/>
      <c r="L27" s="21"/>
      <c r="M27" s="78">
        <f t="shared" si="2"/>
        <v>57735.965000000004</v>
      </c>
      <c r="N27" s="80">
        <f t="shared" si="3"/>
        <v>57735.965000000004</v>
      </c>
    </row>
    <row r="28" spans="1:14" x14ac:dyDescent="0.25">
      <c r="A28" s="230">
        <v>18</v>
      </c>
      <c r="B28" s="3" t="s">
        <v>24</v>
      </c>
      <c r="C28" s="3">
        <v>35</v>
      </c>
      <c r="D28" s="3">
        <v>265</v>
      </c>
      <c r="E28" s="4">
        <f t="shared" si="4"/>
        <v>17.5</v>
      </c>
      <c r="F28" s="262" t="s">
        <v>6</v>
      </c>
      <c r="G28" s="263"/>
      <c r="H28" s="3">
        <v>1</v>
      </c>
      <c r="I28" s="3"/>
      <c r="J28" s="3">
        <f t="shared" si="5"/>
        <v>1</v>
      </c>
      <c r="K28" s="9"/>
      <c r="L28" s="21"/>
      <c r="M28" s="78">
        <f t="shared" si="2"/>
        <v>100658.096875</v>
      </c>
      <c r="N28" s="80">
        <f t="shared" si="3"/>
        <v>100658.096875</v>
      </c>
    </row>
    <row r="29" spans="1:14" x14ac:dyDescent="0.25">
      <c r="A29" s="230">
        <v>19</v>
      </c>
      <c r="B29" s="3" t="s">
        <v>24</v>
      </c>
      <c r="C29" s="3">
        <v>30</v>
      </c>
      <c r="D29" s="3">
        <v>588</v>
      </c>
      <c r="E29" s="4">
        <f t="shared" si="4"/>
        <v>15</v>
      </c>
      <c r="F29" s="262" t="s">
        <v>6</v>
      </c>
      <c r="G29" s="263"/>
      <c r="H29" s="3">
        <v>1</v>
      </c>
      <c r="I29" s="3"/>
      <c r="J29" s="3">
        <f t="shared" si="5"/>
        <v>1</v>
      </c>
      <c r="K29" s="9"/>
      <c r="L29" s="21"/>
      <c r="M29" s="78">
        <f t="shared" si="2"/>
        <v>164091.69</v>
      </c>
      <c r="N29" s="80">
        <f t="shared" si="3"/>
        <v>164091.69</v>
      </c>
    </row>
    <row r="30" spans="1:14" x14ac:dyDescent="0.25">
      <c r="A30" s="3"/>
      <c r="B30" s="3"/>
      <c r="C30" s="3"/>
      <c r="D30" s="3"/>
      <c r="E30" s="4"/>
      <c r="F30" s="262"/>
      <c r="G30" s="263"/>
      <c r="H30" s="3"/>
      <c r="I30" s="3"/>
      <c r="J30" s="9"/>
      <c r="K30" s="9"/>
      <c r="L30" s="21"/>
      <c r="M30" s="78"/>
      <c r="N30" s="80"/>
    </row>
    <row r="31" spans="1:14" x14ac:dyDescent="0.25">
      <c r="M31" s="93" t="s">
        <v>158</v>
      </c>
      <c r="N31" s="82">
        <f>SUM(N11:N30)</f>
        <v>4519251.0327250008</v>
      </c>
    </row>
  </sheetData>
  <mergeCells count="25">
    <mergeCell ref="F22:G22"/>
    <mergeCell ref="F21:G21"/>
    <mergeCell ref="F25:G25"/>
    <mergeCell ref="F26:G26"/>
    <mergeCell ref="F10:G10"/>
    <mergeCell ref="F23:G23"/>
    <mergeCell ref="F24:G24"/>
    <mergeCell ref="F12:G12"/>
    <mergeCell ref="F13:G13"/>
    <mergeCell ref="F30:G30"/>
    <mergeCell ref="F28:G28"/>
    <mergeCell ref="F29:G29"/>
    <mergeCell ref="C2:E2"/>
    <mergeCell ref="C3:E5"/>
    <mergeCell ref="C6:E6"/>
    <mergeCell ref="F20:G20"/>
    <mergeCell ref="F15:G15"/>
    <mergeCell ref="F14:G14"/>
    <mergeCell ref="F16:G16"/>
    <mergeCell ref="F17:G17"/>
    <mergeCell ref="F18:G18"/>
    <mergeCell ref="F19:G19"/>
    <mergeCell ref="C10:D10"/>
    <mergeCell ref="F11:G11"/>
    <mergeCell ref="F27:G27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17409" r:id="rId4">
          <objectPr defaultSize="0" autoPict="0" r:id="rId5">
            <anchor moveWithCells="1" sizeWithCells="1">
              <from>
                <xdr:col>0</xdr:col>
                <xdr:colOff>47625</xdr:colOff>
                <xdr:row>1</xdr:row>
                <xdr:rowOff>57150</xdr:rowOff>
              </from>
              <to>
                <xdr:col>1</xdr:col>
                <xdr:colOff>1000125</xdr:colOff>
                <xdr:row>5</xdr:row>
                <xdr:rowOff>161925</xdr:rowOff>
              </to>
            </anchor>
          </objectPr>
        </oleObject>
      </mc:Choice>
      <mc:Fallback>
        <oleObject progId="PBrush" shapeId="17409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N17"/>
  <sheetViews>
    <sheetView zoomScale="82" zoomScaleNormal="82" workbookViewId="0">
      <selection activeCell="C29" sqref="C29"/>
    </sheetView>
  </sheetViews>
  <sheetFormatPr defaultRowHeight="15" x14ac:dyDescent="0.25"/>
  <cols>
    <col min="1" max="1" width="4.140625" customWidth="1"/>
    <col min="2" max="2" width="14.28515625" customWidth="1"/>
    <col min="3" max="5" width="6.28515625" customWidth="1"/>
    <col min="6" max="6" width="11.28515625" customWidth="1"/>
    <col min="7" max="7" width="10.140625" customWidth="1"/>
    <col min="8" max="8" width="10" customWidth="1"/>
    <col min="9" max="9" width="9.5703125" customWidth="1"/>
    <col min="10" max="10" width="9.42578125" customWidth="1"/>
    <col min="11" max="11" width="21.7109375" customWidth="1"/>
    <col min="12" max="12" width="22.7109375" customWidth="1"/>
    <col min="13" max="14" width="17.42578125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47" t="s">
        <v>97</v>
      </c>
      <c r="J2" s="3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3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37"/>
      <c r="H5" s="12"/>
      <c r="I5" s="39"/>
      <c r="J5" s="39"/>
    </row>
    <row r="6" spans="1:14" ht="15" customHeight="1" x14ac:dyDescent="0.25">
      <c r="A6" s="27"/>
      <c r="B6" s="12"/>
      <c r="C6" s="248"/>
      <c r="D6" s="250"/>
      <c r="E6" s="249"/>
      <c r="F6" s="49"/>
      <c r="G6" s="41"/>
      <c r="H6" s="41"/>
      <c r="I6" s="41"/>
      <c r="J6" s="41"/>
    </row>
    <row r="7" spans="1:14" ht="15" customHeight="1" x14ac:dyDescent="0.25">
      <c r="A7" s="25" t="s">
        <v>47</v>
      </c>
      <c r="B7" s="26"/>
      <c r="C7" t="s">
        <v>195</v>
      </c>
      <c r="F7" s="28"/>
      <c r="G7" s="28"/>
      <c r="H7" s="28"/>
      <c r="I7" s="28"/>
      <c r="J7" s="26"/>
    </row>
    <row r="8" spans="1:14" ht="15" customHeight="1" x14ac:dyDescent="0.25">
      <c r="A8" s="42" t="s">
        <v>63</v>
      </c>
      <c r="B8" s="7"/>
      <c r="C8" s="62" t="s">
        <v>248</v>
      </c>
      <c r="D8" s="62"/>
      <c r="E8" s="62"/>
      <c r="F8" s="11"/>
      <c r="G8" s="11"/>
      <c r="H8" s="11"/>
      <c r="I8" s="11"/>
      <c r="J8" s="54"/>
    </row>
    <row r="9" spans="1:14" ht="15" customHeight="1" x14ac:dyDescent="0.25">
      <c r="A9" s="27" t="s">
        <v>62</v>
      </c>
      <c r="B9" s="37"/>
      <c r="C9" t="s">
        <v>103</v>
      </c>
      <c r="F9" s="12"/>
      <c r="G9" s="12"/>
      <c r="H9" s="12"/>
      <c r="I9" s="12"/>
      <c r="J9" s="37"/>
    </row>
    <row r="10" spans="1:14" ht="15" customHeight="1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79" t="s">
        <v>156</v>
      </c>
      <c r="N10" s="79" t="s">
        <v>157</v>
      </c>
    </row>
    <row r="11" spans="1:14" ht="15" customHeight="1" x14ac:dyDescent="0.25">
      <c r="A11" s="3">
        <v>1</v>
      </c>
      <c r="B11" s="3" t="s">
        <v>24</v>
      </c>
      <c r="C11" s="6">
        <v>32</v>
      </c>
      <c r="D11" s="66">
        <v>62</v>
      </c>
      <c r="E11" s="66">
        <v>120</v>
      </c>
      <c r="F11" s="272" t="s">
        <v>6</v>
      </c>
      <c r="G11" s="261"/>
      <c r="H11" s="1">
        <v>1</v>
      </c>
      <c r="I11" s="1"/>
      <c r="J11" s="3">
        <f t="shared" ref="J11:J16" si="0">H11-I11</f>
        <v>1</v>
      </c>
      <c r="K11" s="2"/>
      <c r="L11" s="18"/>
      <c r="M11" s="78">
        <f>(C11*D11*E11)*7.9/1000000*50000</f>
        <v>94041.600000000006</v>
      </c>
      <c r="N11" s="80">
        <f>M11*J11</f>
        <v>94041.600000000006</v>
      </c>
    </row>
    <row r="12" spans="1:14" s="13" customFormat="1" ht="24.75" customHeight="1" x14ac:dyDescent="0.25">
      <c r="A12" s="3">
        <v>2</v>
      </c>
      <c r="B12" s="3" t="s">
        <v>24</v>
      </c>
      <c r="C12" s="4">
        <v>32</v>
      </c>
      <c r="D12" s="65">
        <v>38</v>
      </c>
      <c r="E12" s="65">
        <v>46</v>
      </c>
      <c r="F12" s="268" t="s">
        <v>136</v>
      </c>
      <c r="G12" s="269"/>
      <c r="H12" s="3">
        <v>1</v>
      </c>
      <c r="I12" s="3"/>
      <c r="J12" s="3">
        <f t="shared" si="0"/>
        <v>1</v>
      </c>
      <c r="K12" s="3"/>
      <c r="L12" s="19"/>
      <c r="M12" s="157">
        <f t="shared" ref="M12:M16" si="1">(C12*D12*E12)*7.9/1000000*50000</f>
        <v>22094.720000000001</v>
      </c>
      <c r="N12" s="158">
        <f t="shared" ref="N12:N16" si="2">M12*J12</f>
        <v>22094.720000000001</v>
      </c>
    </row>
    <row r="13" spans="1:14" s="13" customFormat="1" ht="27.75" customHeight="1" x14ac:dyDescent="0.25">
      <c r="A13" s="3">
        <v>3</v>
      </c>
      <c r="B13" s="3" t="s">
        <v>24</v>
      </c>
      <c r="C13" s="4">
        <v>32</v>
      </c>
      <c r="D13" s="65">
        <v>38</v>
      </c>
      <c r="E13" s="65">
        <v>46</v>
      </c>
      <c r="F13" s="268" t="s">
        <v>136</v>
      </c>
      <c r="G13" s="269"/>
      <c r="H13" s="3">
        <v>1</v>
      </c>
      <c r="I13" s="3"/>
      <c r="J13" s="3">
        <f t="shared" si="0"/>
        <v>1</v>
      </c>
      <c r="K13" s="3"/>
      <c r="L13" s="19"/>
      <c r="M13" s="157">
        <f t="shared" si="1"/>
        <v>22094.720000000001</v>
      </c>
      <c r="N13" s="158">
        <f t="shared" si="2"/>
        <v>22094.720000000001</v>
      </c>
    </row>
    <row r="14" spans="1:14" s="13" customFormat="1" ht="27" customHeight="1" x14ac:dyDescent="0.25">
      <c r="A14" s="3">
        <v>4</v>
      </c>
      <c r="B14" s="3" t="s">
        <v>24</v>
      </c>
      <c r="C14" s="4">
        <v>32</v>
      </c>
      <c r="D14" s="65">
        <v>38</v>
      </c>
      <c r="E14" s="65">
        <v>46</v>
      </c>
      <c r="F14" s="268" t="s">
        <v>136</v>
      </c>
      <c r="G14" s="269"/>
      <c r="H14" s="3">
        <v>1</v>
      </c>
      <c r="I14" s="3"/>
      <c r="J14" s="3">
        <f t="shared" si="0"/>
        <v>1</v>
      </c>
      <c r="K14" s="3"/>
      <c r="L14" s="19"/>
      <c r="M14" s="157">
        <f t="shared" si="1"/>
        <v>22094.720000000001</v>
      </c>
      <c r="N14" s="158">
        <f t="shared" si="2"/>
        <v>22094.720000000001</v>
      </c>
    </row>
    <row r="15" spans="1:14" s="13" customFormat="1" ht="27" customHeight="1" x14ac:dyDescent="0.25">
      <c r="A15" s="3">
        <v>5</v>
      </c>
      <c r="B15" s="3" t="s">
        <v>24</v>
      </c>
      <c r="C15" s="4">
        <v>32</v>
      </c>
      <c r="D15" s="65">
        <v>38</v>
      </c>
      <c r="E15" s="65">
        <v>47</v>
      </c>
      <c r="F15" s="268" t="s">
        <v>136</v>
      </c>
      <c r="G15" s="269"/>
      <c r="H15" s="3">
        <v>1</v>
      </c>
      <c r="I15" s="3"/>
      <c r="J15" s="3">
        <f t="shared" si="0"/>
        <v>1</v>
      </c>
      <c r="K15" s="3"/>
      <c r="L15" s="19"/>
      <c r="M15" s="157">
        <f t="shared" si="1"/>
        <v>22575.040000000001</v>
      </c>
      <c r="N15" s="158">
        <f t="shared" si="2"/>
        <v>22575.040000000001</v>
      </c>
    </row>
    <row r="16" spans="1:14" s="13" customFormat="1" x14ac:dyDescent="0.25">
      <c r="A16" s="3">
        <v>6</v>
      </c>
      <c r="B16" s="3" t="s">
        <v>24</v>
      </c>
      <c r="C16" s="3">
        <v>60</v>
      </c>
      <c r="D16" s="3">
        <v>64</v>
      </c>
      <c r="E16" s="3">
        <v>82</v>
      </c>
      <c r="F16" s="248" t="s">
        <v>6</v>
      </c>
      <c r="G16" s="249"/>
      <c r="H16" s="3">
        <v>1</v>
      </c>
      <c r="I16" s="3"/>
      <c r="J16" s="3">
        <f t="shared" si="0"/>
        <v>1</v>
      </c>
      <c r="K16" s="3"/>
      <c r="L16" s="19"/>
      <c r="M16" s="157">
        <f t="shared" si="1"/>
        <v>124377.60000000001</v>
      </c>
      <c r="N16" s="158">
        <f t="shared" si="2"/>
        <v>124377.60000000001</v>
      </c>
    </row>
    <row r="17" spans="13:14" x14ac:dyDescent="0.25">
      <c r="M17" s="93" t="s">
        <v>158</v>
      </c>
      <c r="N17" s="82">
        <f>SUM(N11:N16)</f>
        <v>307278.40000000002</v>
      </c>
    </row>
  </sheetData>
  <mergeCells count="11">
    <mergeCell ref="F16:G16"/>
    <mergeCell ref="F12:G12"/>
    <mergeCell ref="F13:G13"/>
    <mergeCell ref="F14:G14"/>
    <mergeCell ref="F15:G15"/>
    <mergeCell ref="F11:G11"/>
    <mergeCell ref="C2:E2"/>
    <mergeCell ref="C3:E5"/>
    <mergeCell ref="C6:E6"/>
    <mergeCell ref="C10:E10"/>
    <mergeCell ref="F10:G10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63489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6348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FF0000"/>
  </sheetPr>
  <dimension ref="A1:N95"/>
  <sheetViews>
    <sheetView zoomScale="84" zoomScaleNormal="84" workbookViewId="0">
      <selection activeCell="L15" sqref="L15"/>
    </sheetView>
  </sheetViews>
  <sheetFormatPr defaultRowHeight="15" x14ac:dyDescent="0.25"/>
  <cols>
    <col min="1" max="1" width="4.140625" customWidth="1"/>
    <col min="2" max="2" width="15.140625" customWidth="1"/>
    <col min="3" max="5" width="6.28515625" customWidth="1"/>
    <col min="6" max="6" width="11.28515625" style="97" customWidth="1"/>
    <col min="7" max="7" width="9.85546875" style="97" customWidth="1"/>
    <col min="8" max="8" width="10" customWidth="1"/>
    <col min="9" max="9" width="9.5703125" customWidth="1"/>
    <col min="10" max="10" width="9.42578125" customWidth="1"/>
    <col min="11" max="11" width="21" customWidth="1"/>
    <col min="12" max="12" width="19.42578125" customWidth="1"/>
    <col min="13" max="14" width="18.5703125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98" t="s">
        <v>95</v>
      </c>
      <c r="G2" s="104"/>
      <c r="H2" s="3" t="s">
        <v>96</v>
      </c>
      <c r="I2" s="3" t="s">
        <v>97</v>
      </c>
      <c r="J2" s="3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99" t="s">
        <v>100</v>
      </c>
      <c r="G3" s="105">
        <v>43257</v>
      </c>
      <c r="H3" s="22"/>
      <c r="I3" s="22"/>
      <c r="J3" s="22"/>
    </row>
    <row r="4" spans="1:14" ht="15" customHeight="1" x14ac:dyDescent="0.25">
      <c r="A4" s="33"/>
      <c r="B4" s="67"/>
      <c r="C4" s="254"/>
      <c r="D4" s="255"/>
      <c r="E4" s="256"/>
      <c r="F4" s="99" t="s">
        <v>101</v>
      </c>
      <c r="G4" s="106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100"/>
      <c r="G5" s="100"/>
      <c r="H5" s="37"/>
      <c r="I5" s="12"/>
      <c r="J5" s="39"/>
    </row>
    <row r="6" spans="1:14" ht="15" customHeight="1" x14ac:dyDescent="0.25">
      <c r="A6" s="27"/>
      <c r="B6" s="12"/>
      <c r="C6" s="248"/>
      <c r="D6" s="250"/>
      <c r="E6" s="249"/>
      <c r="F6" s="101"/>
      <c r="G6" s="107"/>
      <c r="H6" s="41"/>
      <c r="I6" s="41"/>
      <c r="J6" s="41"/>
    </row>
    <row r="7" spans="1:14" ht="15" customHeight="1" x14ac:dyDescent="0.25">
      <c r="A7" s="25" t="s">
        <v>47</v>
      </c>
      <c r="B7" s="26"/>
      <c r="C7" s="110" t="s">
        <v>187</v>
      </c>
      <c r="D7" s="110"/>
      <c r="E7" s="110"/>
      <c r="F7" s="117"/>
      <c r="G7" s="117"/>
      <c r="H7" s="118"/>
      <c r="I7" s="28"/>
      <c r="J7" s="26"/>
    </row>
    <row r="8" spans="1:14" ht="15" customHeight="1" x14ac:dyDescent="0.25">
      <c r="A8" s="42" t="s">
        <v>63</v>
      </c>
      <c r="B8" s="7"/>
      <c r="C8" s="62" t="s">
        <v>248</v>
      </c>
      <c r="D8" s="62"/>
      <c r="E8" s="62"/>
      <c r="F8" s="102"/>
      <c r="G8" s="102"/>
      <c r="H8" s="11"/>
      <c r="I8" s="11"/>
      <c r="J8" s="54"/>
    </row>
    <row r="9" spans="1:14" ht="15" customHeight="1" x14ac:dyDescent="0.25">
      <c r="A9" s="27" t="s">
        <v>62</v>
      </c>
      <c r="B9" s="37"/>
      <c r="C9" t="s">
        <v>103</v>
      </c>
      <c r="F9" s="103"/>
      <c r="G9" s="103"/>
      <c r="H9" s="12"/>
      <c r="I9" s="12"/>
      <c r="J9" s="37"/>
    </row>
    <row r="10" spans="1:14" ht="15" customHeight="1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77" t="s">
        <v>0</v>
      </c>
      <c r="G10" s="274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1" t="s">
        <v>176</v>
      </c>
      <c r="N10" s="1" t="s">
        <v>157</v>
      </c>
    </row>
    <row r="11" spans="1:14" s="94" customFormat="1" ht="15" customHeight="1" x14ac:dyDescent="0.25">
      <c r="A11" s="3">
        <v>1</v>
      </c>
      <c r="B11" s="116" t="s">
        <v>28</v>
      </c>
      <c r="C11" s="69">
        <v>65</v>
      </c>
      <c r="D11" s="70">
        <v>350</v>
      </c>
      <c r="E11" s="70">
        <v>350</v>
      </c>
      <c r="F11" s="273" t="s">
        <v>51</v>
      </c>
      <c r="G11" s="274"/>
      <c r="H11" s="3">
        <v>1</v>
      </c>
      <c r="I11" s="3"/>
      <c r="J11" s="3">
        <f t="shared" ref="J11:J17" si="0">H11-I11</f>
        <v>1</v>
      </c>
      <c r="K11" s="9"/>
      <c r="L11" s="21"/>
      <c r="M11" s="9"/>
      <c r="N11" s="143">
        <f>M11*J11</f>
        <v>0</v>
      </c>
    </row>
    <row r="12" spans="1:14" s="94" customFormat="1" ht="14.25" customHeight="1" x14ac:dyDescent="0.25">
      <c r="A12" s="3">
        <v>2</v>
      </c>
      <c r="B12" s="3" t="s">
        <v>35</v>
      </c>
      <c r="C12" s="4">
        <v>13</v>
      </c>
      <c r="D12" s="65">
        <v>62</v>
      </c>
      <c r="E12" s="65">
        <v>252</v>
      </c>
      <c r="F12" s="262" t="s">
        <v>36</v>
      </c>
      <c r="G12" s="263"/>
      <c r="H12" s="3">
        <v>1</v>
      </c>
      <c r="I12" s="3"/>
      <c r="J12" s="3">
        <f t="shared" si="0"/>
        <v>1</v>
      </c>
      <c r="K12" s="9"/>
      <c r="L12" s="21"/>
      <c r="M12" s="9"/>
      <c r="N12" s="143">
        <f t="shared" ref="N12:N17" si="1">M12*J12</f>
        <v>0</v>
      </c>
    </row>
    <row r="13" spans="1:14" s="94" customFormat="1" ht="33.75" customHeight="1" x14ac:dyDescent="0.25">
      <c r="A13" s="3">
        <v>3</v>
      </c>
      <c r="B13" s="3" t="s">
        <v>147</v>
      </c>
      <c r="C13" s="3">
        <v>28</v>
      </c>
      <c r="D13" s="63">
        <v>87</v>
      </c>
      <c r="E13" s="63">
        <v>210</v>
      </c>
      <c r="F13" s="262" t="s">
        <v>148</v>
      </c>
      <c r="G13" s="263"/>
      <c r="H13" s="3">
        <v>1</v>
      </c>
      <c r="I13" s="3"/>
      <c r="J13" s="3">
        <f t="shared" si="0"/>
        <v>1</v>
      </c>
      <c r="K13" s="9"/>
      <c r="L13" s="19"/>
      <c r="M13" s="9"/>
      <c r="N13" s="143">
        <f t="shared" si="1"/>
        <v>0</v>
      </c>
    </row>
    <row r="14" spans="1:14" s="94" customFormat="1" ht="15" customHeight="1" x14ac:dyDescent="0.25">
      <c r="A14" s="3">
        <v>4</v>
      </c>
      <c r="B14" s="3" t="s">
        <v>149</v>
      </c>
      <c r="C14" s="3">
        <v>58</v>
      </c>
      <c r="D14" s="63">
        <v>83</v>
      </c>
      <c r="E14" s="63">
        <v>130</v>
      </c>
      <c r="F14" s="262" t="s">
        <v>6</v>
      </c>
      <c r="G14" s="263"/>
      <c r="H14" s="3">
        <v>1</v>
      </c>
      <c r="I14" s="3">
        <v>1</v>
      </c>
      <c r="J14" s="3">
        <f t="shared" si="0"/>
        <v>0</v>
      </c>
      <c r="K14" s="14" t="s">
        <v>256</v>
      </c>
      <c r="L14" s="19">
        <v>45342</v>
      </c>
      <c r="M14" s="9"/>
      <c r="N14" s="143">
        <f t="shared" si="1"/>
        <v>0</v>
      </c>
    </row>
    <row r="15" spans="1:14" s="94" customFormat="1" ht="15" customHeight="1" x14ac:dyDescent="0.25">
      <c r="A15" s="3">
        <v>5</v>
      </c>
      <c r="B15" s="3" t="s">
        <v>149</v>
      </c>
      <c r="C15" s="3">
        <v>82</v>
      </c>
      <c r="D15" s="63">
        <v>88</v>
      </c>
      <c r="E15" s="63">
        <v>88</v>
      </c>
      <c r="F15" s="262" t="s">
        <v>6</v>
      </c>
      <c r="G15" s="263"/>
      <c r="H15" s="3">
        <v>1</v>
      </c>
      <c r="I15" s="3"/>
      <c r="J15" s="3">
        <f t="shared" si="0"/>
        <v>1</v>
      </c>
      <c r="K15" s="9"/>
      <c r="L15" s="19"/>
      <c r="M15" s="9"/>
      <c r="N15" s="143">
        <f t="shared" si="1"/>
        <v>0</v>
      </c>
    </row>
    <row r="16" spans="1:14" s="94" customFormat="1" ht="15" customHeight="1" x14ac:dyDescent="0.25">
      <c r="A16" s="3">
        <v>6</v>
      </c>
      <c r="B16" s="3" t="s">
        <v>149</v>
      </c>
      <c r="C16" s="3">
        <v>80</v>
      </c>
      <c r="D16" s="63">
        <v>84</v>
      </c>
      <c r="E16" s="63">
        <v>134</v>
      </c>
      <c r="F16" s="262" t="s">
        <v>6</v>
      </c>
      <c r="G16" s="263"/>
      <c r="H16" s="3">
        <v>1</v>
      </c>
      <c r="I16" s="3"/>
      <c r="J16" s="3">
        <f t="shared" si="0"/>
        <v>1</v>
      </c>
      <c r="K16" s="9"/>
      <c r="L16" s="19"/>
      <c r="M16" s="9"/>
      <c r="N16" s="143">
        <f t="shared" si="1"/>
        <v>0</v>
      </c>
    </row>
    <row r="17" spans="1:14" s="94" customFormat="1" ht="15" customHeight="1" x14ac:dyDescent="0.25">
      <c r="A17" s="3">
        <v>7</v>
      </c>
      <c r="B17" s="3" t="s">
        <v>149</v>
      </c>
      <c r="C17" s="3">
        <v>59</v>
      </c>
      <c r="D17" s="63">
        <v>82</v>
      </c>
      <c r="E17" s="63">
        <v>112</v>
      </c>
      <c r="F17" s="262" t="s">
        <v>6</v>
      </c>
      <c r="G17" s="263"/>
      <c r="H17" s="3">
        <v>1</v>
      </c>
      <c r="I17" s="9"/>
      <c r="J17" s="3">
        <f t="shared" si="0"/>
        <v>1</v>
      </c>
      <c r="K17" s="9"/>
      <c r="L17" s="19"/>
      <c r="M17" s="9"/>
      <c r="N17" s="143">
        <f t="shared" si="1"/>
        <v>0</v>
      </c>
    </row>
    <row r="18" spans="1:14" s="94" customFormat="1" ht="15" customHeight="1" x14ac:dyDescent="0.25">
      <c r="A18" s="239">
        <v>8</v>
      </c>
      <c r="B18" s="3"/>
      <c r="C18" s="3"/>
      <c r="D18" s="3"/>
      <c r="E18" s="3"/>
      <c r="F18" s="262"/>
      <c r="G18" s="263"/>
      <c r="H18" s="3"/>
      <c r="I18" s="9"/>
      <c r="J18" s="3"/>
      <c r="K18" s="9"/>
      <c r="L18" s="19"/>
      <c r="M18" s="9"/>
      <c r="N18" s="143"/>
    </row>
    <row r="19" spans="1:14" s="94" customFormat="1" ht="15" customHeight="1" x14ac:dyDescent="0.25">
      <c r="A19" s="239">
        <v>9</v>
      </c>
      <c r="B19" s="3"/>
      <c r="C19" s="3"/>
      <c r="D19" s="3"/>
      <c r="E19" s="3"/>
      <c r="F19" s="262"/>
      <c r="G19" s="263"/>
      <c r="H19" s="3"/>
      <c r="I19" s="9"/>
      <c r="J19" s="3"/>
      <c r="K19" s="9"/>
      <c r="L19" s="19"/>
      <c r="M19" s="9"/>
      <c r="N19" s="143"/>
    </row>
    <row r="20" spans="1:14" x14ac:dyDescent="0.25">
      <c r="M20" s="95" t="s">
        <v>159</v>
      </c>
      <c r="N20" s="161">
        <f>SUM(N11:N17)</f>
        <v>0</v>
      </c>
    </row>
    <row r="22" spans="1:14" x14ac:dyDescent="0.25">
      <c r="B22" s="112" t="s">
        <v>178</v>
      </c>
      <c r="C22" s="110"/>
      <c r="D22" s="110"/>
      <c r="E22" s="110"/>
      <c r="F22" s="113"/>
    </row>
    <row r="23" spans="1:14" s="92" customFormat="1" x14ac:dyDescent="0.25">
      <c r="F23" s="111"/>
      <c r="G23" s="111"/>
    </row>
    <row r="24" spans="1:14" x14ac:dyDescent="0.25">
      <c r="A24" s="1" t="s">
        <v>38</v>
      </c>
      <c r="B24" s="24" t="s">
        <v>47</v>
      </c>
      <c r="C24" s="248" t="s">
        <v>2</v>
      </c>
      <c r="D24" s="250"/>
      <c r="E24" s="249"/>
      <c r="F24" s="277" t="s">
        <v>0</v>
      </c>
      <c r="G24" s="274"/>
      <c r="H24" s="1" t="s">
        <v>1</v>
      </c>
      <c r="I24" s="1" t="s">
        <v>42</v>
      </c>
      <c r="J24" s="1" t="s">
        <v>41</v>
      </c>
      <c r="K24" s="1" t="s">
        <v>44</v>
      </c>
      <c r="L24" s="1" t="s">
        <v>45</v>
      </c>
      <c r="M24" s="1" t="s">
        <v>176</v>
      </c>
      <c r="N24" s="3" t="s">
        <v>157</v>
      </c>
    </row>
    <row r="25" spans="1:14" x14ac:dyDescent="0.25">
      <c r="A25" s="3">
        <v>1</v>
      </c>
      <c r="B25" s="3" t="s">
        <v>29</v>
      </c>
      <c r="C25" s="4">
        <v>25</v>
      </c>
      <c r="D25" s="65">
        <v>250</v>
      </c>
      <c r="E25" s="65">
        <v>300</v>
      </c>
      <c r="F25" s="262" t="s">
        <v>52</v>
      </c>
      <c r="G25" s="263"/>
      <c r="H25" s="3">
        <v>1</v>
      </c>
      <c r="I25" s="3"/>
      <c r="J25" s="3">
        <f t="shared" ref="J25:J29" si="2">H25-I25</f>
        <v>1</v>
      </c>
      <c r="K25" s="9"/>
      <c r="L25" s="21"/>
      <c r="M25" s="2"/>
      <c r="N25" s="162">
        <f>M25*J25</f>
        <v>0</v>
      </c>
    </row>
    <row r="26" spans="1:14" s="97" customFormat="1" ht="23.25" customHeight="1" x14ac:dyDescent="0.25">
      <c r="A26" s="83">
        <v>2</v>
      </c>
      <c r="B26" s="83" t="s">
        <v>177</v>
      </c>
      <c r="C26" s="83">
        <v>20</v>
      </c>
      <c r="D26" s="145">
        <v>55</v>
      </c>
      <c r="E26" s="145">
        <v>450</v>
      </c>
      <c r="F26" s="278" t="s">
        <v>152</v>
      </c>
      <c r="G26" s="279"/>
      <c r="H26" s="83">
        <v>1</v>
      </c>
      <c r="I26" s="104"/>
      <c r="J26" s="83">
        <f t="shared" si="2"/>
        <v>1</v>
      </c>
      <c r="K26" s="104"/>
      <c r="L26" s="151"/>
      <c r="M26" s="104"/>
      <c r="N26" s="162">
        <f t="shared" ref="N26:N29" si="3">M26*J26</f>
        <v>0</v>
      </c>
    </row>
    <row r="27" spans="1:14" s="94" customFormat="1" ht="15" customHeight="1" x14ac:dyDescent="0.25">
      <c r="A27" s="3">
        <v>3</v>
      </c>
      <c r="B27" s="3" t="s">
        <v>177</v>
      </c>
      <c r="C27" s="4">
        <v>12</v>
      </c>
      <c r="D27" s="4">
        <v>50</v>
      </c>
      <c r="E27" s="4">
        <v>350</v>
      </c>
      <c r="F27" s="262" t="s">
        <v>6</v>
      </c>
      <c r="G27" s="263"/>
      <c r="H27" s="3">
        <v>1</v>
      </c>
      <c r="I27" s="3"/>
      <c r="J27" s="3">
        <f t="shared" si="2"/>
        <v>1</v>
      </c>
      <c r="K27" s="16"/>
      <c r="L27" s="21"/>
      <c r="M27" s="2"/>
      <c r="N27" s="162">
        <f t="shared" si="3"/>
        <v>0</v>
      </c>
    </row>
    <row r="28" spans="1:14" s="94" customFormat="1" ht="27.75" customHeight="1" x14ac:dyDescent="0.25">
      <c r="A28" s="228">
        <v>4</v>
      </c>
      <c r="B28" s="228" t="s">
        <v>177</v>
      </c>
      <c r="C28" s="4">
        <v>20</v>
      </c>
      <c r="D28" s="4">
        <v>65</v>
      </c>
      <c r="E28" s="4">
        <v>380</v>
      </c>
      <c r="F28" s="264" t="s">
        <v>242</v>
      </c>
      <c r="G28" s="265"/>
      <c r="H28" s="228">
        <v>7</v>
      </c>
      <c r="I28" s="228"/>
      <c r="J28" s="228">
        <f t="shared" si="2"/>
        <v>7</v>
      </c>
      <c r="K28" s="229"/>
      <c r="L28" s="21"/>
      <c r="M28" s="2"/>
      <c r="N28" s="162">
        <f t="shared" si="3"/>
        <v>0</v>
      </c>
    </row>
    <row r="29" spans="1:14" s="94" customFormat="1" ht="20.25" customHeight="1" x14ac:dyDescent="0.25">
      <c r="A29" s="228">
        <v>5</v>
      </c>
      <c r="B29" s="228" t="s">
        <v>177</v>
      </c>
      <c r="C29" s="4">
        <v>20</v>
      </c>
      <c r="D29" s="4">
        <v>87</v>
      </c>
      <c r="E29" s="4">
        <v>480</v>
      </c>
      <c r="F29" s="264" t="s">
        <v>246</v>
      </c>
      <c r="G29" s="265"/>
      <c r="H29" s="228">
        <v>7</v>
      </c>
      <c r="I29" s="228"/>
      <c r="J29" s="228">
        <f t="shared" si="2"/>
        <v>7</v>
      </c>
      <c r="K29" s="16"/>
      <c r="L29" s="21"/>
      <c r="M29" s="2"/>
      <c r="N29" s="162">
        <f t="shared" si="3"/>
        <v>0</v>
      </c>
    </row>
    <row r="30" spans="1:14" s="94" customFormat="1" ht="15" customHeight="1" x14ac:dyDescent="0.25">
      <c r="A30" s="228">
        <v>6</v>
      </c>
      <c r="B30" s="228"/>
      <c r="C30" s="4"/>
      <c r="D30" s="4"/>
      <c r="E30" s="4"/>
      <c r="F30" s="262"/>
      <c r="G30" s="263"/>
      <c r="H30" s="228"/>
      <c r="I30" s="228"/>
      <c r="J30" s="228"/>
      <c r="K30" s="16"/>
      <c r="L30" s="21"/>
      <c r="M30" s="2"/>
      <c r="N30" s="162"/>
    </row>
    <row r="31" spans="1:14" s="94" customFormat="1" ht="15" customHeight="1" x14ac:dyDescent="0.25">
      <c r="A31" s="228"/>
      <c r="B31" s="228"/>
      <c r="C31" s="4"/>
      <c r="D31" s="4"/>
      <c r="E31" s="4"/>
      <c r="F31" s="262"/>
      <c r="G31" s="263"/>
      <c r="H31" s="228"/>
      <c r="I31" s="228"/>
      <c r="J31" s="228"/>
      <c r="K31" s="16"/>
      <c r="L31" s="21"/>
      <c r="M31" s="2"/>
      <c r="N31" s="162"/>
    </row>
    <row r="32" spans="1:14" x14ac:dyDescent="0.25">
      <c r="M32" s="93" t="s">
        <v>160</v>
      </c>
      <c r="N32" s="161">
        <f>SUM(N25:N29)</f>
        <v>0</v>
      </c>
    </row>
    <row r="33" spans="1:14" s="182" customFormat="1" x14ac:dyDescent="0.25">
      <c r="F33" s="183"/>
      <c r="G33" s="183"/>
      <c r="M33" s="184"/>
      <c r="N33" s="185"/>
    </row>
    <row r="34" spans="1:14" x14ac:dyDescent="0.25">
      <c r="B34" s="112" t="s">
        <v>179</v>
      </c>
      <c r="C34" s="110"/>
      <c r="D34" s="110"/>
      <c r="E34" s="110"/>
      <c r="F34" s="113"/>
      <c r="G34" s="113"/>
    </row>
    <row r="35" spans="1:14" s="92" customFormat="1" x14ac:dyDescent="0.25">
      <c r="F35" s="111"/>
      <c r="G35" s="111"/>
    </row>
    <row r="36" spans="1:14" x14ac:dyDescent="0.25">
      <c r="A36" s="1" t="s">
        <v>38</v>
      </c>
      <c r="B36" s="24" t="s">
        <v>47</v>
      </c>
      <c r="C36" s="248" t="s">
        <v>2</v>
      </c>
      <c r="D36" s="249"/>
      <c r="E36" s="178" t="s">
        <v>167</v>
      </c>
      <c r="F36" s="277" t="s">
        <v>0</v>
      </c>
      <c r="G36" s="274"/>
      <c r="H36" s="1" t="s">
        <v>1</v>
      </c>
      <c r="I36" s="1" t="s">
        <v>42</v>
      </c>
      <c r="J36" s="1" t="s">
        <v>41</v>
      </c>
      <c r="K36" s="1" t="s">
        <v>44</v>
      </c>
      <c r="L36" s="1" t="s">
        <v>45</v>
      </c>
      <c r="M36" s="1" t="s">
        <v>176</v>
      </c>
      <c r="N36" s="3" t="s">
        <v>157</v>
      </c>
    </row>
    <row r="37" spans="1:14" x14ac:dyDescent="0.25">
      <c r="A37" s="3">
        <v>1</v>
      </c>
      <c r="B37" s="3" t="s">
        <v>5</v>
      </c>
      <c r="C37" s="4">
        <v>130</v>
      </c>
      <c r="D37" s="65">
        <v>57</v>
      </c>
      <c r="E37" s="65">
        <f>C37/2</f>
        <v>65</v>
      </c>
      <c r="F37" s="262" t="s">
        <v>235</v>
      </c>
      <c r="G37" s="263"/>
      <c r="H37" s="3">
        <v>1</v>
      </c>
      <c r="I37" s="3"/>
      <c r="J37" s="3">
        <f>H37-I37</f>
        <v>1</v>
      </c>
      <c r="K37" s="14"/>
      <c r="L37" s="115"/>
      <c r="M37" s="78">
        <f>(3.14*E37*E37*D37)*3/1000000*115000</f>
        <v>260885.72250000003</v>
      </c>
      <c r="N37" s="78">
        <f>M37*J37</f>
        <v>260885.72250000003</v>
      </c>
    </row>
    <row r="38" spans="1:14" x14ac:dyDescent="0.25">
      <c r="M38" s="95" t="s">
        <v>161</v>
      </c>
      <c r="N38" s="149">
        <f>SUM(N37:N37)</f>
        <v>260885.72250000003</v>
      </c>
    </row>
    <row r="40" spans="1:14" x14ac:dyDescent="0.25">
      <c r="B40" s="112" t="s">
        <v>232</v>
      </c>
      <c r="C40" s="110"/>
      <c r="D40" s="110"/>
      <c r="E40" s="110"/>
      <c r="F40" s="113"/>
    </row>
    <row r="41" spans="1:14" s="92" customFormat="1" x14ac:dyDescent="0.25">
      <c r="F41" s="111"/>
      <c r="G41" s="111"/>
    </row>
    <row r="42" spans="1:14" x14ac:dyDescent="0.25">
      <c r="A42" s="1" t="s">
        <v>38</v>
      </c>
      <c r="B42" s="24" t="s">
        <v>47</v>
      </c>
      <c r="C42" s="248" t="s">
        <v>2</v>
      </c>
      <c r="D42" s="250"/>
      <c r="E42" s="249"/>
      <c r="F42" s="277" t="s">
        <v>0</v>
      </c>
      <c r="G42" s="274"/>
      <c r="H42" s="1" t="s">
        <v>1</v>
      </c>
      <c r="I42" s="1" t="s">
        <v>42</v>
      </c>
      <c r="J42" s="1" t="s">
        <v>41</v>
      </c>
      <c r="K42" s="1" t="s">
        <v>44</v>
      </c>
      <c r="L42" s="1" t="s">
        <v>45</v>
      </c>
      <c r="M42" s="1" t="s">
        <v>176</v>
      </c>
      <c r="N42" s="3" t="s">
        <v>157</v>
      </c>
    </row>
    <row r="43" spans="1:14" ht="27" customHeight="1" x14ac:dyDescent="0.25">
      <c r="A43" s="3">
        <v>1</v>
      </c>
      <c r="B43" s="3" t="s">
        <v>30</v>
      </c>
      <c r="C43" s="4">
        <v>32</v>
      </c>
      <c r="D43" s="65">
        <v>32</v>
      </c>
      <c r="E43" s="65">
        <v>43</v>
      </c>
      <c r="F43" s="268" t="s">
        <v>53</v>
      </c>
      <c r="G43" s="269"/>
      <c r="H43" s="3">
        <v>1</v>
      </c>
      <c r="I43" s="3"/>
      <c r="J43" s="3">
        <f>H43-I43</f>
        <v>1</v>
      </c>
      <c r="K43" s="9"/>
      <c r="L43" s="115"/>
      <c r="M43" s="176">
        <f>(C43*D43*E43)*7.9/1000000*980000</f>
        <v>340895.74399999995</v>
      </c>
      <c r="N43" s="177">
        <f>M43*J43</f>
        <v>340895.74399999995</v>
      </c>
    </row>
    <row r="44" spans="1:14" ht="27" customHeight="1" x14ac:dyDescent="0.25">
      <c r="A44" s="3">
        <v>2</v>
      </c>
      <c r="B44" s="3" t="s">
        <v>30</v>
      </c>
      <c r="C44" s="4">
        <v>32</v>
      </c>
      <c r="D44" s="65">
        <v>32</v>
      </c>
      <c r="E44" s="65">
        <v>43</v>
      </c>
      <c r="F44" s="268" t="s">
        <v>90</v>
      </c>
      <c r="G44" s="269"/>
      <c r="H44" s="3">
        <v>1</v>
      </c>
      <c r="I44" s="3"/>
      <c r="J44" s="3">
        <f>H44-I44</f>
        <v>1</v>
      </c>
      <c r="K44" s="9"/>
      <c r="L44" s="115"/>
      <c r="M44" s="176">
        <f t="shared" ref="M44:M46" si="4">(C44*D44*E44)*7.9/1000000*980000</f>
        <v>340895.74399999995</v>
      </c>
      <c r="N44" s="177">
        <f t="shared" ref="N44:N46" si="5">M44*J44</f>
        <v>340895.74399999995</v>
      </c>
    </row>
    <row r="45" spans="1:14" ht="27" customHeight="1" x14ac:dyDescent="0.25">
      <c r="A45" s="3">
        <v>3</v>
      </c>
      <c r="B45" s="3" t="s">
        <v>30</v>
      </c>
      <c r="C45" s="4">
        <v>32</v>
      </c>
      <c r="D45" s="65">
        <v>32</v>
      </c>
      <c r="E45" s="65">
        <v>43</v>
      </c>
      <c r="F45" s="268" t="s">
        <v>91</v>
      </c>
      <c r="G45" s="269"/>
      <c r="H45" s="3">
        <v>1</v>
      </c>
      <c r="I45" s="3"/>
      <c r="J45" s="3">
        <f>H45-I45</f>
        <v>1</v>
      </c>
      <c r="K45" s="9"/>
      <c r="L45" s="115"/>
      <c r="M45" s="176">
        <f t="shared" si="4"/>
        <v>340895.74399999995</v>
      </c>
      <c r="N45" s="177">
        <f t="shared" si="5"/>
        <v>340895.74399999995</v>
      </c>
    </row>
    <row r="46" spans="1:14" ht="27" customHeight="1" x14ac:dyDescent="0.25">
      <c r="A46" s="3">
        <v>4</v>
      </c>
      <c r="B46" s="3" t="s">
        <v>30</v>
      </c>
      <c r="C46" s="4">
        <v>32</v>
      </c>
      <c r="D46" s="65">
        <v>32</v>
      </c>
      <c r="E46" s="65">
        <v>43</v>
      </c>
      <c r="F46" s="268" t="s">
        <v>92</v>
      </c>
      <c r="G46" s="269"/>
      <c r="H46" s="3">
        <v>1</v>
      </c>
      <c r="I46" s="3"/>
      <c r="J46" s="3">
        <f>H46-I46</f>
        <v>1</v>
      </c>
      <c r="K46" s="9"/>
      <c r="L46" s="115"/>
      <c r="M46" s="176">
        <f t="shared" si="4"/>
        <v>340895.74399999995</v>
      </c>
      <c r="N46" s="177">
        <f t="shared" si="5"/>
        <v>340895.74399999995</v>
      </c>
    </row>
    <row r="47" spans="1:14" s="97" customFormat="1" ht="32.25" customHeight="1" x14ac:dyDescent="0.25">
      <c r="A47" s="83">
        <v>5</v>
      </c>
      <c r="B47" s="83" t="s">
        <v>32</v>
      </c>
      <c r="C47" s="167">
        <v>45</v>
      </c>
      <c r="D47" s="160">
        <v>65</v>
      </c>
      <c r="E47" s="160">
        <v>205</v>
      </c>
      <c r="F47" s="268" t="s">
        <v>233</v>
      </c>
      <c r="G47" s="269"/>
      <c r="H47" s="83">
        <v>1</v>
      </c>
      <c r="I47" s="83"/>
      <c r="J47" s="83">
        <f>H47-I47</f>
        <v>1</v>
      </c>
      <c r="K47" s="174"/>
      <c r="L47" s="175"/>
      <c r="M47" s="176">
        <f>(C47*D47*E47)*7.9/1000000*758327</f>
        <v>3592223.4362624995</v>
      </c>
      <c r="N47" s="223">
        <f t="shared" ref="N47:N48" si="6">M47*J47</f>
        <v>3592223.4362624995</v>
      </c>
    </row>
    <row r="48" spans="1:14" s="97" customFormat="1" ht="15" customHeight="1" x14ac:dyDescent="0.25">
      <c r="A48" s="83">
        <v>6</v>
      </c>
      <c r="B48" s="83"/>
      <c r="C48" s="167"/>
      <c r="D48" s="160"/>
      <c r="E48" s="160"/>
      <c r="F48" s="268"/>
      <c r="G48" s="269"/>
      <c r="H48" s="83"/>
      <c r="I48" s="83"/>
      <c r="J48" s="83"/>
      <c r="K48" s="174"/>
      <c r="L48" s="175"/>
      <c r="M48" s="176">
        <f>(C48*D48*E48)*7.9/1000000*758327</f>
        <v>0</v>
      </c>
      <c r="N48" s="173">
        <f t="shared" si="6"/>
        <v>0</v>
      </c>
    </row>
    <row r="49" spans="1:14" x14ac:dyDescent="0.25">
      <c r="M49" s="95" t="s">
        <v>162</v>
      </c>
      <c r="N49" s="224">
        <f>SUM(N43:N48)</f>
        <v>4955806.4122624993</v>
      </c>
    </row>
    <row r="52" spans="1:14" x14ac:dyDescent="0.25">
      <c r="B52" s="112" t="s">
        <v>180</v>
      </c>
      <c r="C52" s="110"/>
      <c r="D52" s="110"/>
      <c r="E52" s="110"/>
      <c r="F52" s="113"/>
    </row>
    <row r="53" spans="1:14" s="92" customFormat="1" x14ac:dyDescent="0.25">
      <c r="F53" s="111"/>
      <c r="G53" s="111"/>
    </row>
    <row r="54" spans="1:14" x14ac:dyDescent="0.25">
      <c r="A54" s="1" t="s">
        <v>38</v>
      </c>
      <c r="B54" s="24" t="s">
        <v>47</v>
      </c>
      <c r="C54" s="248" t="s">
        <v>2</v>
      </c>
      <c r="D54" s="250"/>
      <c r="E54" s="249"/>
      <c r="F54" s="277" t="s">
        <v>0</v>
      </c>
      <c r="G54" s="274"/>
      <c r="H54" s="1" t="s">
        <v>1</v>
      </c>
      <c r="I54" s="1" t="s">
        <v>42</v>
      </c>
      <c r="J54" s="1" t="s">
        <v>41</v>
      </c>
      <c r="K54" s="1" t="s">
        <v>44</v>
      </c>
      <c r="L54" s="1" t="s">
        <v>45</v>
      </c>
      <c r="M54" s="1" t="s">
        <v>176</v>
      </c>
      <c r="N54" s="3" t="s">
        <v>157</v>
      </c>
    </row>
    <row r="55" spans="1:14" ht="27" customHeight="1" x14ac:dyDescent="0.25">
      <c r="A55" s="3">
        <v>1</v>
      </c>
      <c r="B55" s="3">
        <v>2316</v>
      </c>
      <c r="C55" s="3">
        <v>12.3</v>
      </c>
      <c r="D55" s="63">
        <v>125.3</v>
      </c>
      <c r="E55" s="63">
        <v>161.5</v>
      </c>
      <c r="F55" s="268" t="s">
        <v>112</v>
      </c>
      <c r="G55" s="269"/>
      <c r="H55" s="3">
        <v>1</v>
      </c>
      <c r="I55" s="3"/>
      <c r="J55" s="3">
        <f>H55-I55</f>
        <v>1</v>
      </c>
      <c r="K55" s="9"/>
      <c r="L55" s="114"/>
      <c r="M55" s="157">
        <f>(C55*D55*E55)*7.9/1000000*38000</f>
        <v>74720.435937000002</v>
      </c>
      <c r="N55" s="158">
        <f>M55*J55</f>
        <v>74720.435937000002</v>
      </c>
    </row>
    <row r="56" spans="1:14" x14ac:dyDescent="0.25">
      <c r="M56" s="95" t="s">
        <v>163</v>
      </c>
      <c r="N56" s="81">
        <f>SUM(N55:N55)</f>
        <v>74720.435937000002</v>
      </c>
    </row>
    <row r="58" spans="1:14" x14ac:dyDescent="0.25">
      <c r="B58" s="110" t="s">
        <v>182</v>
      </c>
      <c r="C58" s="110"/>
      <c r="D58" s="110"/>
      <c r="E58" s="110"/>
      <c r="F58" s="113"/>
    </row>
    <row r="59" spans="1:14" s="92" customFormat="1" x14ac:dyDescent="0.25">
      <c r="F59" s="111"/>
      <c r="G59" s="111"/>
    </row>
    <row r="60" spans="1:14" x14ac:dyDescent="0.25">
      <c r="A60" s="1" t="s">
        <v>38</v>
      </c>
      <c r="B60" s="24" t="s">
        <v>47</v>
      </c>
      <c r="C60" s="248" t="s">
        <v>2</v>
      </c>
      <c r="D60" s="250"/>
      <c r="E60" s="249"/>
      <c r="F60" s="277" t="s">
        <v>0</v>
      </c>
      <c r="G60" s="274"/>
      <c r="H60" s="1" t="s">
        <v>1</v>
      </c>
      <c r="I60" s="1" t="s">
        <v>42</v>
      </c>
      <c r="J60" s="1" t="s">
        <v>41</v>
      </c>
      <c r="K60" s="1" t="s">
        <v>44</v>
      </c>
      <c r="L60" s="1" t="s">
        <v>45</v>
      </c>
      <c r="M60" s="1" t="s">
        <v>176</v>
      </c>
      <c r="N60" s="3" t="s">
        <v>157</v>
      </c>
    </row>
    <row r="61" spans="1:14" x14ac:dyDescent="0.25">
      <c r="A61" s="3">
        <v>1</v>
      </c>
      <c r="B61" s="3" t="s">
        <v>9</v>
      </c>
      <c r="C61" s="3">
        <v>15</v>
      </c>
      <c r="D61" s="63">
        <v>128</v>
      </c>
      <c r="E61" s="63">
        <v>184</v>
      </c>
      <c r="F61" s="262" t="s">
        <v>85</v>
      </c>
      <c r="G61" s="263"/>
      <c r="H61" s="3">
        <v>1</v>
      </c>
      <c r="I61" s="3"/>
      <c r="J61" s="3">
        <f>H61-I61</f>
        <v>1</v>
      </c>
      <c r="K61" s="3"/>
      <c r="L61" s="114"/>
      <c r="M61" s="78">
        <f>(C61*D61*E61)*7.9/1000000*72500</f>
        <v>202341.12</v>
      </c>
      <c r="N61" s="80">
        <f>M61*J61</f>
        <v>202341.12</v>
      </c>
    </row>
    <row r="62" spans="1:14" x14ac:dyDescent="0.25">
      <c r="M62" s="95" t="s">
        <v>164</v>
      </c>
      <c r="N62" s="81">
        <f>SUM(N61:N61)</f>
        <v>202341.12</v>
      </c>
    </row>
    <row r="64" spans="1:14" x14ac:dyDescent="0.25">
      <c r="B64" s="110" t="s">
        <v>183</v>
      </c>
      <c r="C64" s="110"/>
      <c r="D64" s="110"/>
      <c r="E64" s="110"/>
      <c r="F64" s="113"/>
    </row>
    <row r="65" spans="1:14" s="92" customFormat="1" x14ac:dyDescent="0.25">
      <c r="F65" s="111"/>
      <c r="G65" s="111"/>
    </row>
    <row r="66" spans="1:14" x14ac:dyDescent="0.25">
      <c r="A66" s="1" t="s">
        <v>38</v>
      </c>
      <c r="B66" s="24" t="s">
        <v>47</v>
      </c>
      <c r="C66" s="248" t="s">
        <v>2</v>
      </c>
      <c r="D66" s="249"/>
      <c r="E66" s="3" t="s">
        <v>167</v>
      </c>
      <c r="F66" s="277" t="s">
        <v>0</v>
      </c>
      <c r="G66" s="274"/>
      <c r="H66" s="1" t="s">
        <v>1</v>
      </c>
      <c r="I66" s="1" t="s">
        <v>42</v>
      </c>
      <c r="J66" s="1" t="s">
        <v>41</v>
      </c>
      <c r="K66" s="1" t="s">
        <v>44</v>
      </c>
      <c r="L66" s="1" t="s">
        <v>45</v>
      </c>
      <c r="M66" s="1" t="s">
        <v>176</v>
      </c>
      <c r="N66" s="3" t="s">
        <v>157</v>
      </c>
    </row>
    <row r="67" spans="1:14" x14ac:dyDescent="0.25">
      <c r="A67" s="3">
        <v>1</v>
      </c>
      <c r="B67" s="3" t="s">
        <v>10</v>
      </c>
      <c r="C67" s="65">
        <v>25</v>
      </c>
      <c r="D67" s="65">
        <v>120</v>
      </c>
      <c r="E67" s="65">
        <f>C67/2</f>
        <v>12.5</v>
      </c>
      <c r="F67" s="262" t="s">
        <v>10</v>
      </c>
      <c r="G67" s="263"/>
      <c r="H67" s="3">
        <v>1</v>
      </c>
      <c r="I67" s="3"/>
      <c r="J67" s="3">
        <f>H67-I67</f>
        <v>1</v>
      </c>
      <c r="K67" s="9"/>
      <c r="L67" s="21"/>
      <c r="M67" s="9"/>
      <c r="N67" s="162">
        <f t="shared" ref="N67:N68" si="7">M67*J67</f>
        <v>0</v>
      </c>
    </row>
    <row r="68" spans="1:14" x14ac:dyDescent="0.25">
      <c r="A68" s="3">
        <v>2</v>
      </c>
      <c r="B68" s="3" t="s">
        <v>10</v>
      </c>
      <c r="C68" s="63">
        <v>35</v>
      </c>
      <c r="D68" s="63">
        <v>800</v>
      </c>
      <c r="E68" s="65">
        <f>C68/2</f>
        <v>17.5</v>
      </c>
      <c r="F68" s="262" t="s">
        <v>10</v>
      </c>
      <c r="G68" s="263"/>
      <c r="H68" s="3">
        <v>1</v>
      </c>
      <c r="I68" s="3"/>
      <c r="J68" s="3">
        <f>H68-I68</f>
        <v>1</v>
      </c>
      <c r="K68" s="9"/>
      <c r="L68" s="19"/>
      <c r="M68" s="9"/>
      <c r="N68" s="162">
        <f t="shared" si="7"/>
        <v>0</v>
      </c>
    </row>
    <row r="69" spans="1:14" x14ac:dyDescent="0.25">
      <c r="M69" s="95" t="s">
        <v>165</v>
      </c>
      <c r="N69" s="161">
        <f>SUM(N67:N68)</f>
        <v>0</v>
      </c>
    </row>
    <row r="71" spans="1:14" x14ac:dyDescent="0.25">
      <c r="B71" s="112" t="s">
        <v>184</v>
      </c>
      <c r="C71" s="110"/>
      <c r="D71" s="110"/>
      <c r="E71" s="110"/>
      <c r="F71" s="113"/>
      <c r="G71" s="113"/>
      <c r="H71" s="110"/>
    </row>
    <row r="72" spans="1:14" s="92" customFormat="1" x14ac:dyDescent="0.25">
      <c r="F72" s="111"/>
      <c r="G72" s="111"/>
    </row>
    <row r="73" spans="1:14" x14ac:dyDescent="0.25">
      <c r="A73" s="1" t="s">
        <v>38</v>
      </c>
      <c r="B73" s="24" t="s">
        <v>47</v>
      </c>
      <c r="C73" s="248" t="s">
        <v>2</v>
      </c>
      <c r="D73" s="250"/>
      <c r="E73" s="249"/>
      <c r="F73" s="277" t="s">
        <v>0</v>
      </c>
      <c r="G73" s="274"/>
      <c r="H73" s="1" t="s">
        <v>1</v>
      </c>
      <c r="I73" s="1" t="s">
        <v>42</v>
      </c>
      <c r="J73" s="1" t="s">
        <v>41</v>
      </c>
      <c r="K73" s="1" t="s">
        <v>44</v>
      </c>
      <c r="L73" s="1" t="s">
        <v>45</v>
      </c>
      <c r="M73" s="1" t="s">
        <v>176</v>
      </c>
      <c r="N73" s="3" t="s">
        <v>157</v>
      </c>
    </row>
    <row r="74" spans="1:14" x14ac:dyDescent="0.25">
      <c r="A74" s="3">
        <v>1</v>
      </c>
      <c r="B74" s="3" t="s">
        <v>31</v>
      </c>
      <c r="C74" s="3">
        <v>20</v>
      </c>
      <c r="D74" s="63">
        <v>50</v>
      </c>
      <c r="E74" s="63">
        <v>643</v>
      </c>
      <c r="F74" s="262" t="s">
        <v>6</v>
      </c>
      <c r="G74" s="263"/>
      <c r="H74" s="3">
        <v>1</v>
      </c>
      <c r="I74" s="9"/>
      <c r="J74" s="9">
        <f t="shared" ref="J74:J75" si="8">H74-I74</f>
        <v>1</v>
      </c>
      <c r="K74" s="9"/>
      <c r="L74" s="21"/>
      <c r="M74" s="9"/>
      <c r="N74" s="143">
        <f t="shared" ref="N74:N75" si="9">M74*J74</f>
        <v>0</v>
      </c>
    </row>
    <row r="75" spans="1:14" x14ac:dyDescent="0.25">
      <c r="A75" s="3">
        <v>2</v>
      </c>
      <c r="B75" s="3" t="s">
        <v>31</v>
      </c>
      <c r="C75" s="3">
        <v>20</v>
      </c>
      <c r="D75" s="63">
        <v>50</v>
      </c>
      <c r="E75" s="63">
        <v>763</v>
      </c>
      <c r="F75" s="262" t="s">
        <v>6</v>
      </c>
      <c r="G75" s="263"/>
      <c r="H75" s="3">
        <v>1</v>
      </c>
      <c r="I75" s="3"/>
      <c r="J75" s="9">
        <f t="shared" si="8"/>
        <v>1</v>
      </c>
      <c r="K75" s="9"/>
      <c r="L75" s="21"/>
      <c r="M75" s="9"/>
      <c r="N75" s="143">
        <f t="shared" si="9"/>
        <v>0</v>
      </c>
    </row>
    <row r="76" spans="1:14" x14ac:dyDescent="0.25">
      <c r="M76" s="95" t="s">
        <v>166</v>
      </c>
      <c r="N76" s="161">
        <f>SUM(N74:N75)</f>
        <v>0</v>
      </c>
    </row>
    <row r="78" spans="1:14" x14ac:dyDescent="0.25">
      <c r="B78" s="112" t="s">
        <v>185</v>
      </c>
      <c r="C78" s="110"/>
      <c r="D78" s="110"/>
      <c r="E78" s="110"/>
      <c r="F78" s="113"/>
      <c r="G78" s="113"/>
    </row>
    <row r="79" spans="1:14" s="92" customFormat="1" x14ac:dyDescent="0.25">
      <c r="F79" s="111"/>
      <c r="G79" s="111"/>
    </row>
    <row r="80" spans="1:14" x14ac:dyDescent="0.25">
      <c r="A80" s="1" t="s">
        <v>38</v>
      </c>
      <c r="B80" s="24" t="s">
        <v>47</v>
      </c>
      <c r="C80" s="248" t="s">
        <v>2</v>
      </c>
      <c r="D80" s="249"/>
      <c r="E80" s="3" t="s">
        <v>167</v>
      </c>
      <c r="F80" s="277" t="s">
        <v>0</v>
      </c>
      <c r="G80" s="274"/>
      <c r="H80" s="1" t="s">
        <v>1</v>
      </c>
      <c r="I80" s="1" t="s">
        <v>42</v>
      </c>
      <c r="J80" s="1" t="s">
        <v>41</v>
      </c>
      <c r="K80" s="1" t="s">
        <v>44</v>
      </c>
      <c r="L80" s="1" t="s">
        <v>45</v>
      </c>
      <c r="M80" s="1" t="s">
        <v>176</v>
      </c>
      <c r="N80" s="3" t="s">
        <v>157</v>
      </c>
    </row>
    <row r="81" spans="1:14" x14ac:dyDescent="0.25">
      <c r="A81" s="3">
        <v>1</v>
      </c>
      <c r="B81" s="3" t="s">
        <v>58</v>
      </c>
      <c r="C81" s="65">
        <v>14</v>
      </c>
      <c r="D81" s="65">
        <v>1000</v>
      </c>
      <c r="E81" s="65">
        <f>C81/2</f>
        <v>7</v>
      </c>
      <c r="F81" s="262" t="s">
        <v>8</v>
      </c>
      <c r="G81" s="263"/>
      <c r="H81" s="3">
        <v>1</v>
      </c>
      <c r="I81" s="9">
        <v>1</v>
      </c>
      <c r="J81" s="9">
        <f>H81-I81</f>
        <v>0</v>
      </c>
      <c r="K81" s="9" t="s">
        <v>245</v>
      </c>
      <c r="L81" s="19">
        <v>45306</v>
      </c>
      <c r="M81" s="9"/>
      <c r="N81" s="143">
        <f>M81*J81</f>
        <v>0</v>
      </c>
    </row>
    <row r="82" spans="1:14" x14ac:dyDescent="0.25">
      <c r="M82" s="95" t="s">
        <v>197</v>
      </c>
      <c r="N82" s="161">
        <f>SUM(N81:N81)</f>
        <v>0</v>
      </c>
    </row>
    <row r="84" spans="1:14" x14ac:dyDescent="0.25">
      <c r="B84" s="112" t="s">
        <v>186</v>
      </c>
      <c r="C84" s="110"/>
      <c r="D84" s="110"/>
      <c r="E84" s="110"/>
      <c r="F84" s="113"/>
      <c r="G84" s="113"/>
    </row>
    <row r="85" spans="1:14" s="92" customFormat="1" x14ac:dyDescent="0.25">
      <c r="F85" s="111"/>
      <c r="G85" s="111"/>
    </row>
    <row r="86" spans="1:14" x14ac:dyDescent="0.25">
      <c r="A86" s="1" t="s">
        <v>38</v>
      </c>
      <c r="B86" s="24" t="s">
        <v>47</v>
      </c>
      <c r="C86" s="248" t="s">
        <v>2</v>
      </c>
      <c r="D86" s="249"/>
      <c r="E86" s="3" t="s">
        <v>167</v>
      </c>
      <c r="F86" s="277" t="s">
        <v>0</v>
      </c>
      <c r="G86" s="274"/>
      <c r="H86" s="1" t="s">
        <v>1</v>
      </c>
      <c r="I86" s="1" t="s">
        <v>42</v>
      </c>
      <c r="J86" s="1" t="s">
        <v>41</v>
      </c>
      <c r="K86" s="1" t="s">
        <v>44</v>
      </c>
      <c r="L86" s="1" t="s">
        <v>45</v>
      </c>
      <c r="M86" s="1" t="s">
        <v>176</v>
      </c>
      <c r="N86" s="3" t="s">
        <v>157</v>
      </c>
    </row>
    <row r="87" spans="1:14" x14ac:dyDescent="0.25">
      <c r="A87" s="3">
        <v>1</v>
      </c>
      <c r="B87" s="3" t="s">
        <v>32</v>
      </c>
      <c r="C87" s="65">
        <v>24</v>
      </c>
      <c r="D87" s="65">
        <v>97</v>
      </c>
      <c r="E87" s="65">
        <f>C87/2</f>
        <v>12</v>
      </c>
      <c r="F87" s="262" t="s">
        <v>33</v>
      </c>
      <c r="G87" s="263"/>
      <c r="H87" s="3">
        <v>1</v>
      </c>
      <c r="I87" s="3"/>
      <c r="J87" s="9">
        <f>H87-I87</f>
        <v>1</v>
      </c>
      <c r="K87" s="9"/>
      <c r="L87" s="21"/>
      <c r="M87" s="9"/>
      <c r="N87" s="143">
        <f>M87*J87</f>
        <v>0</v>
      </c>
    </row>
    <row r="88" spans="1:14" x14ac:dyDescent="0.25">
      <c r="A88" s="3">
        <v>2</v>
      </c>
      <c r="B88" s="3" t="s">
        <v>30</v>
      </c>
      <c r="C88" s="65">
        <v>64</v>
      </c>
      <c r="D88" s="65">
        <v>28</v>
      </c>
      <c r="E88" s="65">
        <f>C88/2</f>
        <v>32</v>
      </c>
      <c r="F88" s="262" t="s">
        <v>34</v>
      </c>
      <c r="G88" s="263"/>
      <c r="H88" s="3">
        <v>1</v>
      </c>
      <c r="I88" s="3"/>
      <c r="J88" s="9">
        <f>H88-I88</f>
        <v>1</v>
      </c>
      <c r="K88" s="9"/>
      <c r="L88" s="21"/>
      <c r="M88" s="9"/>
      <c r="N88" s="143">
        <f>M88*J88</f>
        <v>0</v>
      </c>
    </row>
    <row r="89" spans="1:14" x14ac:dyDescent="0.25">
      <c r="M89" s="95" t="s">
        <v>223</v>
      </c>
      <c r="N89" s="161">
        <f>SUM(N87:N88)</f>
        <v>0</v>
      </c>
    </row>
    <row r="91" spans="1:14" x14ac:dyDescent="0.25">
      <c r="M91" s="171"/>
      <c r="N91" s="172"/>
    </row>
    <row r="92" spans="1:14" x14ac:dyDescent="0.25">
      <c r="M92" s="148" t="s">
        <v>158</v>
      </c>
      <c r="N92" s="147">
        <f>N20+N32+N38+N49+N56+N62+N69+N76+N82+N89</f>
        <v>5493753.6906995</v>
      </c>
    </row>
    <row r="95" spans="1:14" x14ac:dyDescent="0.25">
      <c r="N95" t="s">
        <v>213</v>
      </c>
    </row>
  </sheetData>
  <autoFilter ref="C1:E95"/>
  <mergeCells count="55">
    <mergeCell ref="C86:D86"/>
    <mergeCell ref="F86:G86"/>
    <mergeCell ref="F87:G87"/>
    <mergeCell ref="F88:G88"/>
    <mergeCell ref="C73:E73"/>
    <mergeCell ref="F73:G73"/>
    <mergeCell ref="F74:G74"/>
    <mergeCell ref="F75:G75"/>
    <mergeCell ref="C80:D80"/>
    <mergeCell ref="F80:G80"/>
    <mergeCell ref="F81:G81"/>
    <mergeCell ref="F67:G67"/>
    <mergeCell ref="F68:G68"/>
    <mergeCell ref="F61:G61"/>
    <mergeCell ref="F55:G55"/>
    <mergeCell ref="F17:G17"/>
    <mergeCell ref="F24:G24"/>
    <mergeCell ref="F42:G42"/>
    <mergeCell ref="F43:G43"/>
    <mergeCell ref="F18:G18"/>
    <mergeCell ref="F19:G19"/>
    <mergeCell ref="F31:G31"/>
    <mergeCell ref="F47:G47"/>
    <mergeCell ref="F48:G48"/>
    <mergeCell ref="F25:G25"/>
    <mergeCell ref="F26:G26"/>
    <mergeCell ref="F27:G27"/>
    <mergeCell ref="F16:G16"/>
    <mergeCell ref="F10:G10"/>
    <mergeCell ref="F11:G11"/>
    <mergeCell ref="F12:G12"/>
    <mergeCell ref="F13:G13"/>
    <mergeCell ref="F14:G14"/>
    <mergeCell ref="F15:G15"/>
    <mergeCell ref="C10:E10"/>
    <mergeCell ref="C2:E2"/>
    <mergeCell ref="C3:E5"/>
    <mergeCell ref="C6:E6"/>
    <mergeCell ref="C54:E54"/>
    <mergeCell ref="C24:E24"/>
    <mergeCell ref="C42:E42"/>
    <mergeCell ref="C36:D36"/>
    <mergeCell ref="F28:G28"/>
    <mergeCell ref="F29:G29"/>
    <mergeCell ref="F30:G30"/>
    <mergeCell ref="C66:D66"/>
    <mergeCell ref="F66:G66"/>
    <mergeCell ref="C60:E60"/>
    <mergeCell ref="F60:G60"/>
    <mergeCell ref="F54:G54"/>
    <mergeCell ref="F36:G36"/>
    <mergeCell ref="F46:G46"/>
    <mergeCell ref="F44:G44"/>
    <mergeCell ref="F37:G37"/>
    <mergeCell ref="F45:G45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20481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20481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N64"/>
  <sheetViews>
    <sheetView tabSelected="1" topLeftCell="A4" zoomScale="82" zoomScaleNormal="82" workbookViewId="0">
      <selection activeCell="L26" sqref="L26"/>
    </sheetView>
  </sheetViews>
  <sheetFormatPr defaultRowHeight="15" x14ac:dyDescent="0.25"/>
  <cols>
    <col min="1" max="1" width="4.85546875" customWidth="1"/>
    <col min="2" max="2" width="16.5703125" customWidth="1"/>
    <col min="3" max="3" width="6.28515625" customWidth="1"/>
    <col min="4" max="4" width="7.140625" customWidth="1"/>
    <col min="5" max="5" width="6.140625" customWidth="1"/>
    <col min="6" max="6" width="11.28515625" customWidth="1"/>
    <col min="7" max="7" width="10.140625" customWidth="1"/>
    <col min="8" max="8" width="10" customWidth="1"/>
    <col min="9" max="9" width="9.5703125" customWidth="1"/>
    <col min="10" max="10" width="9.42578125" customWidth="1"/>
    <col min="11" max="11" width="23.7109375" customWidth="1"/>
    <col min="12" max="12" width="18.42578125" style="55" customWidth="1"/>
    <col min="13" max="14" width="18.140625" customWidth="1"/>
  </cols>
  <sheetData>
    <row r="1" spans="1:14" ht="15" customHeight="1" x14ac:dyDescent="0.25">
      <c r="A1" s="12"/>
      <c r="B1" s="12"/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3" t="s">
        <v>97</v>
      </c>
      <c r="J2" s="3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37"/>
      <c r="H5" s="37"/>
      <c r="I5" s="39"/>
      <c r="J5" s="39"/>
    </row>
    <row r="6" spans="1:14" ht="15" customHeight="1" x14ac:dyDescent="0.25">
      <c r="A6" s="27"/>
      <c r="B6" s="12"/>
      <c r="C6" s="248"/>
      <c r="D6" s="250"/>
      <c r="E6" s="249"/>
      <c r="F6" s="49"/>
      <c r="G6" s="41"/>
      <c r="H6" s="41"/>
      <c r="I6" s="41"/>
      <c r="J6" s="41"/>
    </row>
    <row r="7" spans="1:14" ht="15" customHeight="1" x14ac:dyDescent="0.25">
      <c r="A7" s="25" t="s">
        <v>47</v>
      </c>
      <c r="B7" s="26"/>
      <c r="C7" t="s">
        <v>116</v>
      </c>
      <c r="F7" s="28"/>
      <c r="G7" s="28"/>
      <c r="H7" s="28"/>
      <c r="I7" s="28"/>
      <c r="J7" s="26"/>
    </row>
    <row r="8" spans="1:14" ht="15" customHeight="1" x14ac:dyDescent="0.25">
      <c r="A8" s="42" t="s">
        <v>63</v>
      </c>
      <c r="B8" s="7"/>
      <c r="C8" s="62" t="s">
        <v>248</v>
      </c>
      <c r="D8" s="62"/>
      <c r="E8" s="62"/>
      <c r="F8" s="11"/>
      <c r="G8" s="11"/>
      <c r="H8" s="11"/>
      <c r="I8" s="11"/>
      <c r="J8" s="54"/>
    </row>
    <row r="9" spans="1:14" ht="15" customHeight="1" x14ac:dyDescent="0.25">
      <c r="A9" s="27" t="s">
        <v>62</v>
      </c>
      <c r="B9" s="37"/>
      <c r="C9" t="s">
        <v>103</v>
      </c>
      <c r="F9" s="12"/>
      <c r="G9" s="12"/>
      <c r="H9" s="12"/>
      <c r="I9" s="12"/>
      <c r="J9" s="37"/>
    </row>
    <row r="10" spans="1:14" ht="15" customHeight="1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20" t="s">
        <v>45</v>
      </c>
      <c r="M10" s="79" t="s">
        <v>156</v>
      </c>
      <c r="N10" s="79" t="s">
        <v>157</v>
      </c>
    </row>
    <row r="11" spans="1:14" x14ac:dyDescent="0.25">
      <c r="A11" s="226">
        <v>1</v>
      </c>
      <c r="B11" s="3" t="s">
        <v>39</v>
      </c>
      <c r="C11" s="3">
        <v>13</v>
      </c>
      <c r="D11" s="3">
        <v>45</v>
      </c>
      <c r="E11" s="3">
        <v>64</v>
      </c>
      <c r="F11" s="272" t="s">
        <v>6</v>
      </c>
      <c r="G11" s="261"/>
      <c r="H11" s="3">
        <v>1</v>
      </c>
      <c r="I11" s="3"/>
      <c r="J11" s="3">
        <f t="shared" ref="J11" si="0">H11-I11</f>
        <v>1</v>
      </c>
      <c r="K11" s="16"/>
      <c r="L11" s="19"/>
      <c r="M11" s="136">
        <f t="shared" ref="M11" si="1">(C11*D11*E11)*7.9/1000000*240000</f>
        <v>70986.239999999991</v>
      </c>
      <c r="N11" s="80">
        <f t="shared" ref="N11" si="2">M11*J11</f>
        <v>70986.239999999991</v>
      </c>
    </row>
    <row r="12" spans="1:14" x14ac:dyDescent="0.25">
      <c r="A12" s="226">
        <v>2</v>
      </c>
      <c r="B12" s="232" t="s">
        <v>39</v>
      </c>
      <c r="C12" s="232">
        <v>30</v>
      </c>
      <c r="D12" s="232">
        <v>30</v>
      </c>
      <c r="E12" s="232">
        <v>42</v>
      </c>
      <c r="F12" s="272" t="s">
        <v>243</v>
      </c>
      <c r="G12" s="261"/>
      <c r="H12" s="232">
        <v>1</v>
      </c>
      <c r="I12" s="232"/>
      <c r="J12" s="232">
        <f t="shared" ref="J12:J13" si="3">H12-I12</f>
        <v>1</v>
      </c>
      <c r="K12" s="2"/>
      <c r="L12" s="19"/>
      <c r="M12" s="136">
        <f t="shared" ref="M12:M16" si="4">(C12*D12*E12)*7.9/1000000*253000</f>
        <v>75550.86</v>
      </c>
      <c r="N12" s="80">
        <f t="shared" ref="N12:N16" si="5">M12*J12</f>
        <v>75550.86</v>
      </c>
    </row>
    <row r="13" spans="1:14" x14ac:dyDescent="0.25">
      <c r="A13" s="226">
        <v>3</v>
      </c>
      <c r="B13" s="232" t="s">
        <v>39</v>
      </c>
      <c r="C13" s="232">
        <v>25</v>
      </c>
      <c r="D13" s="232">
        <v>20</v>
      </c>
      <c r="E13" s="232">
        <v>25</v>
      </c>
      <c r="F13" s="272" t="s">
        <v>243</v>
      </c>
      <c r="G13" s="261"/>
      <c r="H13" s="232">
        <v>1</v>
      </c>
      <c r="I13" s="232"/>
      <c r="J13" s="232">
        <f t="shared" si="3"/>
        <v>1</v>
      </c>
      <c r="K13" s="2"/>
      <c r="L13" s="19"/>
      <c r="M13" s="136">
        <f t="shared" si="4"/>
        <v>24983.75</v>
      </c>
      <c r="N13" s="80">
        <f t="shared" si="5"/>
        <v>24983.75</v>
      </c>
    </row>
    <row r="14" spans="1:14" x14ac:dyDescent="0.25">
      <c r="A14" s="226">
        <v>4</v>
      </c>
      <c r="B14" s="235" t="s">
        <v>39</v>
      </c>
      <c r="C14" s="235">
        <v>32</v>
      </c>
      <c r="D14" s="235">
        <v>50</v>
      </c>
      <c r="E14" s="235">
        <v>58</v>
      </c>
      <c r="F14" s="272" t="s">
        <v>243</v>
      </c>
      <c r="G14" s="261"/>
      <c r="H14" s="235">
        <v>1</v>
      </c>
      <c r="I14" s="235"/>
      <c r="J14" s="235">
        <f t="shared" ref="J14" si="6">H14-I14</f>
        <v>1</v>
      </c>
      <c r="K14" s="2"/>
      <c r="L14" s="19"/>
      <c r="M14" s="136">
        <f t="shared" si="4"/>
        <v>185479.36</v>
      </c>
      <c r="N14" s="80">
        <f t="shared" si="5"/>
        <v>185479.36</v>
      </c>
    </row>
    <row r="15" spans="1:14" x14ac:dyDescent="0.25">
      <c r="A15" s="226">
        <v>5</v>
      </c>
      <c r="B15" s="235" t="s">
        <v>39</v>
      </c>
      <c r="C15" s="235">
        <v>40</v>
      </c>
      <c r="D15" s="235">
        <v>47</v>
      </c>
      <c r="E15" s="235">
        <v>50</v>
      </c>
      <c r="F15" s="272" t="s">
        <v>243</v>
      </c>
      <c r="G15" s="261"/>
      <c r="H15" s="235">
        <v>1</v>
      </c>
      <c r="I15" s="235"/>
      <c r="J15" s="235">
        <f t="shared" ref="J15:J16" si="7">H15-I15</f>
        <v>1</v>
      </c>
      <c r="K15" s="2"/>
      <c r="L15" s="19"/>
      <c r="M15" s="136">
        <f t="shared" si="4"/>
        <v>187877.80000000002</v>
      </c>
      <c r="N15" s="80">
        <f t="shared" si="5"/>
        <v>187877.80000000002</v>
      </c>
    </row>
    <row r="16" spans="1:14" x14ac:dyDescent="0.25">
      <c r="A16" s="226">
        <v>6</v>
      </c>
      <c r="B16" s="235" t="s">
        <v>39</v>
      </c>
      <c r="C16" s="235">
        <v>30</v>
      </c>
      <c r="D16" s="235">
        <v>300</v>
      </c>
      <c r="E16" s="235">
        <v>300</v>
      </c>
      <c r="F16" s="272" t="s">
        <v>8</v>
      </c>
      <c r="G16" s="261"/>
      <c r="H16" s="235">
        <v>1</v>
      </c>
      <c r="I16" s="235"/>
      <c r="J16" s="235">
        <f t="shared" si="7"/>
        <v>1</v>
      </c>
      <c r="K16" s="2"/>
      <c r="L16" s="19"/>
      <c r="M16" s="136">
        <f t="shared" si="4"/>
        <v>5396490</v>
      </c>
      <c r="N16" s="80">
        <f t="shared" si="5"/>
        <v>5396490</v>
      </c>
    </row>
    <row r="17" spans="1:14" x14ac:dyDescent="0.25">
      <c r="A17" s="247">
        <v>7</v>
      </c>
      <c r="B17" s="241" t="s">
        <v>39</v>
      </c>
      <c r="C17" s="241">
        <v>30</v>
      </c>
      <c r="D17" s="241">
        <v>30</v>
      </c>
      <c r="E17" s="241">
        <v>43</v>
      </c>
      <c r="F17" s="272" t="s">
        <v>6</v>
      </c>
      <c r="G17" s="261"/>
      <c r="H17" s="241">
        <v>1</v>
      </c>
      <c r="I17" s="241">
        <v>1</v>
      </c>
      <c r="J17" s="241">
        <f t="shared" ref="J17:J33" si="8">H17-I17</f>
        <v>0</v>
      </c>
      <c r="K17" s="2" t="s">
        <v>263</v>
      </c>
      <c r="L17" s="19">
        <v>45351</v>
      </c>
      <c r="M17" s="136">
        <f t="shared" ref="M17:M33" si="9">(C17*D17*E17)*7.9/1000000*253000</f>
        <v>77349.69</v>
      </c>
      <c r="N17" s="80">
        <f t="shared" ref="N17:N33" si="10">M17*J17</f>
        <v>0</v>
      </c>
    </row>
    <row r="18" spans="1:14" x14ac:dyDescent="0.25">
      <c r="A18" s="247">
        <v>8</v>
      </c>
      <c r="B18" s="241" t="s">
        <v>39</v>
      </c>
      <c r="C18" s="241">
        <v>17</v>
      </c>
      <c r="D18" s="241">
        <v>27</v>
      </c>
      <c r="E18" s="241">
        <v>30</v>
      </c>
      <c r="F18" s="272" t="s">
        <v>6</v>
      </c>
      <c r="G18" s="261"/>
      <c r="H18" s="241">
        <v>1</v>
      </c>
      <c r="I18" s="241"/>
      <c r="J18" s="241">
        <f t="shared" si="8"/>
        <v>1</v>
      </c>
      <c r="K18" s="2"/>
      <c r="L18" s="19"/>
      <c r="M18" s="136">
        <f t="shared" si="9"/>
        <v>27522.099000000002</v>
      </c>
      <c r="N18" s="80">
        <f t="shared" si="10"/>
        <v>27522.099000000002</v>
      </c>
    </row>
    <row r="19" spans="1:14" x14ac:dyDescent="0.25">
      <c r="A19" s="247">
        <v>9</v>
      </c>
      <c r="B19" s="241" t="s">
        <v>39</v>
      </c>
      <c r="C19" s="241">
        <v>40</v>
      </c>
      <c r="D19" s="241">
        <v>42</v>
      </c>
      <c r="E19" s="241">
        <v>263</v>
      </c>
      <c r="F19" s="272" t="s">
        <v>6</v>
      </c>
      <c r="G19" s="261"/>
      <c r="H19" s="241">
        <v>1</v>
      </c>
      <c r="I19" s="241"/>
      <c r="J19" s="241">
        <f t="shared" si="8"/>
        <v>1</v>
      </c>
      <c r="K19" s="2"/>
      <c r="L19" s="19"/>
      <c r="M19" s="136">
        <f t="shared" si="9"/>
        <v>883105.60800000001</v>
      </c>
      <c r="N19" s="80">
        <f t="shared" si="10"/>
        <v>883105.60800000001</v>
      </c>
    </row>
    <row r="20" spans="1:14" x14ac:dyDescent="0.25">
      <c r="A20" s="247">
        <v>10</v>
      </c>
      <c r="B20" s="241" t="s">
        <v>39</v>
      </c>
      <c r="C20" s="241">
        <v>40</v>
      </c>
      <c r="D20" s="241">
        <v>198</v>
      </c>
      <c r="E20" s="241">
        <v>300</v>
      </c>
      <c r="F20" s="272" t="s">
        <v>6</v>
      </c>
      <c r="G20" s="261"/>
      <c r="H20" s="241">
        <v>1</v>
      </c>
      <c r="I20" s="241">
        <v>1</v>
      </c>
      <c r="J20" s="241">
        <f t="shared" si="8"/>
        <v>0</v>
      </c>
      <c r="K20" s="2" t="s">
        <v>263</v>
      </c>
      <c r="L20" s="19">
        <v>45351</v>
      </c>
      <c r="M20" s="136">
        <f t="shared" si="9"/>
        <v>4748911.1999999993</v>
      </c>
      <c r="N20" s="80">
        <f t="shared" si="10"/>
        <v>0</v>
      </c>
    </row>
    <row r="21" spans="1:14" x14ac:dyDescent="0.25">
      <c r="A21" s="247">
        <v>11</v>
      </c>
      <c r="B21" s="241" t="s">
        <v>39</v>
      </c>
      <c r="C21" s="241">
        <v>14</v>
      </c>
      <c r="D21" s="241">
        <v>30</v>
      </c>
      <c r="E21" s="241">
        <v>70</v>
      </c>
      <c r="F21" s="272" t="s">
        <v>6</v>
      </c>
      <c r="G21" s="261"/>
      <c r="H21" s="241">
        <v>1</v>
      </c>
      <c r="I21" s="241"/>
      <c r="J21" s="241">
        <f t="shared" si="8"/>
        <v>1</v>
      </c>
      <c r="K21" s="2"/>
      <c r="L21" s="19"/>
      <c r="M21" s="136">
        <f t="shared" si="9"/>
        <v>58761.78</v>
      </c>
      <c r="N21" s="80">
        <f t="shared" si="10"/>
        <v>58761.78</v>
      </c>
    </row>
    <row r="22" spans="1:14" x14ac:dyDescent="0.25">
      <c r="A22" s="247">
        <v>12</v>
      </c>
      <c r="B22" s="241" t="s">
        <v>39</v>
      </c>
      <c r="C22" s="241">
        <v>20</v>
      </c>
      <c r="D22" s="241">
        <v>40</v>
      </c>
      <c r="E22" s="241">
        <v>95</v>
      </c>
      <c r="F22" s="272" t="s">
        <v>6</v>
      </c>
      <c r="G22" s="261"/>
      <c r="H22" s="241">
        <v>1</v>
      </c>
      <c r="I22" s="241">
        <v>1</v>
      </c>
      <c r="J22" s="241">
        <f t="shared" si="8"/>
        <v>0</v>
      </c>
      <c r="K22" s="14" t="s">
        <v>261</v>
      </c>
      <c r="L22" s="19">
        <v>45349</v>
      </c>
      <c r="M22" s="136">
        <f t="shared" si="9"/>
        <v>151901.20000000001</v>
      </c>
      <c r="N22" s="80">
        <f t="shared" si="10"/>
        <v>0</v>
      </c>
    </row>
    <row r="23" spans="1:14" x14ac:dyDescent="0.25">
      <c r="A23" s="247">
        <v>13</v>
      </c>
      <c r="B23" s="241" t="s">
        <v>39</v>
      </c>
      <c r="C23" s="241">
        <v>20</v>
      </c>
      <c r="D23" s="241">
        <v>72</v>
      </c>
      <c r="E23" s="241">
        <v>240</v>
      </c>
      <c r="F23" s="272" t="s">
        <v>6</v>
      </c>
      <c r="G23" s="261"/>
      <c r="H23" s="241">
        <v>1</v>
      </c>
      <c r="I23" s="241">
        <v>1</v>
      </c>
      <c r="J23" s="241">
        <f t="shared" si="8"/>
        <v>0</v>
      </c>
      <c r="K23" s="2" t="s">
        <v>259</v>
      </c>
      <c r="L23" s="19">
        <v>45343</v>
      </c>
      <c r="M23" s="136">
        <f t="shared" si="9"/>
        <v>690750.72</v>
      </c>
      <c r="N23" s="80">
        <f t="shared" si="10"/>
        <v>0</v>
      </c>
    </row>
    <row r="24" spans="1:14" x14ac:dyDescent="0.25">
      <c r="A24" s="247">
        <v>14</v>
      </c>
      <c r="B24" s="241" t="s">
        <v>39</v>
      </c>
      <c r="C24" s="241">
        <v>40</v>
      </c>
      <c r="D24" s="241">
        <v>57</v>
      </c>
      <c r="E24" s="241">
        <v>245</v>
      </c>
      <c r="F24" s="272" t="s">
        <v>6</v>
      </c>
      <c r="G24" s="261"/>
      <c r="H24" s="241">
        <v>1</v>
      </c>
      <c r="I24" s="241">
        <v>1</v>
      </c>
      <c r="J24" s="241">
        <f t="shared" si="8"/>
        <v>0</v>
      </c>
      <c r="K24" s="14" t="s">
        <v>257</v>
      </c>
      <c r="L24" s="19">
        <v>45342</v>
      </c>
      <c r="M24" s="136">
        <f t="shared" si="9"/>
        <v>1116473.82</v>
      </c>
      <c r="N24" s="80">
        <f t="shared" si="10"/>
        <v>0</v>
      </c>
    </row>
    <row r="25" spans="1:14" x14ac:dyDescent="0.25">
      <c r="A25" s="247">
        <v>15</v>
      </c>
      <c r="B25" s="241" t="s">
        <v>39</v>
      </c>
      <c r="C25" s="241">
        <v>25</v>
      </c>
      <c r="D25" s="241">
        <v>185</v>
      </c>
      <c r="E25" s="241">
        <v>300</v>
      </c>
      <c r="F25" s="272" t="s">
        <v>6</v>
      </c>
      <c r="G25" s="261"/>
      <c r="H25" s="241">
        <v>1</v>
      </c>
      <c r="I25" s="241">
        <v>1</v>
      </c>
      <c r="J25" s="241">
        <f t="shared" si="8"/>
        <v>0</v>
      </c>
      <c r="K25" s="2" t="s">
        <v>264</v>
      </c>
      <c r="L25" s="19">
        <v>45351</v>
      </c>
      <c r="M25" s="136">
        <f t="shared" si="9"/>
        <v>2773196.25</v>
      </c>
      <c r="N25" s="80">
        <f t="shared" si="10"/>
        <v>0</v>
      </c>
    </row>
    <row r="26" spans="1:14" x14ac:dyDescent="0.25">
      <c r="A26" s="247">
        <v>16</v>
      </c>
      <c r="B26" s="241" t="s">
        <v>39</v>
      </c>
      <c r="C26" s="241">
        <v>25</v>
      </c>
      <c r="D26" s="241">
        <v>67</v>
      </c>
      <c r="E26" s="241">
        <v>73</v>
      </c>
      <c r="F26" s="272" t="s">
        <v>6</v>
      </c>
      <c r="G26" s="261"/>
      <c r="H26" s="241">
        <v>1</v>
      </c>
      <c r="I26" s="241">
        <v>1</v>
      </c>
      <c r="J26" s="241">
        <f t="shared" si="8"/>
        <v>0</v>
      </c>
      <c r="K26" s="14" t="s">
        <v>253</v>
      </c>
      <c r="L26" s="19">
        <v>45339</v>
      </c>
      <c r="M26" s="136">
        <f t="shared" si="9"/>
        <v>244391.04250000001</v>
      </c>
      <c r="N26" s="80">
        <f t="shared" si="10"/>
        <v>0</v>
      </c>
    </row>
    <row r="27" spans="1:14" x14ac:dyDescent="0.25">
      <c r="A27" s="226">
        <v>17</v>
      </c>
      <c r="B27" s="241" t="s">
        <v>39</v>
      </c>
      <c r="C27" s="241"/>
      <c r="D27" s="241"/>
      <c r="E27" s="241"/>
      <c r="F27" s="272"/>
      <c r="G27" s="261"/>
      <c r="H27" s="241"/>
      <c r="I27" s="241"/>
      <c r="J27" s="241">
        <f t="shared" si="8"/>
        <v>0</v>
      </c>
      <c r="K27" s="2"/>
      <c r="L27" s="19"/>
      <c r="M27" s="136">
        <f t="shared" si="9"/>
        <v>0</v>
      </c>
      <c r="N27" s="80">
        <f t="shared" si="10"/>
        <v>0</v>
      </c>
    </row>
    <row r="28" spans="1:14" x14ac:dyDescent="0.25">
      <c r="A28" s="226">
        <v>18</v>
      </c>
      <c r="B28" s="241" t="s">
        <v>39</v>
      </c>
      <c r="C28" s="241"/>
      <c r="D28" s="241"/>
      <c r="E28" s="241"/>
      <c r="F28" s="272"/>
      <c r="G28" s="261"/>
      <c r="H28" s="241"/>
      <c r="I28" s="241"/>
      <c r="J28" s="241">
        <f t="shared" si="8"/>
        <v>0</v>
      </c>
      <c r="K28" s="2"/>
      <c r="L28" s="19"/>
      <c r="M28" s="136">
        <f t="shared" si="9"/>
        <v>0</v>
      </c>
      <c r="N28" s="80">
        <f t="shared" si="10"/>
        <v>0</v>
      </c>
    </row>
    <row r="29" spans="1:14" x14ac:dyDescent="0.25">
      <c r="A29" s="226">
        <v>19</v>
      </c>
      <c r="B29" s="241" t="s">
        <v>39</v>
      </c>
      <c r="C29" s="241"/>
      <c r="D29" s="241"/>
      <c r="E29" s="241"/>
      <c r="F29" s="272"/>
      <c r="G29" s="261"/>
      <c r="H29" s="241"/>
      <c r="I29" s="241"/>
      <c r="J29" s="241">
        <f t="shared" si="8"/>
        <v>0</v>
      </c>
      <c r="K29" s="2"/>
      <c r="L29" s="19"/>
      <c r="M29" s="136">
        <f t="shared" si="9"/>
        <v>0</v>
      </c>
      <c r="N29" s="80">
        <f t="shared" si="10"/>
        <v>0</v>
      </c>
    </row>
    <row r="30" spans="1:14" x14ac:dyDescent="0.25">
      <c r="A30" s="226">
        <v>20</v>
      </c>
      <c r="B30" s="241" t="s">
        <v>39</v>
      </c>
      <c r="C30" s="241"/>
      <c r="D30" s="241"/>
      <c r="E30" s="241"/>
      <c r="F30" s="272"/>
      <c r="G30" s="261"/>
      <c r="H30" s="241"/>
      <c r="I30" s="241"/>
      <c r="J30" s="241">
        <f t="shared" si="8"/>
        <v>0</v>
      </c>
      <c r="K30" s="2"/>
      <c r="L30" s="19"/>
      <c r="M30" s="136">
        <f t="shared" si="9"/>
        <v>0</v>
      </c>
      <c r="N30" s="80">
        <f t="shared" si="10"/>
        <v>0</v>
      </c>
    </row>
    <row r="31" spans="1:14" x14ac:dyDescent="0.25">
      <c r="A31" s="226">
        <v>21</v>
      </c>
      <c r="B31" s="241" t="s">
        <v>39</v>
      </c>
      <c r="C31" s="241"/>
      <c r="D31" s="241"/>
      <c r="E31" s="241"/>
      <c r="F31" s="272"/>
      <c r="G31" s="261"/>
      <c r="H31" s="241"/>
      <c r="I31" s="241"/>
      <c r="J31" s="241">
        <f t="shared" si="8"/>
        <v>0</v>
      </c>
      <c r="K31" s="2"/>
      <c r="L31" s="19"/>
      <c r="M31" s="136">
        <f t="shared" si="9"/>
        <v>0</v>
      </c>
      <c r="N31" s="80">
        <f t="shared" si="10"/>
        <v>0</v>
      </c>
    </row>
    <row r="32" spans="1:14" x14ac:dyDescent="0.25">
      <c r="A32" s="226">
        <v>22</v>
      </c>
      <c r="B32" s="241" t="s">
        <v>39</v>
      </c>
      <c r="C32" s="241"/>
      <c r="D32" s="241"/>
      <c r="E32" s="241"/>
      <c r="F32" s="272"/>
      <c r="G32" s="261"/>
      <c r="H32" s="241"/>
      <c r="I32" s="241"/>
      <c r="J32" s="241">
        <f t="shared" si="8"/>
        <v>0</v>
      </c>
      <c r="K32" s="2"/>
      <c r="L32" s="19"/>
      <c r="M32" s="136">
        <f t="shared" si="9"/>
        <v>0</v>
      </c>
      <c r="N32" s="80">
        <f t="shared" si="10"/>
        <v>0</v>
      </c>
    </row>
    <row r="33" spans="1:14" x14ac:dyDescent="0.25">
      <c r="A33" s="226">
        <v>23</v>
      </c>
      <c r="B33" s="241" t="s">
        <v>39</v>
      </c>
      <c r="C33" s="241"/>
      <c r="D33" s="241"/>
      <c r="E33" s="241"/>
      <c r="F33" s="272"/>
      <c r="G33" s="261"/>
      <c r="H33" s="241"/>
      <c r="I33" s="241"/>
      <c r="J33" s="241">
        <f t="shared" si="8"/>
        <v>0</v>
      </c>
      <c r="K33" s="2"/>
      <c r="L33" s="19"/>
      <c r="M33" s="136">
        <f t="shared" si="9"/>
        <v>0</v>
      </c>
      <c r="N33" s="80">
        <f t="shared" si="10"/>
        <v>0</v>
      </c>
    </row>
    <row r="34" spans="1:14" x14ac:dyDescent="0.25">
      <c r="A34" s="226">
        <v>24</v>
      </c>
      <c r="B34" s="241" t="s">
        <v>39</v>
      </c>
      <c r="C34" s="241"/>
      <c r="D34" s="241"/>
      <c r="E34" s="241"/>
      <c r="F34" s="272"/>
      <c r="G34" s="261"/>
      <c r="H34" s="241"/>
      <c r="I34" s="241"/>
      <c r="J34" s="241">
        <f t="shared" ref="J34" si="11">H34-I34</f>
        <v>0</v>
      </c>
      <c r="K34" s="2"/>
      <c r="L34" s="19"/>
      <c r="M34" s="136">
        <f t="shared" ref="M34" si="12">(C34*D34*E34)*7.9/1000000*253000</f>
        <v>0</v>
      </c>
      <c r="N34" s="80">
        <f t="shared" ref="N34" si="13">M34*J34</f>
        <v>0</v>
      </c>
    </row>
    <row r="35" spans="1:14" x14ac:dyDescent="0.25">
      <c r="M35" s="135" t="s">
        <v>224</v>
      </c>
      <c r="N35" s="82">
        <f>SUM(N11:N24)</f>
        <v>6910757.4970000004</v>
      </c>
    </row>
    <row r="37" spans="1:14" x14ac:dyDescent="0.25">
      <c r="B37" s="112" t="s">
        <v>188</v>
      </c>
      <c r="C37" s="110"/>
      <c r="D37" s="110"/>
    </row>
    <row r="38" spans="1:14" s="92" customFormat="1" x14ac:dyDescent="0.25">
      <c r="L38" s="109"/>
    </row>
    <row r="39" spans="1:14" x14ac:dyDescent="0.25">
      <c r="A39" s="1" t="s">
        <v>38</v>
      </c>
      <c r="B39" s="24" t="s">
        <v>47</v>
      </c>
      <c r="C39" s="248" t="s">
        <v>2</v>
      </c>
      <c r="D39" s="249"/>
      <c r="E39" s="3" t="s">
        <v>167</v>
      </c>
      <c r="F39" s="260" t="s">
        <v>0</v>
      </c>
      <c r="G39" s="261"/>
      <c r="H39" s="1" t="s">
        <v>1</v>
      </c>
      <c r="I39" s="1" t="s">
        <v>42</v>
      </c>
      <c r="J39" s="1" t="s">
        <v>41</v>
      </c>
      <c r="K39" s="1" t="s">
        <v>44</v>
      </c>
      <c r="L39" s="20" t="s">
        <v>45</v>
      </c>
      <c r="M39" s="79" t="s">
        <v>156</v>
      </c>
      <c r="N39" s="79" t="s">
        <v>157</v>
      </c>
    </row>
    <row r="40" spans="1:14" s="13" customFormat="1" x14ac:dyDescent="0.25">
      <c r="A40" s="3">
        <v>1</v>
      </c>
      <c r="B40" s="142" t="s">
        <v>172</v>
      </c>
      <c r="C40" s="4">
        <v>16</v>
      </c>
      <c r="D40" s="4">
        <v>870</v>
      </c>
      <c r="E40" s="4">
        <f t="shared" ref="E40" si="14">C40/2</f>
        <v>8</v>
      </c>
      <c r="F40" s="248" t="s">
        <v>6</v>
      </c>
      <c r="G40" s="249"/>
      <c r="H40" s="3">
        <v>1</v>
      </c>
      <c r="I40" s="3"/>
      <c r="J40" s="3">
        <f t="shared" ref="J40" si="15">H40-I40</f>
        <v>1</v>
      </c>
      <c r="K40" s="3"/>
      <c r="L40" s="19"/>
      <c r="M40" s="157">
        <f t="shared" ref="M40:M41" si="16">(3.14*E40*E40*D40)*7.9/1000000*253000</f>
        <v>349443.11424000002</v>
      </c>
      <c r="N40" s="158">
        <f t="shared" ref="N40:N41" si="17">M40*J40</f>
        <v>349443.11424000002</v>
      </c>
    </row>
    <row r="41" spans="1:14" s="233" customFormat="1" x14ac:dyDescent="0.25">
      <c r="A41" s="234">
        <v>2</v>
      </c>
      <c r="B41" s="142" t="s">
        <v>172</v>
      </c>
      <c r="C41" s="4">
        <v>12</v>
      </c>
      <c r="D41" s="4">
        <v>1000</v>
      </c>
      <c r="E41" s="4">
        <f t="shared" ref="E41" si="18">C41/2</f>
        <v>6</v>
      </c>
      <c r="F41" s="248" t="s">
        <v>6</v>
      </c>
      <c r="G41" s="249"/>
      <c r="H41" s="232">
        <v>1</v>
      </c>
      <c r="I41" s="232">
        <v>1</v>
      </c>
      <c r="J41" s="232">
        <f t="shared" ref="J41" si="19">H41-I41</f>
        <v>0</v>
      </c>
      <c r="K41" s="232" t="s">
        <v>258</v>
      </c>
      <c r="L41" s="19">
        <v>45343</v>
      </c>
      <c r="M41" s="157">
        <f t="shared" si="16"/>
        <v>225933.04799999998</v>
      </c>
      <c r="N41" s="158">
        <f t="shared" si="17"/>
        <v>0</v>
      </c>
    </row>
    <row r="42" spans="1:14" x14ac:dyDescent="0.25">
      <c r="M42" s="93" t="s">
        <v>225</v>
      </c>
      <c r="N42" s="82">
        <f>SUM(N40:N41)</f>
        <v>349443.11424000002</v>
      </c>
    </row>
    <row r="44" spans="1:14" x14ac:dyDescent="0.25">
      <c r="B44" s="112" t="s">
        <v>189</v>
      </c>
      <c r="C44" s="110"/>
      <c r="D44" s="110"/>
      <c r="E44" s="110"/>
    </row>
    <row r="45" spans="1:14" s="92" customFormat="1" x14ac:dyDescent="0.25">
      <c r="L45" s="109"/>
    </row>
    <row r="46" spans="1:14" x14ac:dyDescent="0.25">
      <c r="A46" s="1" t="s">
        <v>38</v>
      </c>
      <c r="B46" s="24" t="s">
        <v>47</v>
      </c>
      <c r="C46" s="248" t="s">
        <v>2</v>
      </c>
      <c r="D46" s="250"/>
      <c r="E46" s="249"/>
      <c r="F46" s="260" t="s">
        <v>0</v>
      </c>
      <c r="G46" s="261"/>
      <c r="H46" s="1" t="s">
        <v>1</v>
      </c>
      <c r="I46" s="1" t="s">
        <v>42</v>
      </c>
      <c r="J46" s="1" t="s">
        <v>41</v>
      </c>
      <c r="K46" s="1" t="s">
        <v>44</v>
      </c>
      <c r="L46" s="20" t="s">
        <v>45</v>
      </c>
      <c r="M46" s="79" t="s">
        <v>156</v>
      </c>
      <c r="N46" s="79" t="s">
        <v>157</v>
      </c>
    </row>
    <row r="47" spans="1:14" x14ac:dyDescent="0.25">
      <c r="A47" s="2">
        <v>1</v>
      </c>
      <c r="B47" s="2" t="s">
        <v>173</v>
      </c>
      <c r="C47" s="4">
        <v>1.5</v>
      </c>
      <c r="D47" s="65">
        <v>360</v>
      </c>
      <c r="E47" s="65">
        <v>1200</v>
      </c>
      <c r="F47" s="280" t="s">
        <v>50</v>
      </c>
      <c r="G47" s="281"/>
      <c r="H47" s="3">
        <v>1</v>
      </c>
      <c r="I47" s="3"/>
      <c r="J47" s="3">
        <f t="shared" ref="J47:J57" si="20">H47-I47</f>
        <v>1</v>
      </c>
      <c r="K47" s="2"/>
      <c r="L47" s="18"/>
      <c r="M47" s="78">
        <f t="shared" ref="M47:M57" si="21">(C47*D47*E47)*7.9/1000000*240000</f>
        <v>1228608</v>
      </c>
      <c r="N47" s="80">
        <f t="shared" ref="N47:N57" si="22">M47*J47</f>
        <v>1228608</v>
      </c>
    </row>
    <row r="48" spans="1:14" x14ac:dyDescent="0.25">
      <c r="A48" s="2">
        <v>2</v>
      </c>
      <c r="B48" s="2" t="s">
        <v>173</v>
      </c>
      <c r="C48" s="4">
        <v>1.5</v>
      </c>
      <c r="D48" s="65">
        <v>360</v>
      </c>
      <c r="E48" s="65">
        <v>1200</v>
      </c>
      <c r="F48" s="280" t="s">
        <v>50</v>
      </c>
      <c r="G48" s="281"/>
      <c r="H48" s="3">
        <v>1</v>
      </c>
      <c r="I48" s="3"/>
      <c r="J48" s="3">
        <f t="shared" si="20"/>
        <v>1</v>
      </c>
      <c r="K48" s="2"/>
      <c r="L48" s="18"/>
      <c r="M48" s="78">
        <f t="shared" si="21"/>
        <v>1228608</v>
      </c>
      <c r="N48" s="80">
        <f t="shared" si="22"/>
        <v>1228608</v>
      </c>
    </row>
    <row r="49" spans="1:14" x14ac:dyDescent="0.25">
      <c r="A49" s="2">
        <v>3</v>
      </c>
      <c r="B49" s="2" t="s">
        <v>173</v>
      </c>
      <c r="C49" s="4">
        <v>3</v>
      </c>
      <c r="D49" s="65">
        <v>360</v>
      </c>
      <c r="E49" s="65">
        <v>1095</v>
      </c>
      <c r="F49" s="280" t="s">
        <v>50</v>
      </c>
      <c r="G49" s="281"/>
      <c r="H49" s="3">
        <v>1</v>
      </c>
      <c r="I49" s="3"/>
      <c r="J49" s="3">
        <f t="shared" si="20"/>
        <v>1</v>
      </c>
      <c r="K49" s="2"/>
      <c r="L49" s="18"/>
      <c r="M49" s="78">
        <f t="shared" si="21"/>
        <v>2242209.6</v>
      </c>
      <c r="N49" s="80">
        <f t="shared" si="22"/>
        <v>2242209.6</v>
      </c>
    </row>
    <row r="50" spans="1:14" x14ac:dyDescent="0.25">
      <c r="A50" s="2">
        <v>4</v>
      </c>
      <c r="B50" s="2" t="s">
        <v>173</v>
      </c>
      <c r="C50" s="4">
        <v>2</v>
      </c>
      <c r="D50" s="65">
        <v>360</v>
      </c>
      <c r="E50" s="65">
        <v>1155</v>
      </c>
      <c r="F50" s="280" t="s">
        <v>50</v>
      </c>
      <c r="G50" s="281"/>
      <c r="H50" s="3">
        <v>1</v>
      </c>
      <c r="I50" s="3"/>
      <c r="J50" s="3">
        <f t="shared" si="20"/>
        <v>1</v>
      </c>
      <c r="K50" s="2"/>
      <c r="L50" s="18"/>
      <c r="M50" s="78">
        <f t="shared" si="21"/>
        <v>1576713.5999999999</v>
      </c>
      <c r="N50" s="80">
        <f t="shared" si="22"/>
        <v>1576713.5999999999</v>
      </c>
    </row>
    <row r="51" spans="1:14" x14ac:dyDescent="0.25">
      <c r="A51" s="2">
        <v>5</v>
      </c>
      <c r="B51" s="2" t="s">
        <v>173</v>
      </c>
      <c r="C51" s="4">
        <v>1</v>
      </c>
      <c r="D51" s="65">
        <v>360</v>
      </c>
      <c r="E51" s="65">
        <v>660</v>
      </c>
      <c r="F51" s="280" t="s">
        <v>50</v>
      </c>
      <c r="G51" s="281"/>
      <c r="H51" s="3">
        <v>1</v>
      </c>
      <c r="I51" s="3"/>
      <c r="J51" s="3">
        <f t="shared" si="20"/>
        <v>1</v>
      </c>
      <c r="K51" s="2"/>
      <c r="L51" s="18"/>
      <c r="M51" s="78">
        <f t="shared" si="21"/>
        <v>450489.60000000003</v>
      </c>
      <c r="N51" s="80">
        <f t="shared" si="22"/>
        <v>450489.60000000003</v>
      </c>
    </row>
    <row r="52" spans="1:14" x14ac:dyDescent="0.25">
      <c r="A52" s="2">
        <v>6</v>
      </c>
      <c r="B52" s="2" t="s">
        <v>173</v>
      </c>
      <c r="C52" s="4">
        <v>2</v>
      </c>
      <c r="D52" s="65">
        <v>40</v>
      </c>
      <c r="E52" s="65">
        <v>290</v>
      </c>
      <c r="F52" s="280" t="s">
        <v>50</v>
      </c>
      <c r="G52" s="281"/>
      <c r="H52" s="3">
        <v>1</v>
      </c>
      <c r="I52" s="3"/>
      <c r="J52" s="3">
        <f t="shared" si="20"/>
        <v>1</v>
      </c>
      <c r="K52" s="2"/>
      <c r="L52" s="18"/>
      <c r="M52" s="78">
        <f t="shared" si="21"/>
        <v>43987.199999999997</v>
      </c>
      <c r="N52" s="80">
        <f t="shared" si="22"/>
        <v>43987.199999999997</v>
      </c>
    </row>
    <row r="53" spans="1:14" x14ac:dyDescent="0.25">
      <c r="A53" s="2">
        <v>7</v>
      </c>
      <c r="B53" s="2" t="s">
        <v>173</v>
      </c>
      <c r="C53" s="4">
        <v>5</v>
      </c>
      <c r="D53" s="65">
        <v>20</v>
      </c>
      <c r="E53" s="65">
        <v>380</v>
      </c>
      <c r="F53" s="280" t="s">
        <v>50</v>
      </c>
      <c r="G53" s="281"/>
      <c r="H53" s="3">
        <v>1</v>
      </c>
      <c r="I53" s="3"/>
      <c r="J53" s="3">
        <f t="shared" si="20"/>
        <v>1</v>
      </c>
      <c r="K53" s="2"/>
      <c r="L53" s="18"/>
      <c r="M53" s="78">
        <f t="shared" si="21"/>
        <v>72048</v>
      </c>
      <c r="N53" s="80">
        <f t="shared" si="22"/>
        <v>72048</v>
      </c>
    </row>
    <row r="54" spans="1:14" x14ac:dyDescent="0.25">
      <c r="A54" s="2">
        <v>8</v>
      </c>
      <c r="B54" s="2" t="s">
        <v>173</v>
      </c>
      <c r="C54" s="4">
        <v>1</v>
      </c>
      <c r="D54" s="65">
        <v>88</v>
      </c>
      <c r="E54" s="65">
        <v>114</v>
      </c>
      <c r="F54" s="248" t="s">
        <v>6</v>
      </c>
      <c r="G54" s="249"/>
      <c r="H54" s="3">
        <v>1</v>
      </c>
      <c r="I54" s="3"/>
      <c r="J54" s="3">
        <f t="shared" si="20"/>
        <v>1</v>
      </c>
      <c r="K54" s="2"/>
      <c r="L54" s="18"/>
      <c r="M54" s="78">
        <f t="shared" si="21"/>
        <v>19020.671999999999</v>
      </c>
      <c r="N54" s="80">
        <f t="shared" si="22"/>
        <v>19020.671999999999</v>
      </c>
    </row>
    <row r="55" spans="1:14" x14ac:dyDescent="0.25">
      <c r="A55" s="2">
        <v>9</v>
      </c>
      <c r="B55" s="2" t="s">
        <v>173</v>
      </c>
      <c r="C55" s="4">
        <v>2</v>
      </c>
      <c r="D55" s="65">
        <v>230</v>
      </c>
      <c r="E55" s="65">
        <v>1095</v>
      </c>
      <c r="F55" s="248" t="s">
        <v>6</v>
      </c>
      <c r="G55" s="249"/>
      <c r="H55" s="3">
        <v>1</v>
      </c>
      <c r="I55" s="3"/>
      <c r="J55" s="3">
        <f t="shared" si="20"/>
        <v>1</v>
      </c>
      <c r="K55" s="2"/>
      <c r="L55" s="18"/>
      <c r="M55" s="78">
        <f t="shared" si="21"/>
        <v>955015.2</v>
      </c>
      <c r="N55" s="80">
        <f t="shared" si="22"/>
        <v>955015.2</v>
      </c>
    </row>
    <row r="56" spans="1:14" x14ac:dyDescent="0.25">
      <c r="A56" s="2">
        <v>10</v>
      </c>
      <c r="B56" s="2" t="s">
        <v>173</v>
      </c>
      <c r="C56" s="4">
        <v>2</v>
      </c>
      <c r="D56" s="65">
        <v>60</v>
      </c>
      <c r="E56" s="65">
        <v>120</v>
      </c>
      <c r="F56" s="248" t="s">
        <v>6</v>
      </c>
      <c r="G56" s="249"/>
      <c r="H56" s="3">
        <v>1</v>
      </c>
      <c r="I56" s="3"/>
      <c r="J56" s="3">
        <f t="shared" si="20"/>
        <v>1</v>
      </c>
      <c r="K56" s="2"/>
      <c r="L56" s="18"/>
      <c r="M56" s="78">
        <f t="shared" si="21"/>
        <v>27302.400000000001</v>
      </c>
      <c r="N56" s="80">
        <f t="shared" si="22"/>
        <v>27302.400000000001</v>
      </c>
    </row>
    <row r="57" spans="1:14" x14ac:dyDescent="0.25">
      <c r="A57" s="2">
        <v>11</v>
      </c>
      <c r="B57" s="2" t="s">
        <v>173</v>
      </c>
      <c r="C57" s="4">
        <v>3</v>
      </c>
      <c r="D57" s="65">
        <v>360</v>
      </c>
      <c r="E57" s="65">
        <v>1135</v>
      </c>
      <c r="F57" s="248" t="s">
        <v>6</v>
      </c>
      <c r="G57" s="249"/>
      <c r="H57" s="3">
        <v>1</v>
      </c>
      <c r="I57" s="3"/>
      <c r="J57" s="3">
        <f t="shared" si="20"/>
        <v>1</v>
      </c>
      <c r="K57" s="2"/>
      <c r="L57" s="18"/>
      <c r="M57" s="78">
        <f t="shared" si="21"/>
        <v>2324116.8000000003</v>
      </c>
      <c r="N57" s="80">
        <f t="shared" si="22"/>
        <v>2324116.8000000003</v>
      </c>
    </row>
    <row r="58" spans="1:14" x14ac:dyDescent="0.25">
      <c r="M58" s="93" t="s">
        <v>226</v>
      </c>
      <c r="N58" s="82">
        <f>SUM(N47:N57)</f>
        <v>10168119.072000001</v>
      </c>
    </row>
    <row r="60" spans="1:14" x14ac:dyDescent="0.25">
      <c r="M60" s="148" t="s">
        <v>158</v>
      </c>
      <c r="N60" s="147">
        <f>N35+N42+N58</f>
        <v>17428319.68324</v>
      </c>
    </row>
    <row r="63" spans="1:14" x14ac:dyDescent="0.25">
      <c r="C63" s="154"/>
    </row>
    <row r="64" spans="1:14" x14ac:dyDescent="0.25">
      <c r="L64" s="55" t="s">
        <v>222</v>
      </c>
    </row>
  </sheetData>
  <autoFilter ref="C1:E60"/>
  <mergeCells count="46">
    <mergeCell ref="F34:G34"/>
    <mergeCell ref="F32:G32"/>
    <mergeCell ref="F33:G33"/>
    <mergeCell ref="F27:G27"/>
    <mergeCell ref="F28:G28"/>
    <mergeCell ref="F29:G29"/>
    <mergeCell ref="F30:G30"/>
    <mergeCell ref="F31:G31"/>
    <mergeCell ref="F22:G22"/>
    <mergeCell ref="F23:G23"/>
    <mergeCell ref="F24:G24"/>
    <mergeCell ref="F25:G25"/>
    <mergeCell ref="F26:G26"/>
    <mergeCell ref="F13:G13"/>
    <mergeCell ref="F12:G12"/>
    <mergeCell ref="C46:E46"/>
    <mergeCell ref="F46:G46"/>
    <mergeCell ref="C39:D39"/>
    <mergeCell ref="F39:G39"/>
    <mergeCell ref="F40:G40"/>
    <mergeCell ref="F41:G41"/>
    <mergeCell ref="F16:G16"/>
    <mergeCell ref="F14:G14"/>
    <mergeCell ref="F15:G15"/>
    <mergeCell ref="F17:G17"/>
    <mergeCell ref="F18:G18"/>
    <mergeCell ref="F19:G19"/>
    <mergeCell ref="F20:G20"/>
    <mergeCell ref="F21:G21"/>
    <mergeCell ref="F57:G57"/>
    <mergeCell ref="F52:G52"/>
    <mergeCell ref="F53:G53"/>
    <mergeCell ref="F54:G54"/>
    <mergeCell ref="F55:G55"/>
    <mergeCell ref="F56:G56"/>
    <mergeCell ref="F49:G49"/>
    <mergeCell ref="F50:G50"/>
    <mergeCell ref="F51:G51"/>
    <mergeCell ref="F47:G47"/>
    <mergeCell ref="F48:G48"/>
    <mergeCell ref="F11:G11"/>
    <mergeCell ref="C2:E2"/>
    <mergeCell ref="C3:E5"/>
    <mergeCell ref="C6:E6"/>
    <mergeCell ref="C10:E10"/>
    <mergeCell ref="F10:G10"/>
  </mergeCells>
  <pageMargins left="0.31496062992125984" right="0.31496062992125984" top="0.74803149606299213" bottom="0.74803149606299213" header="0.31496062992125984" footer="0.31496062992125984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Brush" shapeId="21505" r:id="rId4">
          <objectPr defaultSize="0" autoPict="0" r:id="rId5">
            <anchor moveWithCells="1" sizeWithCells="1">
              <from>
                <xdr:col>0</xdr:col>
                <xdr:colOff>19050</xdr:colOff>
                <xdr:row>1</xdr:row>
                <xdr:rowOff>47625</xdr:rowOff>
              </from>
              <to>
                <xdr:col>2</xdr:col>
                <xdr:colOff>0</xdr:colOff>
                <xdr:row>5</xdr:row>
                <xdr:rowOff>142875</xdr:rowOff>
              </to>
            </anchor>
          </objectPr>
        </oleObject>
      </mc:Choice>
      <mc:Fallback>
        <oleObject progId="PBrush" shapeId="21505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N26"/>
  <sheetViews>
    <sheetView zoomScale="84" zoomScaleNormal="84" workbookViewId="0">
      <selection activeCell="A22" sqref="A22:A25"/>
    </sheetView>
  </sheetViews>
  <sheetFormatPr defaultRowHeight="15" x14ac:dyDescent="0.25"/>
  <cols>
    <col min="1" max="1" width="4.140625" customWidth="1"/>
    <col min="2" max="2" width="16.28515625" customWidth="1"/>
    <col min="3" max="5" width="6.28515625" customWidth="1"/>
    <col min="6" max="6" width="11.28515625" style="8" customWidth="1"/>
    <col min="7" max="7" width="9.85546875" style="8" customWidth="1"/>
    <col min="8" max="8" width="9.5703125" customWidth="1"/>
    <col min="9" max="9" width="9" customWidth="1"/>
    <col min="11" max="11" width="22.5703125" customWidth="1"/>
    <col min="12" max="12" width="18" customWidth="1"/>
    <col min="13" max="14" width="17.28515625" customWidth="1"/>
  </cols>
  <sheetData>
    <row r="1" spans="1:14" ht="15" customHeight="1" x14ac:dyDescent="0.25">
      <c r="F1"/>
      <c r="G1"/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3" t="s">
        <v>97</v>
      </c>
      <c r="J2" s="3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12"/>
      <c r="H5" s="39"/>
      <c r="I5" s="39"/>
      <c r="J5" s="39"/>
    </row>
    <row r="6" spans="1:14" ht="15" customHeight="1" x14ac:dyDescent="0.25">
      <c r="A6" s="27"/>
      <c r="B6" s="12"/>
      <c r="C6" s="248"/>
      <c r="D6" s="250"/>
      <c r="E6" s="249"/>
      <c r="F6" s="49"/>
      <c r="G6" s="41"/>
      <c r="H6" s="40"/>
      <c r="I6" s="48"/>
      <c r="J6" s="48"/>
    </row>
    <row r="7" spans="1:14" ht="15" customHeight="1" x14ac:dyDescent="0.25">
      <c r="A7" s="42" t="s">
        <v>47</v>
      </c>
      <c r="B7" s="7"/>
      <c r="C7" t="s">
        <v>241</v>
      </c>
      <c r="F7" s="28"/>
      <c r="G7" s="28"/>
      <c r="H7" s="28"/>
      <c r="I7" s="28"/>
      <c r="J7" s="26"/>
    </row>
    <row r="8" spans="1:14" ht="15" customHeight="1" x14ac:dyDescent="0.25">
      <c r="A8" s="42" t="s">
        <v>63</v>
      </c>
      <c r="B8" s="7"/>
      <c r="C8" s="62" t="s">
        <v>244</v>
      </c>
      <c r="D8" s="62"/>
      <c r="E8" s="62"/>
      <c r="F8"/>
      <c r="G8"/>
      <c r="J8" s="30"/>
    </row>
    <row r="9" spans="1:14" ht="15" customHeight="1" x14ac:dyDescent="0.25">
      <c r="A9" s="27" t="s">
        <v>62</v>
      </c>
      <c r="B9" s="37"/>
      <c r="C9" s="11" t="s">
        <v>103</v>
      </c>
      <c r="D9" s="11"/>
      <c r="E9" s="11"/>
      <c r="F9" s="12"/>
      <c r="G9" s="12"/>
      <c r="H9" s="12"/>
      <c r="I9" s="12"/>
      <c r="J9" s="31"/>
    </row>
    <row r="10" spans="1:14" ht="15" customHeight="1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79" t="s">
        <v>156</v>
      </c>
      <c r="N10" s="79" t="s">
        <v>157</v>
      </c>
    </row>
    <row r="11" spans="1:14" s="94" customFormat="1" ht="15" customHeight="1" x14ac:dyDescent="0.25">
      <c r="A11" s="139">
        <v>1</v>
      </c>
      <c r="B11" s="3" t="s">
        <v>86</v>
      </c>
      <c r="C11" s="3">
        <v>16</v>
      </c>
      <c r="D11" s="63">
        <v>25.5</v>
      </c>
      <c r="E11" s="63">
        <v>65</v>
      </c>
      <c r="F11" s="262" t="s">
        <v>87</v>
      </c>
      <c r="G11" s="263"/>
      <c r="H11" s="3">
        <v>2</v>
      </c>
      <c r="I11" s="3"/>
      <c r="J11" s="3">
        <f t="shared" ref="J11:J14" si="0">H11-I11</f>
        <v>2</v>
      </c>
      <c r="K11" s="9"/>
      <c r="L11" s="19"/>
      <c r="M11" s="78">
        <f t="shared" ref="M11:M13" si="1">(C11*D11*E11)*7.9/1000000*21000</f>
        <v>4399.6679999999997</v>
      </c>
      <c r="N11" s="80">
        <f t="shared" ref="N11:N13" si="2">M11*J11</f>
        <v>8799.3359999999993</v>
      </c>
    </row>
    <row r="12" spans="1:14" s="94" customFormat="1" ht="15" customHeight="1" x14ac:dyDescent="0.25">
      <c r="A12" s="139">
        <v>2</v>
      </c>
      <c r="B12" s="3" t="s">
        <v>86</v>
      </c>
      <c r="C12" s="3">
        <v>16</v>
      </c>
      <c r="D12" s="63">
        <v>140</v>
      </c>
      <c r="E12" s="63">
        <v>25</v>
      </c>
      <c r="F12" s="262" t="s">
        <v>87</v>
      </c>
      <c r="G12" s="263"/>
      <c r="H12" s="3">
        <v>2</v>
      </c>
      <c r="I12" s="3"/>
      <c r="J12" s="3">
        <f t="shared" si="0"/>
        <v>2</v>
      </c>
      <c r="K12" s="9"/>
      <c r="L12" s="19"/>
      <c r="M12" s="78">
        <f t="shared" si="1"/>
        <v>9290.4</v>
      </c>
      <c r="N12" s="80">
        <f t="shared" si="2"/>
        <v>18580.8</v>
      </c>
    </row>
    <row r="13" spans="1:14" x14ac:dyDescent="0.25">
      <c r="A13" s="225">
        <v>3</v>
      </c>
      <c r="B13" s="3" t="s">
        <v>7</v>
      </c>
      <c r="C13" s="3">
        <v>27</v>
      </c>
      <c r="D13" s="3">
        <v>96</v>
      </c>
      <c r="E13" s="3">
        <v>156</v>
      </c>
      <c r="F13" s="248" t="s">
        <v>6</v>
      </c>
      <c r="G13" s="249"/>
      <c r="H13" s="3">
        <v>1</v>
      </c>
      <c r="I13" s="3"/>
      <c r="J13" s="3">
        <f t="shared" si="0"/>
        <v>1</v>
      </c>
      <c r="K13" s="2"/>
      <c r="L13" s="2"/>
      <c r="M13" s="78">
        <f t="shared" si="1"/>
        <v>67081.996800000008</v>
      </c>
      <c r="N13" s="80">
        <f t="shared" si="2"/>
        <v>67081.996800000008</v>
      </c>
    </row>
    <row r="14" spans="1:14" x14ac:dyDescent="0.25">
      <c r="A14" s="225">
        <v>4</v>
      </c>
      <c r="B14" s="3" t="s">
        <v>7</v>
      </c>
      <c r="C14" s="3">
        <v>32</v>
      </c>
      <c r="D14" s="3">
        <v>40</v>
      </c>
      <c r="E14" s="3">
        <v>150</v>
      </c>
      <c r="F14" s="248" t="s">
        <v>6</v>
      </c>
      <c r="G14" s="249"/>
      <c r="H14" s="3">
        <v>1</v>
      </c>
      <c r="I14" s="3"/>
      <c r="J14" s="3">
        <f t="shared" si="0"/>
        <v>1</v>
      </c>
      <c r="K14" s="9"/>
      <c r="L14" s="19"/>
      <c r="M14" s="78">
        <f t="shared" ref="M14" si="3">(C14*D14*E14)*7.9/1000000*21000</f>
        <v>31852.799999999999</v>
      </c>
      <c r="N14" s="80">
        <f t="shared" ref="N14" si="4">M14*J14</f>
        <v>31852.799999999999</v>
      </c>
    </row>
    <row r="15" spans="1:14" x14ac:dyDescent="0.25">
      <c r="M15" s="135" t="s">
        <v>158</v>
      </c>
      <c r="N15" s="181">
        <f>SUM(N11:N14)</f>
        <v>126314.93280000001</v>
      </c>
    </row>
    <row r="17" spans="1:14" x14ac:dyDescent="0.25">
      <c r="B17" s="119" t="s">
        <v>190</v>
      </c>
      <c r="F17"/>
      <c r="G17"/>
    </row>
    <row r="18" spans="1:14" s="92" customFormat="1" x14ac:dyDescent="0.25"/>
    <row r="19" spans="1:14" x14ac:dyDescent="0.25">
      <c r="A19" s="1" t="s">
        <v>38</v>
      </c>
      <c r="B19" s="24" t="s">
        <v>47</v>
      </c>
      <c r="C19" s="248" t="s">
        <v>2</v>
      </c>
      <c r="D19" s="250"/>
      <c r="E19" s="249"/>
      <c r="F19" s="260" t="s">
        <v>0</v>
      </c>
      <c r="G19" s="261"/>
      <c r="H19" s="1" t="s">
        <v>1</v>
      </c>
      <c r="I19" s="1" t="s">
        <v>42</v>
      </c>
      <c r="J19" s="1" t="s">
        <v>41</v>
      </c>
      <c r="K19" s="1" t="s">
        <v>44</v>
      </c>
      <c r="L19" s="1" t="s">
        <v>45</v>
      </c>
      <c r="M19" s="79" t="s">
        <v>156</v>
      </c>
      <c r="N19" s="79" t="s">
        <v>157</v>
      </c>
    </row>
    <row r="20" spans="1:14" x14ac:dyDescent="0.25">
      <c r="A20" s="1">
        <v>1</v>
      </c>
      <c r="B20" s="3" t="s">
        <v>88</v>
      </c>
      <c r="C20" s="3">
        <v>34</v>
      </c>
      <c r="D20" s="63">
        <v>40</v>
      </c>
      <c r="E20" s="63">
        <v>128</v>
      </c>
      <c r="F20" s="248" t="s">
        <v>6</v>
      </c>
      <c r="G20" s="249"/>
      <c r="H20" s="3">
        <v>1</v>
      </c>
      <c r="I20" s="2"/>
      <c r="J20" s="3">
        <f t="shared" ref="J20:J25" si="5">H20-I20</f>
        <v>1</v>
      </c>
      <c r="K20" s="2"/>
      <c r="L20" s="18"/>
      <c r="M20" s="78">
        <f t="shared" ref="M20:M25" si="6">(C20*D20*E20)*7.9/1000000*21000</f>
        <v>28879.871999999999</v>
      </c>
      <c r="N20" s="80">
        <f t="shared" ref="N20:N25" si="7">M20*J20</f>
        <v>28879.871999999999</v>
      </c>
    </row>
    <row r="21" spans="1:14" x14ac:dyDescent="0.25">
      <c r="A21" s="1">
        <v>2</v>
      </c>
      <c r="B21" s="3" t="s">
        <v>88</v>
      </c>
      <c r="C21" s="3">
        <v>67</v>
      </c>
      <c r="D21" s="3">
        <v>70</v>
      </c>
      <c r="E21" s="3">
        <v>70</v>
      </c>
      <c r="F21" s="248" t="s">
        <v>8</v>
      </c>
      <c r="G21" s="249"/>
      <c r="H21" s="3">
        <v>1</v>
      </c>
      <c r="I21" s="2"/>
      <c r="J21" s="3">
        <f t="shared" si="5"/>
        <v>1</v>
      </c>
      <c r="K21" s="16"/>
      <c r="L21" s="18"/>
      <c r="M21" s="78">
        <f t="shared" si="6"/>
        <v>54464.97</v>
      </c>
      <c r="N21" s="80">
        <f t="shared" si="7"/>
        <v>54464.97</v>
      </c>
    </row>
    <row r="22" spans="1:14" x14ac:dyDescent="0.25">
      <c r="A22" s="1">
        <v>3</v>
      </c>
      <c r="B22" s="3" t="s">
        <v>88</v>
      </c>
      <c r="C22" s="3">
        <v>65</v>
      </c>
      <c r="D22" s="3">
        <v>70</v>
      </c>
      <c r="E22" s="3">
        <v>70</v>
      </c>
      <c r="F22" s="248" t="s">
        <v>8</v>
      </c>
      <c r="G22" s="249"/>
      <c r="H22" s="3">
        <v>1</v>
      </c>
      <c r="I22" s="2"/>
      <c r="J22" s="3">
        <f t="shared" si="5"/>
        <v>1</v>
      </c>
      <c r="K22" s="16"/>
      <c r="L22" s="18"/>
      <c r="M22" s="78">
        <f t="shared" si="6"/>
        <v>52839.15</v>
      </c>
      <c r="N22" s="80">
        <f t="shared" si="7"/>
        <v>52839.15</v>
      </c>
    </row>
    <row r="23" spans="1:14" x14ac:dyDescent="0.25">
      <c r="A23" s="1">
        <v>4</v>
      </c>
      <c r="B23" s="3" t="s">
        <v>88</v>
      </c>
      <c r="C23" s="3">
        <v>67</v>
      </c>
      <c r="D23" s="3">
        <v>68</v>
      </c>
      <c r="E23" s="3">
        <v>70</v>
      </c>
      <c r="F23" s="248" t="s">
        <v>8</v>
      </c>
      <c r="G23" s="249"/>
      <c r="H23" s="3">
        <v>1</v>
      </c>
      <c r="I23" s="2"/>
      <c r="J23" s="3">
        <f t="shared" si="5"/>
        <v>1</v>
      </c>
      <c r="K23" s="16"/>
      <c r="L23" s="18"/>
      <c r="M23" s="78">
        <f t="shared" si="6"/>
        <v>52908.827999999994</v>
      </c>
      <c r="N23" s="80">
        <f t="shared" si="7"/>
        <v>52908.827999999994</v>
      </c>
    </row>
    <row r="24" spans="1:14" x14ac:dyDescent="0.25">
      <c r="A24" s="1">
        <v>5</v>
      </c>
      <c r="B24" s="3" t="s">
        <v>88</v>
      </c>
      <c r="C24" s="3">
        <v>20</v>
      </c>
      <c r="D24" s="3">
        <v>84</v>
      </c>
      <c r="E24" s="3">
        <v>150</v>
      </c>
      <c r="F24" s="248" t="s">
        <v>6</v>
      </c>
      <c r="G24" s="249"/>
      <c r="H24" s="3">
        <v>1</v>
      </c>
      <c r="I24" s="2"/>
      <c r="J24" s="3">
        <f t="shared" si="5"/>
        <v>1</v>
      </c>
      <c r="K24" s="16"/>
      <c r="L24" s="18"/>
      <c r="M24" s="78">
        <f t="shared" si="6"/>
        <v>41806.799999999996</v>
      </c>
      <c r="N24" s="80">
        <f t="shared" si="7"/>
        <v>41806.799999999996</v>
      </c>
    </row>
    <row r="25" spans="1:14" x14ac:dyDescent="0.25">
      <c r="A25" s="1">
        <v>6</v>
      </c>
      <c r="B25" s="3" t="s">
        <v>88</v>
      </c>
      <c r="C25" s="3">
        <v>35</v>
      </c>
      <c r="D25" s="3">
        <v>50</v>
      </c>
      <c r="E25" s="3">
        <v>216</v>
      </c>
      <c r="F25" s="248" t="s">
        <v>6</v>
      </c>
      <c r="G25" s="249"/>
      <c r="H25" s="3">
        <v>1</v>
      </c>
      <c r="I25" s="2"/>
      <c r="J25" s="3">
        <f t="shared" si="5"/>
        <v>1</v>
      </c>
      <c r="K25" s="16"/>
      <c r="L25" s="18"/>
      <c r="M25" s="78">
        <f t="shared" si="6"/>
        <v>62710.200000000004</v>
      </c>
      <c r="N25" s="80">
        <f t="shared" si="7"/>
        <v>62710.200000000004</v>
      </c>
    </row>
    <row r="26" spans="1:14" x14ac:dyDescent="0.25">
      <c r="F26"/>
      <c r="G26"/>
      <c r="M26" s="93" t="s">
        <v>224</v>
      </c>
      <c r="N26" s="81">
        <f>SUM(N20:N25)</f>
        <v>293609.82</v>
      </c>
    </row>
  </sheetData>
  <autoFilter ref="C1:E15"/>
  <mergeCells count="17">
    <mergeCell ref="F25:G25"/>
    <mergeCell ref="F21:G21"/>
    <mergeCell ref="F22:G22"/>
    <mergeCell ref="F23:G23"/>
    <mergeCell ref="F24:G24"/>
    <mergeCell ref="F13:G13"/>
    <mergeCell ref="F14:G14"/>
    <mergeCell ref="F20:G20"/>
    <mergeCell ref="C19:E19"/>
    <mergeCell ref="F19:G19"/>
    <mergeCell ref="F12:G12"/>
    <mergeCell ref="C2:E2"/>
    <mergeCell ref="C3:E5"/>
    <mergeCell ref="C6:E6"/>
    <mergeCell ref="C10:E10"/>
    <mergeCell ref="F10:G10"/>
    <mergeCell ref="F11:G11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Brush" shapeId="83969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8396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N37"/>
  <sheetViews>
    <sheetView zoomScale="82" zoomScaleNormal="82" workbookViewId="0">
      <selection activeCell="L23" sqref="L23"/>
    </sheetView>
  </sheetViews>
  <sheetFormatPr defaultRowHeight="15" x14ac:dyDescent="0.25"/>
  <cols>
    <col min="1" max="1" width="4.140625" customWidth="1"/>
    <col min="2" max="2" width="16.140625" customWidth="1"/>
    <col min="3" max="3" width="6.140625" customWidth="1"/>
    <col min="4" max="5" width="6.28515625" customWidth="1"/>
    <col min="6" max="6" width="10.5703125" customWidth="1"/>
    <col min="7" max="7" width="9.5703125" customWidth="1"/>
    <col min="8" max="8" width="9.7109375" customWidth="1"/>
    <col min="9" max="9" width="9.5703125" customWidth="1"/>
    <col min="11" max="11" width="22.5703125" customWidth="1"/>
    <col min="12" max="12" width="20.5703125" style="55" customWidth="1"/>
    <col min="13" max="14" width="18.5703125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3" t="s">
        <v>97</v>
      </c>
      <c r="J2" s="3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37"/>
      <c r="H5" s="37"/>
      <c r="I5" s="39"/>
      <c r="J5" s="39"/>
    </row>
    <row r="6" spans="1:14" ht="15" customHeight="1" x14ac:dyDescent="0.25">
      <c r="A6" s="27"/>
      <c r="B6" s="12"/>
      <c r="C6" s="248"/>
      <c r="D6" s="250"/>
      <c r="E6" s="249"/>
      <c r="F6" s="49"/>
      <c r="G6" s="41"/>
      <c r="H6" s="41"/>
      <c r="I6" s="41"/>
      <c r="J6" s="41"/>
    </row>
    <row r="7" spans="1:14" ht="15" customHeight="1" x14ac:dyDescent="0.25">
      <c r="A7" s="25" t="s">
        <v>47</v>
      </c>
      <c r="B7" s="26"/>
      <c r="C7" t="s">
        <v>117</v>
      </c>
      <c r="F7" s="28"/>
      <c r="G7" s="28"/>
      <c r="H7" s="28"/>
      <c r="I7" s="28"/>
      <c r="J7" s="26"/>
    </row>
    <row r="8" spans="1:14" ht="15" customHeight="1" x14ac:dyDescent="0.25">
      <c r="A8" s="42" t="s">
        <v>63</v>
      </c>
      <c r="B8" s="7"/>
      <c r="C8" s="62" t="s">
        <v>248</v>
      </c>
      <c r="D8" s="62"/>
      <c r="E8" s="62"/>
      <c r="F8" s="11"/>
      <c r="G8" s="11"/>
      <c r="H8" s="11"/>
      <c r="I8" s="11"/>
      <c r="J8" s="54"/>
    </row>
    <row r="9" spans="1:14" ht="15" customHeight="1" x14ac:dyDescent="0.25">
      <c r="A9" s="27" t="s">
        <v>62</v>
      </c>
      <c r="B9" s="37"/>
      <c r="C9" t="s">
        <v>103</v>
      </c>
      <c r="F9" s="12"/>
      <c r="G9" s="12"/>
      <c r="H9" s="12"/>
      <c r="I9" s="12"/>
      <c r="J9" s="37"/>
    </row>
    <row r="10" spans="1:14" ht="15" customHeight="1" x14ac:dyDescent="0.25">
      <c r="A10" s="1" t="s">
        <v>38</v>
      </c>
      <c r="B10" s="24" t="s">
        <v>47</v>
      </c>
      <c r="C10" s="248" t="s">
        <v>2</v>
      </c>
      <c r="D10" s="249"/>
      <c r="E10" s="3" t="s">
        <v>167</v>
      </c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20" t="s">
        <v>45</v>
      </c>
      <c r="M10" s="79" t="s">
        <v>156</v>
      </c>
      <c r="N10" s="79" t="s">
        <v>157</v>
      </c>
    </row>
    <row r="11" spans="1:14" x14ac:dyDescent="0.25">
      <c r="A11" s="1">
        <v>1</v>
      </c>
      <c r="B11" s="1" t="s">
        <v>7</v>
      </c>
      <c r="C11" s="65">
        <v>230</v>
      </c>
      <c r="D11" s="65">
        <v>17</v>
      </c>
      <c r="E11" s="70">
        <f t="shared" ref="E11:E15" si="0">C11/2</f>
        <v>115</v>
      </c>
      <c r="F11" s="248" t="s">
        <v>10</v>
      </c>
      <c r="G11" s="249"/>
      <c r="H11" s="3">
        <v>1</v>
      </c>
      <c r="I11" s="3"/>
      <c r="J11" s="3">
        <f t="shared" ref="J11:J12" si="1">H11-I11</f>
        <v>1</v>
      </c>
      <c r="K11" s="9"/>
      <c r="L11" s="21"/>
      <c r="M11" s="78">
        <f t="shared" ref="M11:M15" si="2">(3.14*E11*E11*D11)*7.9/1000000*21000</f>
        <v>117117.18794999999</v>
      </c>
      <c r="N11" s="80">
        <f t="shared" ref="N11:N15" si="3">M11*J11</f>
        <v>117117.18794999999</v>
      </c>
    </row>
    <row r="12" spans="1:14" x14ac:dyDescent="0.25">
      <c r="A12" s="1">
        <v>2</v>
      </c>
      <c r="B12" s="1" t="s">
        <v>7</v>
      </c>
      <c r="C12" s="65">
        <v>232</v>
      </c>
      <c r="D12" s="65">
        <v>15</v>
      </c>
      <c r="E12" s="70">
        <f t="shared" si="0"/>
        <v>116</v>
      </c>
      <c r="F12" s="248" t="s">
        <v>10</v>
      </c>
      <c r="G12" s="249"/>
      <c r="H12" s="3">
        <v>1</v>
      </c>
      <c r="I12" s="3"/>
      <c r="J12" s="3">
        <f t="shared" si="1"/>
        <v>1</v>
      </c>
      <c r="K12" s="9"/>
      <c r="L12" s="21"/>
      <c r="M12" s="78">
        <f t="shared" si="2"/>
        <v>105143.70384000002</v>
      </c>
      <c r="N12" s="80">
        <f t="shared" si="3"/>
        <v>105143.70384000002</v>
      </c>
    </row>
    <row r="13" spans="1:14" x14ac:dyDescent="0.25">
      <c r="A13" s="1">
        <v>3</v>
      </c>
      <c r="B13" s="3" t="s">
        <v>7</v>
      </c>
      <c r="C13" s="66">
        <v>45</v>
      </c>
      <c r="D13" s="66">
        <v>87</v>
      </c>
      <c r="E13" s="70">
        <f t="shared" si="0"/>
        <v>22.5</v>
      </c>
      <c r="F13" s="272" t="s">
        <v>6</v>
      </c>
      <c r="G13" s="261"/>
      <c r="H13" s="1">
        <v>1</v>
      </c>
      <c r="I13" s="1"/>
      <c r="J13" s="3">
        <f t="shared" ref="J13:J15" si="4">H13-I13</f>
        <v>1</v>
      </c>
      <c r="K13" s="2"/>
      <c r="L13" s="18"/>
      <c r="M13" s="78">
        <f t="shared" si="2"/>
        <v>22943.534512500002</v>
      </c>
      <c r="N13" s="80">
        <f t="shared" si="3"/>
        <v>22943.534512500002</v>
      </c>
    </row>
    <row r="14" spans="1:14" x14ac:dyDescent="0.25">
      <c r="A14" s="1">
        <v>4</v>
      </c>
      <c r="B14" s="3" t="s">
        <v>7</v>
      </c>
      <c r="C14" s="66">
        <v>25</v>
      </c>
      <c r="D14" s="66">
        <v>377</v>
      </c>
      <c r="E14" s="70">
        <f t="shared" si="0"/>
        <v>12.5</v>
      </c>
      <c r="F14" s="272" t="s">
        <v>6</v>
      </c>
      <c r="G14" s="261"/>
      <c r="H14" s="1">
        <v>1</v>
      </c>
      <c r="I14" s="1"/>
      <c r="J14" s="3">
        <f t="shared" si="4"/>
        <v>1</v>
      </c>
      <c r="K14" s="2"/>
      <c r="L14" s="18"/>
      <c r="M14" s="78">
        <f t="shared" si="2"/>
        <v>30685.7971875</v>
      </c>
      <c r="N14" s="80">
        <f t="shared" si="3"/>
        <v>30685.7971875</v>
      </c>
    </row>
    <row r="15" spans="1:14" x14ac:dyDescent="0.25">
      <c r="A15" s="1">
        <v>5</v>
      </c>
      <c r="B15" s="3" t="s">
        <v>7</v>
      </c>
      <c r="C15" s="66">
        <v>25</v>
      </c>
      <c r="D15" s="66">
        <v>370</v>
      </c>
      <c r="E15" s="70">
        <f t="shared" si="0"/>
        <v>12.5</v>
      </c>
      <c r="F15" s="272" t="s">
        <v>6</v>
      </c>
      <c r="G15" s="261"/>
      <c r="H15" s="1">
        <v>1</v>
      </c>
      <c r="I15" s="1"/>
      <c r="J15" s="3">
        <f t="shared" si="4"/>
        <v>1</v>
      </c>
      <c r="K15" s="2"/>
      <c r="L15" s="18"/>
      <c r="M15" s="78">
        <f t="shared" si="2"/>
        <v>30116.034374999999</v>
      </c>
      <c r="N15" s="80">
        <f t="shared" si="3"/>
        <v>30116.034374999999</v>
      </c>
    </row>
    <row r="16" spans="1:14" x14ac:dyDescent="0.25">
      <c r="A16" s="1">
        <v>6</v>
      </c>
      <c r="B16" s="3" t="s">
        <v>7</v>
      </c>
      <c r="C16" s="6">
        <v>40</v>
      </c>
      <c r="D16" s="6">
        <v>290</v>
      </c>
      <c r="E16" s="4">
        <f t="shared" ref="E16" si="5">C16/2</f>
        <v>20</v>
      </c>
      <c r="F16" s="272" t="s">
        <v>6</v>
      </c>
      <c r="G16" s="261"/>
      <c r="H16" s="1">
        <v>1</v>
      </c>
      <c r="I16" s="1"/>
      <c r="J16" s="3">
        <f t="shared" ref="J16" si="6">H16-I16</f>
        <v>1</v>
      </c>
      <c r="K16" s="2"/>
      <c r="L16" s="18"/>
      <c r="M16" s="78">
        <f t="shared" ref="M16" si="7">(3.14*E16*E16*D16)*7.9/1000000*21000</f>
        <v>60427.415999999997</v>
      </c>
      <c r="N16" s="80">
        <f t="shared" ref="N16" si="8">M16*J16</f>
        <v>60427.415999999997</v>
      </c>
    </row>
    <row r="17" spans="1:14" x14ac:dyDescent="0.25">
      <c r="A17" s="1">
        <v>7</v>
      </c>
      <c r="B17" s="3" t="s">
        <v>7</v>
      </c>
      <c r="C17" s="6">
        <v>20</v>
      </c>
      <c r="D17" s="6">
        <v>114</v>
      </c>
      <c r="E17" s="4">
        <f t="shared" ref="E17:E19" si="9">C17/2</f>
        <v>10</v>
      </c>
      <c r="F17" s="272" t="s">
        <v>6</v>
      </c>
      <c r="G17" s="261"/>
      <c r="H17" s="1">
        <v>1</v>
      </c>
      <c r="I17" s="1"/>
      <c r="J17" s="3">
        <f t="shared" ref="J17" si="10">H17-I17</f>
        <v>1</v>
      </c>
      <c r="K17" s="2"/>
      <c r="L17" s="18"/>
      <c r="M17" s="78">
        <f t="shared" ref="M17:M24" si="11">(3.14*E17*E17*D17)*7.9/1000000*21000</f>
        <v>5938.5564000000013</v>
      </c>
      <c r="N17" s="80">
        <f t="shared" ref="N17:N24" si="12">M17*J17</f>
        <v>5938.5564000000013</v>
      </c>
    </row>
    <row r="18" spans="1:14" x14ac:dyDescent="0.25">
      <c r="A18" s="1">
        <v>8</v>
      </c>
      <c r="B18" s="3" t="s">
        <v>7</v>
      </c>
      <c r="C18" s="6">
        <v>60</v>
      </c>
      <c r="D18" s="6">
        <v>60</v>
      </c>
      <c r="E18" s="4">
        <f t="shared" si="9"/>
        <v>30</v>
      </c>
      <c r="F18" s="272" t="s">
        <v>8</v>
      </c>
      <c r="G18" s="261"/>
      <c r="H18" s="1">
        <v>1</v>
      </c>
      <c r="I18" s="1"/>
      <c r="J18" s="3">
        <f t="shared" ref="J18" si="13">H18-I18</f>
        <v>1</v>
      </c>
      <c r="K18" s="16"/>
      <c r="L18" s="18"/>
      <c r="M18" s="78">
        <f t="shared" si="11"/>
        <v>28130.003999999997</v>
      </c>
      <c r="N18" s="80">
        <f t="shared" si="12"/>
        <v>28130.003999999997</v>
      </c>
    </row>
    <row r="19" spans="1:14" x14ac:dyDescent="0.25">
      <c r="A19" s="1">
        <v>9</v>
      </c>
      <c r="B19" s="3" t="s">
        <v>7</v>
      </c>
      <c r="C19" s="6">
        <v>45</v>
      </c>
      <c r="D19" s="6">
        <v>65</v>
      </c>
      <c r="E19" s="4">
        <f t="shared" si="9"/>
        <v>22.5</v>
      </c>
      <c r="F19" s="272" t="s">
        <v>6</v>
      </c>
      <c r="G19" s="261"/>
      <c r="H19" s="1">
        <v>1</v>
      </c>
      <c r="I19" s="1"/>
      <c r="J19" s="3">
        <f t="shared" ref="J19" si="14">H19-I19</f>
        <v>1</v>
      </c>
      <c r="K19" s="2"/>
      <c r="L19" s="18"/>
      <c r="M19" s="78">
        <f t="shared" si="11"/>
        <v>17141.721187500003</v>
      </c>
      <c r="N19" s="80">
        <f t="shared" si="12"/>
        <v>17141.721187500003</v>
      </c>
    </row>
    <row r="20" spans="1:14" x14ac:dyDescent="0.25">
      <c r="A20" s="1">
        <v>10</v>
      </c>
      <c r="B20" s="3" t="s">
        <v>7</v>
      </c>
      <c r="C20" s="6">
        <v>60</v>
      </c>
      <c r="D20" s="6">
        <v>48</v>
      </c>
      <c r="E20" s="4">
        <f t="shared" ref="E20:E21" si="15">C20/2</f>
        <v>30</v>
      </c>
      <c r="F20" s="272" t="s">
        <v>6</v>
      </c>
      <c r="G20" s="261"/>
      <c r="H20" s="1">
        <v>1</v>
      </c>
      <c r="I20" s="1"/>
      <c r="J20" s="3">
        <f t="shared" ref="J20" si="16">H20-I20</f>
        <v>1</v>
      </c>
      <c r="K20" s="2"/>
      <c r="L20" s="18"/>
      <c r="M20" s="78">
        <f t="shared" si="11"/>
        <v>22504.003199999999</v>
      </c>
      <c r="N20" s="80">
        <f t="shared" si="12"/>
        <v>22504.003199999999</v>
      </c>
    </row>
    <row r="21" spans="1:14" x14ac:dyDescent="0.25">
      <c r="A21" s="1">
        <v>11</v>
      </c>
      <c r="B21" s="3" t="s">
        <v>7</v>
      </c>
      <c r="C21" s="6">
        <v>45</v>
      </c>
      <c r="D21" s="6">
        <v>65</v>
      </c>
      <c r="E21" s="4">
        <f t="shared" si="15"/>
        <v>22.5</v>
      </c>
      <c r="F21" s="272" t="s">
        <v>6</v>
      </c>
      <c r="G21" s="261"/>
      <c r="H21" s="1">
        <v>1</v>
      </c>
      <c r="I21" s="1"/>
      <c r="J21" s="3">
        <f t="shared" ref="J21" si="17">H21-I21</f>
        <v>1</v>
      </c>
      <c r="K21" s="2"/>
      <c r="L21" s="18"/>
      <c r="M21" s="78">
        <f t="shared" si="11"/>
        <v>17141.721187500003</v>
      </c>
      <c r="N21" s="80">
        <f t="shared" si="12"/>
        <v>17141.721187500003</v>
      </c>
    </row>
    <row r="22" spans="1:14" x14ac:dyDescent="0.25">
      <c r="A22" s="1">
        <v>12</v>
      </c>
      <c r="B22" s="3" t="s">
        <v>7</v>
      </c>
      <c r="C22" s="4">
        <v>20</v>
      </c>
      <c r="D22" s="4">
        <v>1000</v>
      </c>
      <c r="E22" s="4">
        <f t="shared" ref="E22" si="18">C22/2</f>
        <v>10</v>
      </c>
      <c r="F22" s="248" t="s">
        <v>221</v>
      </c>
      <c r="G22" s="249"/>
      <c r="H22" s="3">
        <v>1</v>
      </c>
      <c r="I22" s="3"/>
      <c r="J22" s="3">
        <f t="shared" ref="J22" si="19">H22-I22</f>
        <v>1</v>
      </c>
      <c r="K22" s="165"/>
      <c r="L22" s="19"/>
      <c r="M22" s="157">
        <f t="shared" si="11"/>
        <v>52092.6</v>
      </c>
      <c r="N22" s="158">
        <f t="shared" si="12"/>
        <v>52092.6</v>
      </c>
    </row>
    <row r="23" spans="1:14" x14ac:dyDescent="0.25">
      <c r="A23" s="1">
        <v>13</v>
      </c>
      <c r="B23" s="3" t="s">
        <v>7</v>
      </c>
      <c r="C23" s="6">
        <v>16</v>
      </c>
      <c r="D23" s="6">
        <v>400</v>
      </c>
      <c r="E23" s="4">
        <f t="shared" ref="E23:E24" si="20">C23/2</f>
        <v>8</v>
      </c>
      <c r="F23" s="272" t="s">
        <v>6</v>
      </c>
      <c r="G23" s="261"/>
      <c r="H23" s="1">
        <v>1</v>
      </c>
      <c r="I23" s="1">
        <v>1</v>
      </c>
      <c r="J23" s="3">
        <f t="shared" ref="J23:J24" si="21">H23-I23</f>
        <v>0</v>
      </c>
      <c r="K23" s="16" t="s">
        <v>255</v>
      </c>
      <c r="L23" s="20">
        <v>45342</v>
      </c>
      <c r="M23" s="78">
        <f t="shared" si="11"/>
        <v>13335.705599999999</v>
      </c>
      <c r="N23" s="80">
        <f t="shared" si="12"/>
        <v>0</v>
      </c>
    </row>
    <row r="24" spans="1:14" x14ac:dyDescent="0.25">
      <c r="A24" s="1">
        <v>14</v>
      </c>
      <c r="B24" s="3" t="s">
        <v>7</v>
      </c>
      <c r="C24" s="6">
        <v>16</v>
      </c>
      <c r="D24" s="6">
        <v>329</v>
      </c>
      <c r="E24" s="4">
        <f t="shared" si="20"/>
        <v>8</v>
      </c>
      <c r="F24" s="272" t="s">
        <v>6</v>
      </c>
      <c r="G24" s="261"/>
      <c r="H24" s="1">
        <v>1</v>
      </c>
      <c r="I24" s="1"/>
      <c r="J24" s="3">
        <f t="shared" si="21"/>
        <v>1</v>
      </c>
      <c r="K24" s="2"/>
      <c r="L24" s="18"/>
      <c r="M24" s="78">
        <f t="shared" si="11"/>
        <v>10968.617856000001</v>
      </c>
      <c r="N24" s="80">
        <f t="shared" si="12"/>
        <v>10968.617856000001</v>
      </c>
    </row>
    <row r="25" spans="1:14" x14ac:dyDescent="0.25">
      <c r="B25" s="13"/>
      <c r="M25" s="93" t="s">
        <v>159</v>
      </c>
      <c r="N25" s="82">
        <f>SUM(N11:N24)</f>
        <v>520350.897696</v>
      </c>
    </row>
    <row r="27" spans="1:14" x14ac:dyDescent="0.25">
      <c r="B27" s="119" t="s">
        <v>191</v>
      </c>
    </row>
    <row r="28" spans="1:14" s="92" customFormat="1" x14ac:dyDescent="0.25">
      <c r="L28" s="109"/>
    </row>
    <row r="29" spans="1:14" x14ac:dyDescent="0.25">
      <c r="A29" s="1" t="s">
        <v>38</v>
      </c>
      <c r="B29" s="24" t="s">
        <v>47</v>
      </c>
      <c r="C29" s="248" t="s">
        <v>2</v>
      </c>
      <c r="D29" s="249"/>
      <c r="E29" s="9" t="s">
        <v>167</v>
      </c>
      <c r="F29" s="260" t="s">
        <v>0</v>
      </c>
      <c r="G29" s="261"/>
      <c r="H29" s="1" t="s">
        <v>1</v>
      </c>
      <c r="I29" s="1" t="s">
        <v>42</v>
      </c>
      <c r="J29" s="1" t="s">
        <v>41</v>
      </c>
      <c r="K29" s="1" t="s">
        <v>44</v>
      </c>
      <c r="L29" s="20" t="s">
        <v>45</v>
      </c>
      <c r="M29" s="79" t="s">
        <v>156</v>
      </c>
      <c r="N29" s="79" t="s">
        <v>157</v>
      </c>
    </row>
    <row r="30" spans="1:14" x14ac:dyDescent="0.25">
      <c r="A30" s="1">
        <v>1</v>
      </c>
      <c r="B30" s="3" t="s">
        <v>121</v>
      </c>
      <c r="C30" s="24">
        <v>35</v>
      </c>
      <c r="D30" s="24">
        <v>1000</v>
      </c>
      <c r="E30" s="24">
        <f>C30/2</f>
        <v>17.5</v>
      </c>
      <c r="F30" s="272" t="s">
        <v>8</v>
      </c>
      <c r="G30" s="261"/>
      <c r="H30" s="1">
        <v>1</v>
      </c>
      <c r="I30" s="2"/>
      <c r="J30" s="9">
        <f>H30-I30</f>
        <v>1</v>
      </c>
      <c r="K30" s="2"/>
      <c r="L30" s="18"/>
      <c r="M30" s="78">
        <f>(3.14*E30*E30*D30)*7.9/1000000*21000</f>
        <v>159533.58749999999</v>
      </c>
      <c r="N30" s="80">
        <f t="shared" ref="N30:N34" si="22">M30*J30</f>
        <v>159533.58749999999</v>
      </c>
    </row>
    <row r="31" spans="1:14" s="94" customFormat="1" ht="15" customHeight="1" x14ac:dyDescent="0.25">
      <c r="A31" s="139">
        <v>2</v>
      </c>
      <c r="B31" s="3" t="s">
        <v>74</v>
      </c>
      <c r="C31" s="63">
        <v>35</v>
      </c>
      <c r="D31" s="63">
        <v>188</v>
      </c>
      <c r="E31" s="63">
        <f t="shared" ref="E31:E34" si="23">C31/2</f>
        <v>17.5</v>
      </c>
      <c r="F31" s="262" t="s">
        <v>75</v>
      </c>
      <c r="G31" s="263"/>
      <c r="H31" s="3">
        <v>1</v>
      </c>
      <c r="I31" s="9"/>
      <c r="J31" s="9">
        <f t="shared" ref="J31:J34" si="24">H31-I31</f>
        <v>1</v>
      </c>
      <c r="K31" s="9"/>
      <c r="L31" s="21"/>
      <c r="M31" s="78">
        <f t="shared" ref="M31:M34" si="25">(3.14*E31*E31*D31)*7.9/1000000*21000</f>
        <v>29992.314449999998</v>
      </c>
      <c r="N31" s="80">
        <f t="shared" si="22"/>
        <v>29992.314449999998</v>
      </c>
    </row>
    <row r="32" spans="1:14" x14ac:dyDescent="0.25">
      <c r="A32" s="139">
        <v>3</v>
      </c>
      <c r="B32" s="3" t="s">
        <v>74</v>
      </c>
      <c r="C32" s="63">
        <v>35</v>
      </c>
      <c r="D32" s="63">
        <v>190</v>
      </c>
      <c r="E32" s="63">
        <f t="shared" si="23"/>
        <v>17.5</v>
      </c>
      <c r="F32" s="262" t="s">
        <v>6</v>
      </c>
      <c r="G32" s="263"/>
      <c r="H32" s="3">
        <v>1</v>
      </c>
      <c r="I32" s="3"/>
      <c r="J32" s="9">
        <f t="shared" si="24"/>
        <v>1</v>
      </c>
      <c r="K32" s="9"/>
      <c r="L32" s="19"/>
      <c r="M32" s="78">
        <f t="shared" si="25"/>
        <v>30311.381625000002</v>
      </c>
      <c r="N32" s="80">
        <f t="shared" si="22"/>
        <v>30311.381625000002</v>
      </c>
    </row>
    <row r="33" spans="1:14" x14ac:dyDescent="0.25">
      <c r="A33" s="3">
        <v>4</v>
      </c>
      <c r="B33" s="3" t="s">
        <v>74</v>
      </c>
      <c r="C33" s="3">
        <v>19</v>
      </c>
      <c r="D33" s="3">
        <v>420</v>
      </c>
      <c r="E33" s="3">
        <f t="shared" si="23"/>
        <v>9.5</v>
      </c>
      <c r="F33" s="262" t="s">
        <v>6</v>
      </c>
      <c r="G33" s="263"/>
      <c r="H33" s="3">
        <v>1</v>
      </c>
      <c r="I33" s="3"/>
      <c r="J33" s="9">
        <f t="shared" si="24"/>
        <v>1</v>
      </c>
      <c r="K33" s="9"/>
      <c r="L33" s="19"/>
      <c r="M33" s="78">
        <f t="shared" si="25"/>
        <v>19745.70003</v>
      </c>
      <c r="N33" s="80">
        <f t="shared" si="22"/>
        <v>19745.70003</v>
      </c>
    </row>
    <row r="34" spans="1:14" x14ac:dyDescent="0.25">
      <c r="A34" s="3">
        <v>5</v>
      </c>
      <c r="B34" s="3" t="s">
        <v>74</v>
      </c>
      <c r="C34" s="3">
        <v>19</v>
      </c>
      <c r="D34" s="3">
        <v>280</v>
      </c>
      <c r="E34" s="3">
        <f t="shared" si="23"/>
        <v>9.5</v>
      </c>
      <c r="F34" s="262" t="s">
        <v>6</v>
      </c>
      <c r="G34" s="263"/>
      <c r="H34" s="3">
        <v>1</v>
      </c>
      <c r="I34" s="3"/>
      <c r="J34" s="9">
        <f t="shared" si="24"/>
        <v>1</v>
      </c>
      <c r="K34" s="9"/>
      <c r="L34" s="19"/>
      <c r="M34" s="78">
        <f t="shared" si="25"/>
        <v>13163.800020000001</v>
      </c>
      <c r="N34" s="80">
        <f t="shared" si="22"/>
        <v>13163.800020000001</v>
      </c>
    </row>
    <row r="35" spans="1:14" x14ac:dyDescent="0.25">
      <c r="M35" s="93" t="s">
        <v>161</v>
      </c>
      <c r="N35" s="82">
        <f>SUM(N30:N34)</f>
        <v>252746.78362500001</v>
      </c>
    </row>
    <row r="37" spans="1:14" x14ac:dyDescent="0.25">
      <c r="M37" s="148" t="s">
        <v>158</v>
      </c>
      <c r="N37" s="147">
        <f>N25+N35</f>
        <v>773097.68132099998</v>
      </c>
    </row>
  </sheetData>
  <autoFilter ref="C1:E37"/>
  <mergeCells count="26">
    <mergeCell ref="F30:G30"/>
    <mergeCell ref="F33:G33"/>
    <mergeCell ref="F34:G34"/>
    <mergeCell ref="F31:G31"/>
    <mergeCell ref="F32:G32"/>
    <mergeCell ref="F20:G20"/>
    <mergeCell ref="C29:D29"/>
    <mergeCell ref="F29:G29"/>
    <mergeCell ref="F21:G21"/>
    <mergeCell ref="F22:G22"/>
    <mergeCell ref="F23:G23"/>
    <mergeCell ref="F24:G24"/>
    <mergeCell ref="F16:G16"/>
    <mergeCell ref="F15:G15"/>
    <mergeCell ref="F17:G17"/>
    <mergeCell ref="F18:G18"/>
    <mergeCell ref="F19:G19"/>
    <mergeCell ref="C2:E2"/>
    <mergeCell ref="C3:E5"/>
    <mergeCell ref="C6:E6"/>
    <mergeCell ref="F13:G13"/>
    <mergeCell ref="F14:G14"/>
    <mergeCell ref="F10:G10"/>
    <mergeCell ref="F12:G12"/>
    <mergeCell ref="F11:G11"/>
    <mergeCell ref="C10:D10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Brush" shapeId="26625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PBrush" shapeId="26625" r:id="rId4"/>
      </mc:Fallback>
    </mc:AlternateContent>
    <mc:AlternateContent xmlns:mc="http://schemas.openxmlformats.org/markup-compatibility/2006">
      <mc:Choice Requires="x14">
        <oleObject progId="PBrush" shapeId="26626" r:id="rId6">
          <objectPr defaultSize="0" autoPict="0" r:id="rId5">
            <anchor moveWithCells="1" sizeWithCells="1">
              <from>
                <xdr:col>0</xdr:col>
                <xdr:colOff>57150</xdr:colOff>
                <xdr:row>1</xdr:row>
                <xdr:rowOff>66675</xdr:rowOff>
              </from>
              <to>
                <xdr:col>1</xdr:col>
                <xdr:colOff>1019175</xdr:colOff>
                <xdr:row>5</xdr:row>
                <xdr:rowOff>123825</xdr:rowOff>
              </to>
            </anchor>
          </objectPr>
        </oleObject>
      </mc:Choice>
      <mc:Fallback>
        <oleObject progId="PBrush" shapeId="26626" r:id="rId6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0000"/>
  </sheetPr>
  <dimension ref="A1:N13"/>
  <sheetViews>
    <sheetView zoomScale="82" zoomScaleNormal="82" workbookViewId="0">
      <selection activeCell="C9" sqref="C9"/>
    </sheetView>
  </sheetViews>
  <sheetFormatPr defaultRowHeight="15" x14ac:dyDescent="0.25"/>
  <cols>
    <col min="1" max="1" width="4.140625" customWidth="1"/>
    <col min="2" max="2" width="16.42578125" customWidth="1"/>
    <col min="3" max="5" width="6.28515625" customWidth="1"/>
    <col min="6" max="6" width="10.5703125" customWidth="1"/>
    <col min="7" max="7" width="10" customWidth="1"/>
    <col min="8" max="8" width="9.140625" customWidth="1"/>
    <col min="9" max="9" width="8.7109375" customWidth="1"/>
    <col min="10" max="10" width="8.85546875" customWidth="1"/>
    <col min="11" max="11" width="22.5703125" customWidth="1"/>
    <col min="12" max="12" width="20.5703125" customWidth="1"/>
    <col min="13" max="14" width="16.42578125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3" t="s">
        <v>97</v>
      </c>
      <c r="J2" s="3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37"/>
      <c r="H5" s="37"/>
      <c r="I5" s="39"/>
      <c r="J5" s="39"/>
    </row>
    <row r="6" spans="1:14" ht="15" customHeight="1" x14ac:dyDescent="0.25">
      <c r="A6" s="27"/>
      <c r="B6" s="12"/>
      <c r="C6" s="272"/>
      <c r="D6" s="260"/>
      <c r="E6" s="261"/>
      <c r="F6" s="49"/>
      <c r="G6" s="41"/>
      <c r="H6" s="41"/>
      <c r="I6" s="41"/>
      <c r="J6" s="41"/>
    </row>
    <row r="7" spans="1:14" ht="15" customHeight="1" x14ac:dyDescent="0.25">
      <c r="A7" s="25" t="s">
        <v>47</v>
      </c>
      <c r="B7" s="26"/>
      <c r="C7" s="110" t="s">
        <v>201</v>
      </c>
      <c r="D7" s="110"/>
      <c r="E7" s="110"/>
      <c r="F7" s="118"/>
      <c r="G7" s="28"/>
      <c r="H7" s="28"/>
      <c r="I7" s="28"/>
      <c r="J7" s="26"/>
    </row>
    <row r="8" spans="1:14" ht="15" customHeight="1" x14ac:dyDescent="0.25">
      <c r="A8" s="42" t="s">
        <v>63</v>
      </c>
      <c r="B8" s="7"/>
      <c r="C8" s="62" t="s">
        <v>248</v>
      </c>
      <c r="D8" s="62"/>
      <c r="E8" s="62"/>
      <c r="F8" s="11"/>
      <c r="G8" s="11"/>
      <c r="H8" s="11"/>
      <c r="I8" s="11"/>
      <c r="J8" s="54"/>
    </row>
    <row r="9" spans="1:14" ht="15" customHeight="1" x14ac:dyDescent="0.25">
      <c r="A9" s="27" t="s">
        <v>62</v>
      </c>
      <c r="B9" s="37"/>
      <c r="C9" t="s">
        <v>103</v>
      </c>
      <c r="F9" s="12"/>
      <c r="G9" s="12"/>
      <c r="H9" s="12"/>
      <c r="I9" s="12"/>
      <c r="J9" s="37"/>
    </row>
    <row r="10" spans="1:14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3" t="s">
        <v>176</v>
      </c>
      <c r="N10" s="3" t="s">
        <v>157</v>
      </c>
    </row>
    <row r="11" spans="1:14" x14ac:dyDescent="0.25">
      <c r="A11" s="1">
        <v>1</v>
      </c>
      <c r="B11" s="1">
        <v>2316</v>
      </c>
      <c r="C11" s="4">
        <v>37.700000000000003</v>
      </c>
      <c r="D11" s="65">
        <v>55.3</v>
      </c>
      <c r="E11" s="65">
        <v>190.1</v>
      </c>
      <c r="F11" s="248" t="s">
        <v>125</v>
      </c>
      <c r="G11" s="249"/>
      <c r="H11" s="3">
        <v>3</v>
      </c>
      <c r="I11" s="3"/>
      <c r="J11" s="3">
        <f>H11-I11</f>
        <v>3</v>
      </c>
      <c r="K11" s="9"/>
      <c r="L11" s="21"/>
      <c r="M11" s="78">
        <f>(C11*D11*E11)*7.9/1000000*38000</f>
        <v>118975.97877620001</v>
      </c>
      <c r="N11" s="80">
        <f>M11*J11</f>
        <v>356927.93632860004</v>
      </c>
    </row>
    <row r="12" spans="1:14" x14ac:dyDescent="0.25">
      <c r="A12" s="1">
        <v>2</v>
      </c>
      <c r="B12" s="1">
        <v>2316</v>
      </c>
      <c r="C12" s="4">
        <v>37.700000000000003</v>
      </c>
      <c r="D12" s="65">
        <v>55.3</v>
      </c>
      <c r="E12" s="65">
        <v>189.9</v>
      </c>
      <c r="F12" s="248" t="s">
        <v>125</v>
      </c>
      <c r="G12" s="249"/>
      <c r="H12" s="3">
        <v>1</v>
      </c>
      <c r="I12" s="3"/>
      <c r="J12" s="3">
        <f>H12-I12</f>
        <v>1</v>
      </c>
      <c r="K12" s="9"/>
      <c r="L12" s="21"/>
      <c r="M12" s="78">
        <f>(C12*D12*E12)*7.9/1000000*38000</f>
        <v>118850.8067838</v>
      </c>
      <c r="N12" s="80">
        <f>M12*J12</f>
        <v>118850.8067838</v>
      </c>
    </row>
    <row r="13" spans="1:14" x14ac:dyDescent="0.25">
      <c r="M13" s="95" t="s">
        <v>159</v>
      </c>
      <c r="N13" s="81">
        <f>SUM(N11:N12)</f>
        <v>475778.74311240006</v>
      </c>
    </row>
  </sheetData>
  <mergeCells count="7">
    <mergeCell ref="C2:E2"/>
    <mergeCell ref="C3:E5"/>
    <mergeCell ref="C6:E6"/>
    <mergeCell ref="C10:E10"/>
    <mergeCell ref="F12:G12"/>
    <mergeCell ref="F10:G10"/>
    <mergeCell ref="F11:G11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Brush" shapeId="27649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27649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rgb="FFFF0000"/>
  </sheetPr>
  <dimension ref="A1:N48"/>
  <sheetViews>
    <sheetView zoomScale="84" zoomScaleNormal="84" workbookViewId="0">
      <selection activeCell="C9" sqref="C9"/>
    </sheetView>
  </sheetViews>
  <sheetFormatPr defaultRowHeight="15" x14ac:dyDescent="0.25"/>
  <cols>
    <col min="1" max="1" width="5.42578125" customWidth="1"/>
    <col min="2" max="2" width="14.85546875" customWidth="1"/>
    <col min="3" max="5" width="6.28515625" customWidth="1"/>
    <col min="6" max="6" width="10" customWidth="1"/>
    <col min="7" max="7" width="9.85546875" customWidth="1"/>
    <col min="8" max="8" width="9.140625" customWidth="1"/>
    <col min="9" max="9" width="8.5703125" customWidth="1"/>
    <col min="10" max="10" width="9.140625" bestFit="1" customWidth="1"/>
    <col min="11" max="11" width="21.140625" customWidth="1"/>
    <col min="12" max="12" width="19" customWidth="1"/>
    <col min="13" max="14" width="16.42578125" customWidth="1"/>
  </cols>
  <sheetData>
    <row r="1" spans="1:14" x14ac:dyDescent="0.25">
      <c r="H1" s="11" t="s">
        <v>93</v>
      </c>
    </row>
    <row r="2" spans="1:14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3" t="s">
        <v>97</v>
      </c>
      <c r="J2" s="3" t="s">
        <v>98</v>
      </c>
    </row>
    <row r="3" spans="1:14" ht="20.2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4" ht="20.25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20.25" customHeight="1" x14ac:dyDescent="0.25">
      <c r="A5" s="34"/>
      <c r="C5" s="257"/>
      <c r="D5" s="258"/>
      <c r="E5" s="259"/>
      <c r="F5" s="37"/>
      <c r="G5" s="37"/>
      <c r="H5" s="37"/>
      <c r="I5" s="39"/>
      <c r="J5" s="39"/>
    </row>
    <row r="6" spans="1:14" ht="18" x14ac:dyDescent="0.25">
      <c r="A6" s="27"/>
      <c r="B6" s="12"/>
      <c r="C6" s="248"/>
      <c r="D6" s="250"/>
      <c r="E6" s="249"/>
      <c r="F6" s="49"/>
      <c r="G6" s="41"/>
      <c r="H6" s="41"/>
      <c r="I6" s="41"/>
      <c r="J6" s="41"/>
    </row>
    <row r="7" spans="1:14" x14ac:dyDescent="0.25">
      <c r="A7" s="25" t="s">
        <v>47</v>
      </c>
      <c r="B7" s="26"/>
      <c r="C7" s="110" t="s">
        <v>194</v>
      </c>
      <c r="D7" s="110"/>
      <c r="E7" s="110"/>
      <c r="F7" s="118"/>
      <c r="G7" s="28"/>
      <c r="H7" s="28"/>
      <c r="I7" s="28"/>
      <c r="J7" s="26"/>
    </row>
    <row r="8" spans="1:14" x14ac:dyDescent="0.25">
      <c r="A8" s="42" t="s">
        <v>63</v>
      </c>
      <c r="B8" s="7"/>
      <c r="C8" s="62" t="s">
        <v>248</v>
      </c>
      <c r="D8" s="62"/>
      <c r="E8" s="62"/>
      <c r="F8" s="11"/>
      <c r="G8" s="11"/>
      <c r="H8" s="11"/>
      <c r="I8" s="11"/>
      <c r="J8" s="54"/>
    </row>
    <row r="9" spans="1:14" x14ac:dyDescent="0.25">
      <c r="A9" s="27" t="s">
        <v>62</v>
      </c>
      <c r="B9" s="37"/>
      <c r="C9" t="s">
        <v>150</v>
      </c>
      <c r="F9" s="12"/>
      <c r="G9" s="12"/>
      <c r="H9" s="12"/>
      <c r="I9" s="12"/>
      <c r="J9" s="37"/>
    </row>
    <row r="10" spans="1:14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3" t="s">
        <v>176</v>
      </c>
      <c r="N10" s="3" t="s">
        <v>157</v>
      </c>
    </row>
    <row r="11" spans="1:14" ht="26.25" customHeight="1" x14ac:dyDescent="0.25">
      <c r="A11" s="1">
        <v>1</v>
      </c>
      <c r="B11" s="24" t="s">
        <v>155</v>
      </c>
      <c r="C11" s="3">
        <v>65</v>
      </c>
      <c r="D11" s="3">
        <v>75</v>
      </c>
      <c r="E11" s="3">
        <v>335</v>
      </c>
      <c r="F11" s="268" t="s">
        <v>139</v>
      </c>
      <c r="G11" s="269"/>
      <c r="H11" s="1">
        <v>1</v>
      </c>
      <c r="I11" s="1"/>
      <c r="J11" s="1">
        <v>1</v>
      </c>
      <c r="K11" s="1"/>
      <c r="L11" s="24"/>
      <c r="M11" s="3"/>
      <c r="N11" s="3">
        <v>0</v>
      </c>
    </row>
    <row r="12" spans="1:14" ht="25.5" customHeight="1" x14ac:dyDescent="0.25">
      <c r="A12" s="1">
        <v>2</v>
      </c>
      <c r="B12" s="24" t="s">
        <v>155</v>
      </c>
      <c r="C12" s="3">
        <v>65</v>
      </c>
      <c r="D12" s="3">
        <v>75</v>
      </c>
      <c r="E12" s="3">
        <v>335</v>
      </c>
      <c r="F12" s="268" t="s">
        <v>139</v>
      </c>
      <c r="G12" s="269"/>
      <c r="H12" s="1">
        <v>1</v>
      </c>
      <c r="I12" s="1"/>
      <c r="J12" s="1">
        <v>1</v>
      </c>
      <c r="K12" s="1"/>
      <c r="L12" s="24"/>
      <c r="M12" s="3"/>
      <c r="N12" s="3">
        <v>0</v>
      </c>
    </row>
    <row r="13" spans="1:14" ht="28.5" customHeight="1" x14ac:dyDescent="0.25">
      <c r="A13" s="1">
        <v>3</v>
      </c>
      <c r="B13" s="24" t="s">
        <v>155</v>
      </c>
      <c r="C13" s="3">
        <v>65</v>
      </c>
      <c r="D13" s="3">
        <v>75</v>
      </c>
      <c r="E13" s="3">
        <v>335</v>
      </c>
      <c r="F13" s="284" t="s">
        <v>139</v>
      </c>
      <c r="G13" s="285"/>
      <c r="H13" s="1">
        <v>1</v>
      </c>
      <c r="I13" s="1"/>
      <c r="J13" s="1">
        <v>1</v>
      </c>
      <c r="K13" s="1"/>
      <c r="L13" s="24"/>
      <c r="M13" s="3"/>
      <c r="N13" s="3">
        <v>0</v>
      </c>
    </row>
    <row r="14" spans="1:14" ht="15" customHeight="1" x14ac:dyDescent="0.25">
      <c r="A14" s="1">
        <v>4</v>
      </c>
      <c r="B14" s="24" t="s">
        <v>155</v>
      </c>
      <c r="C14" s="3">
        <v>65</v>
      </c>
      <c r="D14" s="3">
        <v>75</v>
      </c>
      <c r="E14" s="3">
        <v>335</v>
      </c>
      <c r="F14" s="248" t="s">
        <v>141</v>
      </c>
      <c r="G14" s="249"/>
      <c r="H14" s="1">
        <v>1</v>
      </c>
      <c r="I14" s="1"/>
      <c r="J14" s="1">
        <v>1</v>
      </c>
      <c r="K14" s="1"/>
      <c r="L14" s="24"/>
      <c r="M14" s="3"/>
      <c r="N14" s="3">
        <v>0</v>
      </c>
    </row>
    <row r="15" spans="1:14" x14ac:dyDescent="0.25">
      <c r="A15" s="1">
        <v>5</v>
      </c>
      <c r="B15" s="24" t="s">
        <v>155</v>
      </c>
      <c r="C15" s="3">
        <v>65</v>
      </c>
      <c r="D15" s="3">
        <v>75</v>
      </c>
      <c r="E15" s="3">
        <v>335</v>
      </c>
      <c r="F15" s="248" t="s">
        <v>141</v>
      </c>
      <c r="G15" s="249"/>
      <c r="H15" s="1">
        <v>1</v>
      </c>
      <c r="I15" s="1"/>
      <c r="J15" s="1">
        <v>1</v>
      </c>
      <c r="K15" s="1"/>
      <c r="L15" s="24"/>
      <c r="M15" s="3"/>
      <c r="N15" s="3">
        <v>0</v>
      </c>
    </row>
    <row r="16" spans="1:14" x14ac:dyDescent="0.25">
      <c r="A16" s="1">
        <v>6</v>
      </c>
      <c r="B16" s="24" t="s">
        <v>155</v>
      </c>
      <c r="C16" s="3">
        <v>65</v>
      </c>
      <c r="D16" s="3">
        <v>75</v>
      </c>
      <c r="E16" s="3">
        <v>335</v>
      </c>
      <c r="F16" s="248" t="s">
        <v>141</v>
      </c>
      <c r="G16" s="249"/>
      <c r="H16" s="1">
        <v>1</v>
      </c>
      <c r="I16" s="1"/>
      <c r="J16" s="1">
        <v>1</v>
      </c>
      <c r="K16" s="1"/>
      <c r="L16" s="24"/>
      <c r="M16" s="3"/>
      <c r="N16" s="3">
        <v>0</v>
      </c>
    </row>
    <row r="17" spans="1:14" x14ac:dyDescent="0.25">
      <c r="A17" s="1">
        <v>7</v>
      </c>
      <c r="B17" s="24" t="s">
        <v>155</v>
      </c>
      <c r="C17" s="3">
        <v>65</v>
      </c>
      <c r="D17" s="3">
        <v>75</v>
      </c>
      <c r="E17" s="3">
        <v>335</v>
      </c>
      <c r="F17" s="272" t="s">
        <v>142</v>
      </c>
      <c r="G17" s="261"/>
      <c r="H17" s="1">
        <v>1</v>
      </c>
      <c r="I17" s="1"/>
      <c r="J17" s="1">
        <v>1</v>
      </c>
      <c r="K17" s="1"/>
      <c r="L17" s="24"/>
      <c r="M17" s="3"/>
      <c r="N17" s="3">
        <v>0</v>
      </c>
    </row>
    <row r="18" spans="1:14" x14ac:dyDescent="0.25">
      <c r="A18" s="1">
        <v>8</v>
      </c>
      <c r="B18" s="24" t="s">
        <v>155</v>
      </c>
      <c r="C18" s="3">
        <v>80</v>
      </c>
      <c r="D18" s="63">
        <v>220</v>
      </c>
      <c r="E18" s="3">
        <v>400</v>
      </c>
      <c r="F18" s="272" t="s">
        <v>10</v>
      </c>
      <c r="G18" s="261"/>
      <c r="H18" s="1">
        <v>1</v>
      </c>
      <c r="I18" s="1"/>
      <c r="J18" s="1">
        <v>1</v>
      </c>
      <c r="K18" s="1"/>
      <c r="L18" s="24"/>
      <c r="M18" s="3"/>
      <c r="N18" s="3">
        <v>0</v>
      </c>
    </row>
    <row r="19" spans="1:14" x14ac:dyDescent="0.25">
      <c r="A19" s="1">
        <v>9</v>
      </c>
      <c r="B19" s="24" t="s">
        <v>155</v>
      </c>
      <c r="C19" s="3">
        <v>70</v>
      </c>
      <c r="D19" s="63">
        <v>80</v>
      </c>
      <c r="E19" s="3">
        <v>345</v>
      </c>
      <c r="F19" s="272" t="s">
        <v>140</v>
      </c>
      <c r="G19" s="261"/>
      <c r="H19" s="1">
        <v>1</v>
      </c>
      <c r="I19" s="1"/>
      <c r="J19" s="1">
        <v>1</v>
      </c>
      <c r="K19" s="1"/>
      <c r="L19" s="24"/>
      <c r="M19" s="3"/>
      <c r="N19" s="3">
        <v>0</v>
      </c>
    </row>
    <row r="20" spans="1:14" x14ac:dyDescent="0.25">
      <c r="A20" s="1">
        <v>10</v>
      </c>
      <c r="B20" s="24" t="s">
        <v>155</v>
      </c>
      <c r="C20" s="3">
        <v>70</v>
      </c>
      <c r="D20" s="63">
        <v>80</v>
      </c>
      <c r="E20" s="3">
        <v>345</v>
      </c>
      <c r="F20" s="272" t="s">
        <v>140</v>
      </c>
      <c r="G20" s="261"/>
      <c r="H20" s="1">
        <v>1</v>
      </c>
      <c r="I20" s="1"/>
      <c r="J20" s="1">
        <v>1</v>
      </c>
      <c r="K20" s="1"/>
      <c r="L20" s="24"/>
      <c r="M20" s="3"/>
      <c r="N20" s="3">
        <v>0</v>
      </c>
    </row>
    <row r="21" spans="1:14" x14ac:dyDescent="0.25">
      <c r="A21" s="1">
        <v>11</v>
      </c>
      <c r="B21" s="24" t="s">
        <v>155</v>
      </c>
      <c r="C21" s="3">
        <v>70</v>
      </c>
      <c r="D21" s="63">
        <v>80</v>
      </c>
      <c r="E21" s="3">
        <v>345</v>
      </c>
      <c r="F21" s="272" t="s">
        <v>140</v>
      </c>
      <c r="G21" s="261"/>
      <c r="H21" s="1">
        <v>1</v>
      </c>
      <c r="I21" s="1"/>
      <c r="J21" s="1">
        <v>1</v>
      </c>
      <c r="K21" s="1"/>
      <c r="L21" s="24"/>
      <c r="M21" s="3"/>
      <c r="N21" s="3">
        <v>0</v>
      </c>
    </row>
    <row r="22" spans="1:14" s="94" customFormat="1" ht="26.25" customHeight="1" x14ac:dyDescent="0.25">
      <c r="A22" s="3">
        <v>12</v>
      </c>
      <c r="B22" s="63" t="s">
        <v>155</v>
      </c>
      <c r="C22" s="3">
        <v>70</v>
      </c>
      <c r="D22" s="63">
        <v>80</v>
      </c>
      <c r="E22" s="3">
        <v>344</v>
      </c>
      <c r="F22" s="268" t="s">
        <v>230</v>
      </c>
      <c r="G22" s="269"/>
      <c r="H22" s="3">
        <v>1</v>
      </c>
      <c r="I22" s="3"/>
      <c r="J22" s="3">
        <v>1</v>
      </c>
      <c r="K22" s="3"/>
      <c r="L22" s="63"/>
      <c r="M22" s="3"/>
      <c r="N22" s="3">
        <v>0</v>
      </c>
    </row>
    <row r="23" spans="1:14" x14ac:dyDescent="0.25">
      <c r="A23" s="1">
        <v>13</v>
      </c>
      <c r="B23" s="24" t="s">
        <v>155</v>
      </c>
      <c r="C23" s="3">
        <v>70</v>
      </c>
      <c r="D23" s="63">
        <v>80</v>
      </c>
      <c r="E23" s="3">
        <v>100</v>
      </c>
      <c r="F23" s="272" t="s">
        <v>6</v>
      </c>
      <c r="G23" s="261"/>
      <c r="H23" s="1">
        <v>1</v>
      </c>
      <c r="I23" s="1"/>
      <c r="J23" s="1">
        <v>1</v>
      </c>
      <c r="K23" s="1"/>
      <c r="L23" s="24"/>
      <c r="M23" s="3"/>
      <c r="N23" s="3">
        <v>0</v>
      </c>
    </row>
    <row r="24" spans="1:14" x14ac:dyDescent="0.25">
      <c r="A24" s="1">
        <v>14</v>
      </c>
      <c r="B24" s="24" t="s">
        <v>154</v>
      </c>
      <c r="C24" s="3">
        <v>80</v>
      </c>
      <c r="D24" s="63">
        <v>180</v>
      </c>
      <c r="E24" s="3">
        <v>255</v>
      </c>
      <c r="F24" s="272" t="s">
        <v>198</v>
      </c>
      <c r="G24" s="261"/>
      <c r="H24" s="1">
        <v>1</v>
      </c>
      <c r="I24" s="1"/>
      <c r="J24" s="1">
        <v>1</v>
      </c>
      <c r="K24" s="1"/>
      <c r="L24" s="24"/>
      <c r="M24" s="187">
        <v>1102334.4000000001</v>
      </c>
      <c r="N24" s="186">
        <f>M24*J24</f>
        <v>1102334.4000000001</v>
      </c>
    </row>
    <row r="25" spans="1:14" x14ac:dyDescent="0.25">
      <c r="A25" s="1">
        <v>15</v>
      </c>
      <c r="B25" s="24" t="s">
        <v>143</v>
      </c>
      <c r="C25" s="3">
        <v>80</v>
      </c>
      <c r="D25" s="63">
        <v>112</v>
      </c>
      <c r="E25" s="3">
        <v>197</v>
      </c>
      <c r="F25" s="272" t="s">
        <v>6</v>
      </c>
      <c r="G25" s="261"/>
      <c r="H25" s="1">
        <v>1</v>
      </c>
      <c r="I25" s="1"/>
      <c r="J25" s="1">
        <v>1</v>
      </c>
      <c r="K25" s="1"/>
      <c r="L25" s="24"/>
      <c r="M25" s="187">
        <v>1743056</v>
      </c>
      <c r="N25" s="186">
        <f>M25*J25</f>
        <v>1743056</v>
      </c>
    </row>
    <row r="26" spans="1:14" x14ac:dyDescent="0.25">
      <c r="A26" s="1">
        <v>16</v>
      </c>
      <c r="B26" s="24" t="s">
        <v>21</v>
      </c>
      <c r="C26" s="3">
        <v>53</v>
      </c>
      <c r="D26" s="63">
        <v>173</v>
      </c>
      <c r="E26" s="3">
        <v>225</v>
      </c>
      <c r="F26" s="272" t="s">
        <v>137</v>
      </c>
      <c r="G26" s="261"/>
      <c r="H26" s="1">
        <v>1</v>
      </c>
      <c r="I26" s="1"/>
      <c r="J26" s="1">
        <v>1</v>
      </c>
      <c r="K26" s="1"/>
      <c r="L26" s="24"/>
      <c r="M26" s="187">
        <v>619320.1050000001</v>
      </c>
      <c r="N26" s="186">
        <f t="shared" ref="N26" si="0">M26*J26</f>
        <v>619320.1050000001</v>
      </c>
    </row>
    <row r="27" spans="1:14" x14ac:dyDescent="0.25">
      <c r="A27" s="1">
        <v>17</v>
      </c>
      <c r="B27" s="24" t="s">
        <v>21</v>
      </c>
      <c r="C27" s="3">
        <v>50</v>
      </c>
      <c r="D27" s="63">
        <v>180</v>
      </c>
      <c r="E27" s="3">
        <v>255</v>
      </c>
      <c r="F27" s="272" t="s">
        <v>137</v>
      </c>
      <c r="G27" s="261"/>
      <c r="H27" s="1">
        <v>1</v>
      </c>
      <c r="I27" s="1"/>
      <c r="J27" s="1">
        <v>1</v>
      </c>
      <c r="K27" s="1"/>
      <c r="L27" s="24"/>
      <c r="M27" s="187">
        <v>688959</v>
      </c>
      <c r="N27" s="186">
        <v>688959</v>
      </c>
    </row>
    <row r="28" spans="1:14" x14ac:dyDescent="0.25">
      <c r="A28" s="1">
        <v>18</v>
      </c>
      <c r="B28" s="24" t="s">
        <v>21</v>
      </c>
      <c r="C28" s="3">
        <v>52</v>
      </c>
      <c r="D28" s="63">
        <v>180</v>
      </c>
      <c r="E28" s="3">
        <v>255</v>
      </c>
      <c r="F28" s="272" t="s">
        <v>137</v>
      </c>
      <c r="G28" s="261"/>
      <c r="H28" s="1">
        <v>1</v>
      </c>
      <c r="I28" s="1"/>
      <c r="J28" s="1">
        <v>1</v>
      </c>
      <c r="K28" s="1"/>
      <c r="L28" s="24"/>
      <c r="M28" s="187">
        <v>716517.3600000001</v>
      </c>
      <c r="N28" s="186">
        <v>716517.3600000001</v>
      </c>
    </row>
    <row r="29" spans="1:14" x14ac:dyDescent="0.25">
      <c r="A29" s="1">
        <v>19</v>
      </c>
      <c r="B29" s="24" t="s">
        <v>21</v>
      </c>
      <c r="C29" s="3">
        <v>52</v>
      </c>
      <c r="D29" s="63">
        <v>172</v>
      </c>
      <c r="E29" s="3">
        <v>227</v>
      </c>
      <c r="F29" s="272" t="s">
        <v>137</v>
      </c>
      <c r="G29" s="261"/>
      <c r="H29" s="1">
        <v>1</v>
      </c>
      <c r="I29" s="1"/>
      <c r="J29" s="1">
        <v>1</v>
      </c>
      <c r="K29" s="1"/>
      <c r="L29" s="24"/>
      <c r="M29" s="187">
        <v>609492.45760000008</v>
      </c>
      <c r="N29" s="186">
        <v>609492.45760000008</v>
      </c>
    </row>
    <row r="30" spans="1:14" x14ac:dyDescent="0.25">
      <c r="A30" s="1">
        <v>20</v>
      </c>
      <c r="B30" s="24" t="s">
        <v>21</v>
      </c>
      <c r="C30" s="3">
        <v>51</v>
      </c>
      <c r="D30" s="63">
        <v>182</v>
      </c>
      <c r="E30" s="3">
        <v>255</v>
      </c>
      <c r="F30" s="272" t="s">
        <v>137</v>
      </c>
      <c r="G30" s="261"/>
      <c r="H30" s="1">
        <v>1</v>
      </c>
      <c r="I30" s="1"/>
      <c r="J30" s="1">
        <v>1</v>
      </c>
      <c r="K30" s="1"/>
      <c r="L30" s="24"/>
      <c r="M30" s="187">
        <v>710546.38199999998</v>
      </c>
      <c r="N30" s="186">
        <v>710546.38199999998</v>
      </c>
    </row>
    <row r="31" spans="1:14" x14ac:dyDescent="0.25">
      <c r="A31" s="1">
        <v>21</v>
      </c>
      <c r="B31" s="24" t="s">
        <v>21</v>
      </c>
      <c r="C31" s="3">
        <v>45.8</v>
      </c>
      <c r="D31" s="63">
        <v>165.3</v>
      </c>
      <c r="E31" s="3">
        <v>220.3</v>
      </c>
      <c r="F31" s="272" t="s">
        <v>144</v>
      </c>
      <c r="G31" s="261"/>
      <c r="H31" s="1">
        <v>1</v>
      </c>
      <c r="I31" s="1"/>
      <c r="J31" s="1">
        <v>1</v>
      </c>
      <c r="K31" s="1"/>
      <c r="L31" s="24"/>
      <c r="M31" s="187">
        <v>500683.7734044001</v>
      </c>
      <c r="N31" s="186">
        <v>500683.7734044001</v>
      </c>
    </row>
    <row r="32" spans="1:14" x14ac:dyDescent="0.25">
      <c r="A32" s="1">
        <v>22</v>
      </c>
      <c r="B32" s="24" t="s">
        <v>154</v>
      </c>
      <c r="C32" s="3">
        <v>45.8</v>
      </c>
      <c r="D32" s="63">
        <v>165</v>
      </c>
      <c r="E32" s="3">
        <v>220</v>
      </c>
      <c r="F32" s="272" t="s">
        <v>138</v>
      </c>
      <c r="G32" s="261"/>
      <c r="H32" s="1">
        <v>1</v>
      </c>
      <c r="I32" s="1"/>
      <c r="J32" s="1">
        <v>1</v>
      </c>
      <c r="K32" s="1"/>
      <c r="L32" s="24"/>
      <c r="M32" s="187">
        <v>499094.50799999997</v>
      </c>
      <c r="N32" s="186">
        <v>499094.50799999997</v>
      </c>
    </row>
    <row r="33" spans="1:14" x14ac:dyDescent="0.25">
      <c r="A33" s="8"/>
      <c r="B33" s="8"/>
      <c r="C33" s="120"/>
      <c r="D33" s="120"/>
      <c r="E33" s="120"/>
      <c r="F33" s="13"/>
      <c r="G33" s="13"/>
      <c r="H33" s="13"/>
      <c r="I33" s="13"/>
      <c r="J33" s="94"/>
      <c r="K33" s="94"/>
      <c r="L33" s="121"/>
      <c r="M33" s="95" t="s">
        <v>159</v>
      </c>
      <c r="N33" s="81">
        <f>SUM(N11:N32)</f>
        <v>7190003.986004401</v>
      </c>
    </row>
    <row r="34" spans="1:14" x14ac:dyDescent="0.25">
      <c r="A34" s="8"/>
      <c r="B34" s="8"/>
      <c r="C34" s="120"/>
      <c r="D34" s="120"/>
      <c r="E34" s="120"/>
      <c r="F34" s="13"/>
      <c r="G34" s="13"/>
      <c r="H34" s="13"/>
      <c r="I34" s="13"/>
      <c r="J34" s="94"/>
      <c r="K34" s="94"/>
      <c r="L34" s="121"/>
    </row>
    <row r="35" spans="1:14" x14ac:dyDescent="0.25">
      <c r="A35" s="8"/>
      <c r="B35" s="112" t="s">
        <v>192</v>
      </c>
      <c r="C35" s="127"/>
      <c r="D35" s="127"/>
      <c r="E35" s="127"/>
      <c r="F35" s="8"/>
      <c r="G35" s="8"/>
      <c r="H35" s="154"/>
      <c r="J35" s="94"/>
      <c r="L35" s="123"/>
    </row>
    <row r="36" spans="1:14" s="92" customFormat="1" x14ac:dyDescent="0.25">
      <c r="A36" s="89"/>
      <c r="B36" s="130"/>
      <c r="C36" s="131"/>
      <c r="D36" s="131"/>
      <c r="E36" s="131"/>
      <c r="F36" s="89"/>
      <c r="G36" s="89"/>
      <c r="H36" s="89"/>
      <c r="J36" s="122"/>
      <c r="L36" s="126"/>
    </row>
    <row r="37" spans="1:14" x14ac:dyDescent="0.25">
      <c r="A37" s="1" t="s">
        <v>38</v>
      </c>
      <c r="B37" s="24" t="s">
        <v>47</v>
      </c>
      <c r="C37" s="248" t="s">
        <v>2</v>
      </c>
      <c r="D37" s="249"/>
      <c r="E37" s="9" t="s">
        <v>167</v>
      </c>
      <c r="F37" s="260" t="s">
        <v>0</v>
      </c>
      <c r="G37" s="261"/>
      <c r="H37" s="1" t="s">
        <v>1</v>
      </c>
      <c r="I37" s="1" t="s">
        <v>42</v>
      </c>
      <c r="J37" s="1" t="s">
        <v>41</v>
      </c>
      <c r="K37" s="1" t="s">
        <v>44</v>
      </c>
      <c r="L37" s="1" t="s">
        <v>45</v>
      </c>
      <c r="M37" s="3" t="s">
        <v>176</v>
      </c>
      <c r="N37" s="3" t="s">
        <v>157</v>
      </c>
    </row>
    <row r="38" spans="1:14" x14ac:dyDescent="0.25">
      <c r="A38" s="1">
        <v>1</v>
      </c>
      <c r="B38" s="1" t="s">
        <v>78</v>
      </c>
      <c r="C38" s="69">
        <v>255</v>
      </c>
      <c r="D38" s="4">
        <v>270</v>
      </c>
      <c r="E38" s="4">
        <f>C38/2</f>
        <v>127.5</v>
      </c>
      <c r="F38" s="249" t="s">
        <v>10</v>
      </c>
      <c r="G38" s="283"/>
      <c r="H38" s="3">
        <v>1</v>
      </c>
      <c r="I38" s="9"/>
      <c r="J38" s="3">
        <f t="shared" ref="J38:J45" si="1">H38-I38</f>
        <v>1</v>
      </c>
      <c r="K38" s="9"/>
      <c r="L38" s="21"/>
      <c r="M38" s="78">
        <f>(3.14*E38*E38*D38)*3/1000000*115000</f>
        <v>4754806.8187499996</v>
      </c>
      <c r="N38" s="80">
        <f>M38*J38</f>
        <v>4754806.8187499996</v>
      </c>
    </row>
    <row r="39" spans="1:14" x14ac:dyDescent="0.25">
      <c r="A39" s="8"/>
      <c r="B39" s="13"/>
      <c r="C39" s="124"/>
      <c r="D39" s="124"/>
      <c r="E39" s="124"/>
      <c r="F39" s="282"/>
      <c r="G39" s="282"/>
      <c r="H39" s="8"/>
      <c r="J39" s="94"/>
      <c r="L39" s="123"/>
      <c r="M39" s="95" t="s">
        <v>162</v>
      </c>
      <c r="N39" s="81">
        <f>SUM(N38:N38)</f>
        <v>4754806.8187499996</v>
      </c>
    </row>
    <row r="40" spans="1:14" x14ac:dyDescent="0.25">
      <c r="A40" s="8"/>
      <c r="B40" s="13"/>
      <c r="C40" s="124"/>
      <c r="D40" s="124"/>
      <c r="E40" s="124"/>
      <c r="F40" s="282"/>
      <c r="G40" s="282"/>
      <c r="H40" s="8"/>
      <c r="J40" s="94"/>
      <c r="L40" s="55"/>
    </row>
    <row r="41" spans="1:14" x14ac:dyDescent="0.25">
      <c r="A41" s="8"/>
      <c r="B41" s="112" t="s">
        <v>193</v>
      </c>
      <c r="C41" s="128"/>
      <c r="D41" s="128"/>
      <c r="E41" s="129"/>
      <c r="F41" s="110"/>
      <c r="H41" s="8"/>
      <c r="J41" s="94"/>
      <c r="L41" s="123"/>
    </row>
    <row r="42" spans="1:14" s="92" customFormat="1" x14ac:dyDescent="0.25">
      <c r="A42" s="89"/>
      <c r="B42" s="91"/>
      <c r="C42" s="125"/>
      <c r="D42" s="125"/>
      <c r="E42" s="125"/>
      <c r="F42" s="89"/>
      <c r="G42" s="89"/>
      <c r="H42" s="89"/>
      <c r="J42" s="122"/>
      <c r="L42" s="126"/>
    </row>
    <row r="43" spans="1:14" x14ac:dyDescent="0.25">
      <c r="A43" s="1" t="s">
        <v>38</v>
      </c>
      <c r="B43" s="24" t="s">
        <v>47</v>
      </c>
      <c r="C43" s="248" t="s">
        <v>2</v>
      </c>
      <c r="D43" s="249"/>
      <c r="E43" s="9" t="s">
        <v>167</v>
      </c>
      <c r="F43" s="260" t="s">
        <v>0</v>
      </c>
      <c r="G43" s="261"/>
      <c r="H43" s="1" t="s">
        <v>1</v>
      </c>
      <c r="I43" s="1" t="s">
        <v>42</v>
      </c>
      <c r="J43" s="1" t="s">
        <v>41</v>
      </c>
      <c r="K43" s="1" t="s">
        <v>44</v>
      </c>
      <c r="L43" s="1" t="s">
        <v>45</v>
      </c>
      <c r="M43" s="3" t="s">
        <v>176</v>
      </c>
      <c r="N43" s="3" t="s">
        <v>157</v>
      </c>
    </row>
    <row r="44" spans="1:14" x14ac:dyDescent="0.25">
      <c r="A44" s="1">
        <v>24</v>
      </c>
      <c r="B44" s="1" t="s">
        <v>10</v>
      </c>
      <c r="C44" s="4">
        <v>140</v>
      </c>
      <c r="D44" s="4">
        <v>282</v>
      </c>
      <c r="E44" s="4">
        <f>C44/2</f>
        <v>70</v>
      </c>
      <c r="F44" s="283" t="s">
        <v>10</v>
      </c>
      <c r="G44" s="283"/>
      <c r="H44" s="3">
        <v>1</v>
      </c>
      <c r="I44" s="3"/>
      <c r="J44" s="3">
        <f t="shared" si="1"/>
        <v>1</v>
      </c>
      <c r="K44" s="3"/>
      <c r="L44" s="19"/>
      <c r="M44" s="2"/>
      <c r="N44" s="162">
        <f>M44*J44</f>
        <v>0</v>
      </c>
    </row>
    <row r="45" spans="1:14" x14ac:dyDescent="0.25">
      <c r="A45" s="1">
        <v>2</v>
      </c>
      <c r="B45" s="1" t="s">
        <v>10</v>
      </c>
      <c r="C45" s="4">
        <v>157</v>
      </c>
      <c r="D45" s="4">
        <v>292</v>
      </c>
      <c r="E45" s="4">
        <f>C45/2</f>
        <v>78.5</v>
      </c>
      <c r="F45" s="283" t="s">
        <v>10</v>
      </c>
      <c r="G45" s="283"/>
      <c r="H45" s="3">
        <v>1</v>
      </c>
      <c r="I45" s="3"/>
      <c r="J45" s="3">
        <f t="shared" si="1"/>
        <v>1</v>
      </c>
      <c r="K45" s="3"/>
      <c r="L45" s="19"/>
      <c r="M45" s="2"/>
      <c r="N45" s="162">
        <f>M45*J45</f>
        <v>0</v>
      </c>
    </row>
    <row r="46" spans="1:14" x14ac:dyDescent="0.25">
      <c r="A46" s="8"/>
      <c r="B46" s="13"/>
      <c r="C46" s="124"/>
      <c r="D46" s="124"/>
      <c r="E46" s="124"/>
      <c r="F46" s="282"/>
      <c r="G46" s="282"/>
      <c r="H46" s="8"/>
      <c r="J46" s="94"/>
      <c r="L46" s="55"/>
      <c r="M46" s="95" t="s">
        <v>163</v>
      </c>
      <c r="N46" s="161">
        <f>SUM(N44:N45)</f>
        <v>0</v>
      </c>
    </row>
    <row r="47" spans="1:14" x14ac:dyDescent="0.25">
      <c r="A47" s="8"/>
      <c r="B47" s="13"/>
      <c r="C47" s="124"/>
      <c r="D47" s="124"/>
      <c r="E47" s="124"/>
      <c r="F47" s="282"/>
      <c r="G47" s="282"/>
      <c r="H47" s="8"/>
      <c r="J47" s="94"/>
      <c r="L47" s="123"/>
    </row>
    <row r="48" spans="1:14" x14ac:dyDescent="0.25">
      <c r="M48" s="148" t="s">
        <v>158</v>
      </c>
      <c r="N48" s="147">
        <f>N33+N39+N46</f>
        <v>11944810.804754401</v>
      </c>
    </row>
  </sheetData>
  <autoFilter ref="C1:E48"/>
  <mergeCells count="38">
    <mergeCell ref="F28:G28"/>
    <mergeCell ref="F29:G29"/>
    <mergeCell ref="F30:G30"/>
    <mergeCell ref="F31:G31"/>
    <mergeCell ref="F32:G32"/>
    <mergeCell ref="F23:G23"/>
    <mergeCell ref="F24:G24"/>
    <mergeCell ref="F25:G25"/>
    <mergeCell ref="F26:G26"/>
    <mergeCell ref="F27:G27"/>
    <mergeCell ref="F16:G16"/>
    <mergeCell ref="F17:G17"/>
    <mergeCell ref="F22:G22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44:G44"/>
    <mergeCell ref="F45:G45"/>
    <mergeCell ref="F46:G46"/>
    <mergeCell ref="F47:G47"/>
    <mergeCell ref="F43:G43"/>
    <mergeCell ref="C2:E2"/>
    <mergeCell ref="C3:E5"/>
    <mergeCell ref="C6:E6"/>
    <mergeCell ref="F10:G10"/>
    <mergeCell ref="C10:E10"/>
    <mergeCell ref="C43:D43"/>
    <mergeCell ref="F37:G37"/>
    <mergeCell ref="C37:D37"/>
    <mergeCell ref="F39:G39"/>
    <mergeCell ref="F38:G38"/>
    <mergeCell ref="F40:G40"/>
  </mergeCells>
  <pageMargins left="0.7" right="0.7" top="0.75" bottom="0.75" header="0.3" footer="0.3"/>
  <pageSetup paperSize="9" orientation="portrait" horizontalDpi="4294967294" verticalDpi="0" r:id="rId1"/>
  <drawing r:id="rId2"/>
  <legacyDrawing r:id="rId3"/>
  <oleObjects>
    <mc:AlternateContent xmlns:mc="http://schemas.openxmlformats.org/markup-compatibility/2006">
      <mc:Choice Requires="x14">
        <oleObject progId="PBrush" shapeId="28673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28673" r:id="rId4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N20"/>
  <sheetViews>
    <sheetView zoomScale="84" zoomScaleNormal="84" workbookViewId="0">
      <selection activeCell="C9" sqref="C9"/>
    </sheetView>
  </sheetViews>
  <sheetFormatPr defaultRowHeight="15" x14ac:dyDescent="0.25"/>
  <cols>
    <col min="1" max="1" width="5.85546875" customWidth="1"/>
    <col min="2" max="2" width="14.28515625" customWidth="1"/>
    <col min="3" max="5" width="6.28515625" customWidth="1"/>
    <col min="6" max="6" width="10.85546875" customWidth="1"/>
    <col min="7" max="7" width="9.7109375" customWidth="1"/>
    <col min="11" max="11" width="21.140625" customWidth="1"/>
    <col min="12" max="12" width="16.85546875" customWidth="1"/>
    <col min="13" max="14" width="16.42578125" customWidth="1"/>
  </cols>
  <sheetData>
    <row r="1" spans="1:14" x14ac:dyDescent="0.25">
      <c r="H1" s="11" t="s">
        <v>93</v>
      </c>
    </row>
    <row r="2" spans="1:14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3" t="s">
        <v>97</v>
      </c>
      <c r="J2" s="3" t="s">
        <v>98</v>
      </c>
    </row>
    <row r="3" spans="1:14" ht="20.2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4" ht="20.25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20.25" customHeight="1" x14ac:dyDescent="0.25">
      <c r="A5" s="34"/>
      <c r="C5" s="257"/>
      <c r="D5" s="258"/>
      <c r="E5" s="259"/>
      <c r="F5" s="37"/>
      <c r="G5" s="37"/>
      <c r="H5" s="37"/>
      <c r="I5" s="39"/>
      <c r="J5" s="39"/>
    </row>
    <row r="6" spans="1:14" ht="18" x14ac:dyDescent="0.25">
      <c r="A6" s="27"/>
      <c r="B6" s="12"/>
      <c r="C6" s="248"/>
      <c r="D6" s="250"/>
      <c r="E6" s="249"/>
      <c r="F6" s="49"/>
      <c r="G6" s="41"/>
      <c r="H6" s="41"/>
      <c r="I6" s="41"/>
      <c r="J6" s="41"/>
    </row>
    <row r="7" spans="1:14" x14ac:dyDescent="0.25">
      <c r="A7" s="25" t="s">
        <v>47</v>
      </c>
      <c r="B7" s="26"/>
      <c r="C7" t="s">
        <v>151</v>
      </c>
      <c r="F7" s="28"/>
      <c r="G7" s="28"/>
      <c r="H7" s="28"/>
      <c r="I7" s="28"/>
      <c r="J7" s="26"/>
    </row>
    <row r="8" spans="1:14" x14ac:dyDescent="0.25">
      <c r="A8" s="286" t="s">
        <v>63</v>
      </c>
      <c r="B8" s="287"/>
      <c r="C8" s="62" t="s">
        <v>248</v>
      </c>
      <c r="D8" s="62"/>
      <c r="E8" s="62"/>
      <c r="F8" s="11"/>
      <c r="G8" s="11"/>
      <c r="H8" s="11"/>
      <c r="I8" s="11"/>
      <c r="J8" s="54"/>
    </row>
    <row r="9" spans="1:14" x14ac:dyDescent="0.25">
      <c r="A9" s="27" t="s">
        <v>62</v>
      </c>
      <c r="B9" s="37"/>
      <c r="C9" t="s">
        <v>150</v>
      </c>
      <c r="F9" s="12"/>
      <c r="G9" s="12"/>
      <c r="H9" s="12"/>
      <c r="I9" s="12"/>
      <c r="J9" s="37"/>
    </row>
    <row r="10" spans="1:14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3" t="s">
        <v>176</v>
      </c>
      <c r="N10" s="3" t="s">
        <v>157</v>
      </c>
    </row>
    <row r="11" spans="1:14" x14ac:dyDescent="0.25">
      <c r="A11" s="1">
        <v>1</v>
      </c>
      <c r="B11" s="1" t="s">
        <v>145</v>
      </c>
      <c r="C11" s="4">
        <v>250</v>
      </c>
      <c r="D11" s="4">
        <v>270</v>
      </c>
      <c r="E11" s="4">
        <v>370</v>
      </c>
      <c r="F11" s="283" t="s">
        <v>146</v>
      </c>
      <c r="G11" s="283"/>
      <c r="H11" s="3">
        <v>1</v>
      </c>
      <c r="I11" s="3"/>
      <c r="J11" s="9">
        <f t="shared" ref="J11" si="0">H11-I11</f>
        <v>1</v>
      </c>
      <c r="K11" s="9"/>
      <c r="L11" s="115"/>
      <c r="M11" s="2"/>
      <c r="N11" s="162">
        <f>M11*J11</f>
        <v>0</v>
      </c>
    </row>
    <row r="12" spans="1:14" x14ac:dyDescent="0.25">
      <c r="A12" s="8"/>
      <c r="B12" s="8"/>
      <c r="C12" s="120"/>
      <c r="D12" s="120"/>
      <c r="E12" s="120"/>
      <c r="F12" s="288"/>
      <c r="G12" s="288"/>
      <c r="H12" s="13"/>
      <c r="I12" s="13"/>
      <c r="J12" s="94"/>
      <c r="K12" s="94"/>
      <c r="L12" s="121"/>
      <c r="M12" s="95" t="s">
        <v>159</v>
      </c>
      <c r="N12" s="161">
        <f>SUM(N11)</f>
        <v>0</v>
      </c>
    </row>
    <row r="13" spans="1:14" x14ac:dyDescent="0.25">
      <c r="A13" s="8"/>
      <c r="B13" s="8"/>
      <c r="C13" s="120"/>
      <c r="D13" s="120"/>
      <c r="E13" s="120"/>
      <c r="F13" s="288"/>
      <c r="G13" s="288"/>
      <c r="H13" s="13"/>
      <c r="I13" s="13"/>
      <c r="J13" s="94"/>
      <c r="K13" s="132"/>
      <c r="L13" s="86"/>
    </row>
    <row r="14" spans="1:14" x14ac:dyDescent="0.25">
      <c r="A14" s="8"/>
      <c r="B14" s="8"/>
      <c r="C14" s="120"/>
      <c r="D14" s="120"/>
      <c r="E14" s="120"/>
      <c r="F14" s="13"/>
      <c r="G14" s="13"/>
      <c r="H14" s="13"/>
      <c r="I14" s="13"/>
      <c r="J14" s="94"/>
      <c r="K14" s="132"/>
      <c r="L14" s="86"/>
    </row>
    <row r="15" spans="1:14" s="92" customFormat="1" x14ac:dyDescent="0.25">
      <c r="A15" s="89"/>
      <c r="B15" s="89"/>
      <c r="C15" s="133"/>
      <c r="D15" s="133"/>
      <c r="E15" s="133"/>
      <c r="F15" s="289"/>
      <c r="G15" s="289"/>
      <c r="H15" s="91"/>
      <c r="I15" s="91"/>
      <c r="J15" s="122"/>
      <c r="K15" s="122"/>
      <c r="L15" s="134"/>
    </row>
    <row r="16" spans="1:14" x14ac:dyDescent="0.25">
      <c r="A16" s="1" t="s">
        <v>38</v>
      </c>
      <c r="B16" s="24" t="s">
        <v>47</v>
      </c>
      <c r="C16" s="248" t="s">
        <v>2</v>
      </c>
      <c r="D16" s="250"/>
      <c r="E16" s="249"/>
      <c r="F16" s="260" t="s">
        <v>0</v>
      </c>
      <c r="G16" s="261"/>
      <c r="H16" s="1" t="s">
        <v>1</v>
      </c>
      <c r="I16" s="1" t="s">
        <v>42</v>
      </c>
      <c r="J16" s="1" t="s">
        <v>41</v>
      </c>
      <c r="K16" s="1" t="s">
        <v>44</v>
      </c>
      <c r="L16" s="1" t="s">
        <v>45</v>
      </c>
      <c r="M16" s="3" t="s">
        <v>176</v>
      </c>
      <c r="N16" s="3" t="s">
        <v>157</v>
      </c>
    </row>
    <row r="17" spans="1:14" x14ac:dyDescent="0.25">
      <c r="A17" s="1">
        <v>1</v>
      </c>
      <c r="B17" s="1" t="s">
        <v>32</v>
      </c>
      <c r="C17" s="4">
        <v>33</v>
      </c>
      <c r="D17" s="65">
        <v>100</v>
      </c>
      <c r="E17" s="65">
        <v>144</v>
      </c>
      <c r="F17" s="248" t="s">
        <v>220</v>
      </c>
      <c r="G17" s="249"/>
      <c r="H17" s="3">
        <v>1</v>
      </c>
      <c r="I17" s="3"/>
      <c r="J17" s="9">
        <f>H17-I17</f>
        <v>1</v>
      </c>
      <c r="K17" s="14"/>
      <c r="L17" s="115"/>
      <c r="M17" s="2"/>
      <c r="N17" s="162">
        <f>M17*J17</f>
        <v>0</v>
      </c>
    </row>
    <row r="18" spans="1:14" x14ac:dyDescent="0.25">
      <c r="M18" s="95" t="s">
        <v>160</v>
      </c>
      <c r="N18" s="161">
        <f>SUM(N17)</f>
        <v>0</v>
      </c>
    </row>
    <row r="20" spans="1:14" x14ac:dyDescent="0.25">
      <c r="M20" s="150" t="s">
        <v>158</v>
      </c>
      <c r="N20" s="163">
        <f>N12+N18</f>
        <v>0</v>
      </c>
    </row>
  </sheetData>
  <mergeCells count="13">
    <mergeCell ref="F17:G17"/>
    <mergeCell ref="A8:B8"/>
    <mergeCell ref="C16:E16"/>
    <mergeCell ref="F16:G16"/>
    <mergeCell ref="F11:G11"/>
    <mergeCell ref="F12:G12"/>
    <mergeCell ref="F13:G13"/>
    <mergeCell ref="F15:G15"/>
    <mergeCell ref="C2:E2"/>
    <mergeCell ref="C3:E5"/>
    <mergeCell ref="C6:E6"/>
    <mergeCell ref="F10:G10"/>
    <mergeCell ref="C10:E10"/>
  </mergeCells>
  <pageMargins left="0.7" right="0.7" top="0.75" bottom="0.75" header="0.3" footer="0.3"/>
  <pageSetup paperSize="9" orientation="portrait" horizontalDpi="4294967294" verticalDpi="0" r:id="rId1"/>
  <drawing r:id="rId2"/>
  <legacyDrawing r:id="rId3"/>
  <oleObjects>
    <mc:AlternateContent xmlns:mc="http://schemas.openxmlformats.org/markup-compatibility/2006">
      <mc:Choice Requires="x14">
        <oleObject progId="PBrush" shapeId="29697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296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N59"/>
  <sheetViews>
    <sheetView topLeftCell="A7" zoomScale="86" zoomScaleNormal="86" workbookViewId="0">
      <selection activeCell="K47" sqref="K47"/>
    </sheetView>
  </sheetViews>
  <sheetFormatPr defaultRowHeight="15" x14ac:dyDescent="0.25"/>
  <cols>
    <col min="1" max="1" width="5.85546875" customWidth="1"/>
    <col min="2" max="2" width="14.28515625" customWidth="1"/>
    <col min="3" max="5" width="6.28515625" customWidth="1"/>
    <col min="6" max="6" width="10.85546875" customWidth="1"/>
    <col min="7" max="7" width="10.140625" customWidth="1"/>
    <col min="11" max="11" width="21.140625" customWidth="1"/>
    <col min="12" max="12" width="18.5703125" customWidth="1"/>
    <col min="13" max="13" width="17.5703125" customWidth="1"/>
    <col min="14" max="14" width="16.5703125" customWidth="1"/>
  </cols>
  <sheetData>
    <row r="1" spans="1:14" x14ac:dyDescent="0.25">
      <c r="H1" s="11" t="s">
        <v>93</v>
      </c>
    </row>
    <row r="2" spans="1:14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3" t="s">
        <v>97</v>
      </c>
      <c r="J2" s="3" t="s">
        <v>98</v>
      </c>
    </row>
    <row r="3" spans="1:14" ht="20.2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4" ht="20.25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20.25" customHeight="1" x14ac:dyDescent="0.25">
      <c r="A5" s="34"/>
      <c r="C5" s="257"/>
      <c r="D5" s="258"/>
      <c r="E5" s="259"/>
      <c r="F5" s="37"/>
      <c r="G5" s="37"/>
      <c r="H5" s="37"/>
      <c r="I5" s="39"/>
      <c r="J5" s="39"/>
    </row>
    <row r="6" spans="1:14" ht="18" x14ac:dyDescent="0.25">
      <c r="A6" s="27"/>
      <c r="B6" s="12"/>
      <c r="C6" s="248"/>
      <c r="D6" s="250"/>
      <c r="E6" s="249"/>
      <c r="F6" s="49"/>
      <c r="G6" s="41"/>
      <c r="H6" s="41"/>
      <c r="I6" s="41"/>
      <c r="J6" s="41"/>
    </row>
    <row r="7" spans="1:14" x14ac:dyDescent="0.25">
      <c r="A7" s="25" t="s">
        <v>47</v>
      </c>
      <c r="B7" s="26"/>
      <c r="C7" t="s">
        <v>174</v>
      </c>
      <c r="F7" s="28"/>
      <c r="G7" s="28"/>
      <c r="H7" s="28"/>
      <c r="I7" s="28"/>
      <c r="J7" s="26"/>
    </row>
    <row r="8" spans="1:14" x14ac:dyDescent="0.25">
      <c r="A8" s="42" t="s">
        <v>63</v>
      </c>
      <c r="B8" s="7"/>
      <c r="C8" s="62" t="s">
        <v>248</v>
      </c>
      <c r="D8" s="62"/>
      <c r="E8" s="62"/>
      <c r="F8" s="11"/>
      <c r="G8" s="11"/>
      <c r="H8" s="11"/>
      <c r="I8" s="11"/>
      <c r="J8" s="54"/>
    </row>
    <row r="9" spans="1:14" x14ac:dyDescent="0.25">
      <c r="A9" s="27" t="s">
        <v>62</v>
      </c>
      <c r="B9" s="37"/>
      <c r="C9" t="s">
        <v>150</v>
      </c>
      <c r="F9" s="12"/>
      <c r="G9" s="12"/>
      <c r="H9" s="12"/>
      <c r="I9" s="12"/>
      <c r="J9" s="37"/>
    </row>
    <row r="10" spans="1:14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1" t="s">
        <v>176</v>
      </c>
      <c r="N10" s="3" t="s">
        <v>157</v>
      </c>
    </row>
    <row r="11" spans="1:14" x14ac:dyDescent="0.25">
      <c r="A11" s="1">
        <v>1</v>
      </c>
      <c r="B11" s="1" t="s">
        <v>72</v>
      </c>
      <c r="C11" s="5">
        <v>55</v>
      </c>
      <c r="D11" s="5">
        <v>100</v>
      </c>
      <c r="E11" s="5">
        <v>247</v>
      </c>
      <c r="F11" s="248" t="s">
        <v>175</v>
      </c>
      <c r="G11" s="249"/>
      <c r="H11" s="3">
        <v>1</v>
      </c>
      <c r="I11" s="9"/>
      <c r="J11" s="3">
        <f t="shared" ref="J11:J46" si="0">H11-I11</f>
        <v>1</v>
      </c>
      <c r="K11" s="9"/>
      <c r="L11" s="21"/>
      <c r="M11" s="78">
        <f t="shared" ref="M11:M58" si="1">(C11*D11*E11)*7.9/1000000*125000</f>
        <v>1341518.75</v>
      </c>
      <c r="N11" s="80">
        <f t="shared" ref="N11:N58" si="2">M11*J11</f>
        <v>1341518.75</v>
      </c>
    </row>
    <row r="12" spans="1:14" x14ac:dyDescent="0.25">
      <c r="A12" s="1">
        <v>2</v>
      </c>
      <c r="B12" s="1" t="s">
        <v>72</v>
      </c>
      <c r="C12" s="5">
        <v>50</v>
      </c>
      <c r="D12" s="5">
        <v>79</v>
      </c>
      <c r="E12" s="5">
        <v>500</v>
      </c>
      <c r="F12" s="248" t="s">
        <v>6</v>
      </c>
      <c r="G12" s="249"/>
      <c r="H12" s="3">
        <v>1</v>
      </c>
      <c r="I12" s="3"/>
      <c r="J12" s="3">
        <f t="shared" ref="J12:J53" si="3">H12-I12</f>
        <v>1</v>
      </c>
      <c r="K12" s="9"/>
      <c r="L12" s="21"/>
      <c r="M12" s="78">
        <f t="shared" si="1"/>
        <v>1950312.5</v>
      </c>
      <c r="N12" s="80">
        <f t="shared" ref="N12:N57" si="4">M12*J12</f>
        <v>1950312.5</v>
      </c>
    </row>
    <row r="13" spans="1:14" x14ac:dyDescent="0.25">
      <c r="A13" s="1">
        <v>3</v>
      </c>
      <c r="B13" s="1" t="s">
        <v>72</v>
      </c>
      <c r="C13" s="5">
        <v>55</v>
      </c>
      <c r="D13" s="5">
        <v>59</v>
      </c>
      <c r="E13" s="5">
        <v>115</v>
      </c>
      <c r="F13" s="248" t="s">
        <v>175</v>
      </c>
      <c r="G13" s="249"/>
      <c r="H13" s="3">
        <v>1</v>
      </c>
      <c r="I13" s="3"/>
      <c r="J13" s="3">
        <f t="shared" si="3"/>
        <v>1</v>
      </c>
      <c r="K13" s="9"/>
      <c r="L13" s="21"/>
      <c r="M13" s="78">
        <f t="shared" si="1"/>
        <v>368510.3125</v>
      </c>
      <c r="N13" s="80">
        <f t="shared" si="4"/>
        <v>368510.3125</v>
      </c>
    </row>
    <row r="14" spans="1:14" x14ac:dyDescent="0.25">
      <c r="A14" s="1">
        <v>4</v>
      </c>
      <c r="B14" s="1" t="s">
        <v>72</v>
      </c>
      <c r="C14" s="5">
        <v>28</v>
      </c>
      <c r="D14" s="5">
        <v>64</v>
      </c>
      <c r="E14" s="5">
        <v>200</v>
      </c>
      <c r="F14" s="248" t="s">
        <v>6</v>
      </c>
      <c r="G14" s="249"/>
      <c r="H14" s="3">
        <v>1</v>
      </c>
      <c r="I14" s="3"/>
      <c r="J14" s="3">
        <f t="shared" si="0"/>
        <v>1</v>
      </c>
      <c r="K14" s="9"/>
      <c r="L14" s="21"/>
      <c r="M14" s="78">
        <f t="shared" si="1"/>
        <v>353920</v>
      </c>
      <c r="N14" s="80">
        <f t="shared" si="2"/>
        <v>353920</v>
      </c>
    </row>
    <row r="15" spans="1:14" x14ac:dyDescent="0.25">
      <c r="A15" s="1">
        <v>5</v>
      </c>
      <c r="B15" s="1" t="s">
        <v>72</v>
      </c>
      <c r="C15" s="5">
        <v>50</v>
      </c>
      <c r="D15" s="5">
        <v>65</v>
      </c>
      <c r="E15" s="5">
        <v>343</v>
      </c>
      <c r="F15" s="248" t="s">
        <v>6</v>
      </c>
      <c r="G15" s="249"/>
      <c r="H15" s="3">
        <v>1</v>
      </c>
      <c r="I15" s="3"/>
      <c r="J15" s="3">
        <f t="shared" si="3"/>
        <v>1</v>
      </c>
      <c r="K15" s="9"/>
      <c r="L15" s="21"/>
      <c r="M15" s="78">
        <f t="shared" si="1"/>
        <v>1100815.625</v>
      </c>
      <c r="N15" s="80">
        <f t="shared" si="4"/>
        <v>1100815.625</v>
      </c>
    </row>
    <row r="16" spans="1:14" x14ac:dyDescent="0.25">
      <c r="A16" s="1">
        <v>6</v>
      </c>
      <c r="B16" s="1" t="s">
        <v>72</v>
      </c>
      <c r="C16" s="5">
        <v>35</v>
      </c>
      <c r="D16" s="5">
        <v>68</v>
      </c>
      <c r="E16" s="5">
        <v>185</v>
      </c>
      <c r="F16" s="248" t="s">
        <v>6</v>
      </c>
      <c r="G16" s="249"/>
      <c r="H16" s="3">
        <v>1</v>
      </c>
      <c r="I16" s="3"/>
      <c r="J16" s="3">
        <f t="shared" si="0"/>
        <v>1</v>
      </c>
      <c r="K16" s="9"/>
      <c r="L16" s="21"/>
      <c r="M16" s="78">
        <f t="shared" si="1"/>
        <v>434796.25</v>
      </c>
      <c r="N16" s="80">
        <f t="shared" si="2"/>
        <v>434796.25</v>
      </c>
    </row>
    <row r="17" spans="1:14" x14ac:dyDescent="0.25">
      <c r="A17" s="1">
        <v>7</v>
      </c>
      <c r="B17" s="1" t="s">
        <v>72</v>
      </c>
      <c r="C17" s="5">
        <v>26</v>
      </c>
      <c r="D17" s="5">
        <v>56</v>
      </c>
      <c r="E17" s="5">
        <v>356</v>
      </c>
      <c r="F17" s="248" t="s">
        <v>175</v>
      </c>
      <c r="G17" s="249"/>
      <c r="H17" s="3">
        <v>1</v>
      </c>
      <c r="I17" s="3"/>
      <c r="J17" s="3">
        <f t="shared" si="3"/>
        <v>1</v>
      </c>
      <c r="K17" s="9"/>
      <c r="L17" s="21"/>
      <c r="M17" s="78">
        <f t="shared" si="1"/>
        <v>511856.8</v>
      </c>
      <c r="N17" s="80">
        <f t="shared" si="4"/>
        <v>511856.8</v>
      </c>
    </row>
    <row r="18" spans="1:14" x14ac:dyDescent="0.25">
      <c r="A18" s="1">
        <v>8</v>
      </c>
      <c r="B18" s="1" t="s">
        <v>72</v>
      </c>
      <c r="C18" s="5">
        <v>26</v>
      </c>
      <c r="D18" s="5">
        <v>45</v>
      </c>
      <c r="E18" s="5">
        <v>340</v>
      </c>
      <c r="F18" s="248" t="s">
        <v>6</v>
      </c>
      <c r="G18" s="249"/>
      <c r="H18" s="3">
        <v>1</v>
      </c>
      <c r="I18" s="3"/>
      <c r="J18" s="3">
        <f t="shared" si="0"/>
        <v>1</v>
      </c>
      <c r="K18" s="9"/>
      <c r="L18" s="21"/>
      <c r="M18" s="78">
        <f t="shared" si="1"/>
        <v>392827.5</v>
      </c>
      <c r="N18" s="80">
        <f t="shared" si="2"/>
        <v>392827.5</v>
      </c>
    </row>
    <row r="19" spans="1:14" x14ac:dyDescent="0.25">
      <c r="A19" s="1">
        <v>9</v>
      </c>
      <c r="B19" s="1" t="s">
        <v>72</v>
      </c>
      <c r="C19" s="5">
        <v>15</v>
      </c>
      <c r="D19" s="5">
        <v>47</v>
      </c>
      <c r="E19" s="5">
        <v>191</v>
      </c>
      <c r="F19" s="248" t="s">
        <v>175</v>
      </c>
      <c r="G19" s="249"/>
      <c r="H19" s="3">
        <v>1</v>
      </c>
      <c r="I19" s="3"/>
      <c r="J19" s="3">
        <f t="shared" si="3"/>
        <v>1</v>
      </c>
      <c r="K19" s="9"/>
      <c r="L19" s="21"/>
      <c r="M19" s="78">
        <f t="shared" si="1"/>
        <v>132971.8125</v>
      </c>
      <c r="N19" s="80">
        <f t="shared" si="4"/>
        <v>132971.8125</v>
      </c>
    </row>
    <row r="20" spans="1:14" x14ac:dyDescent="0.25">
      <c r="A20" s="1">
        <v>10</v>
      </c>
      <c r="B20" s="1" t="s">
        <v>72</v>
      </c>
      <c r="C20" s="5">
        <v>40</v>
      </c>
      <c r="D20" s="5">
        <v>53</v>
      </c>
      <c r="E20" s="5">
        <v>195</v>
      </c>
      <c r="F20" s="248" t="s">
        <v>175</v>
      </c>
      <c r="G20" s="249"/>
      <c r="H20" s="3">
        <v>1</v>
      </c>
      <c r="I20" s="3"/>
      <c r="J20" s="3">
        <f t="shared" si="3"/>
        <v>1</v>
      </c>
      <c r="K20" s="9"/>
      <c r="L20" s="21"/>
      <c r="M20" s="78">
        <f t="shared" si="1"/>
        <v>408232.5</v>
      </c>
      <c r="N20" s="80">
        <f t="shared" si="4"/>
        <v>408232.5</v>
      </c>
    </row>
    <row r="21" spans="1:14" x14ac:dyDescent="0.25">
      <c r="A21" s="1">
        <v>11</v>
      </c>
      <c r="B21" s="1" t="s">
        <v>72</v>
      </c>
      <c r="C21" s="5">
        <v>46</v>
      </c>
      <c r="D21" s="5">
        <v>55</v>
      </c>
      <c r="E21" s="5">
        <v>172</v>
      </c>
      <c r="F21" s="248" t="s">
        <v>175</v>
      </c>
      <c r="G21" s="249"/>
      <c r="H21" s="3">
        <v>1</v>
      </c>
      <c r="I21" s="3"/>
      <c r="J21" s="3">
        <f t="shared" si="0"/>
        <v>1</v>
      </c>
      <c r="K21" s="9"/>
      <c r="L21" s="21"/>
      <c r="M21" s="78">
        <f t="shared" si="1"/>
        <v>429720.5</v>
      </c>
      <c r="N21" s="80">
        <f t="shared" si="2"/>
        <v>429720.5</v>
      </c>
    </row>
    <row r="22" spans="1:14" x14ac:dyDescent="0.25">
      <c r="A22" s="1">
        <v>12</v>
      </c>
      <c r="B22" s="1" t="s">
        <v>72</v>
      </c>
      <c r="C22" s="5">
        <v>22</v>
      </c>
      <c r="D22" s="5">
        <v>51</v>
      </c>
      <c r="E22" s="5">
        <v>211</v>
      </c>
      <c r="F22" s="248" t="s">
        <v>175</v>
      </c>
      <c r="G22" s="249"/>
      <c r="H22" s="3">
        <v>1</v>
      </c>
      <c r="I22" s="3"/>
      <c r="J22" s="3">
        <f t="shared" si="3"/>
        <v>1</v>
      </c>
      <c r="K22" s="9"/>
      <c r="L22" s="21"/>
      <c r="M22" s="78">
        <f t="shared" si="1"/>
        <v>233782.72500000001</v>
      </c>
      <c r="N22" s="80">
        <f t="shared" si="4"/>
        <v>233782.72500000001</v>
      </c>
    </row>
    <row r="23" spans="1:14" x14ac:dyDescent="0.25">
      <c r="A23" s="1">
        <v>13</v>
      </c>
      <c r="B23" s="1" t="s">
        <v>72</v>
      </c>
      <c r="C23" s="5">
        <v>65</v>
      </c>
      <c r="D23" s="5">
        <v>75</v>
      </c>
      <c r="E23" s="5">
        <v>83</v>
      </c>
      <c r="F23" s="248" t="s">
        <v>6</v>
      </c>
      <c r="G23" s="249"/>
      <c r="H23" s="3">
        <v>1</v>
      </c>
      <c r="I23" s="3"/>
      <c r="J23" s="3">
        <f t="shared" si="0"/>
        <v>1</v>
      </c>
      <c r="K23" s="9"/>
      <c r="L23" s="21"/>
      <c r="M23" s="78">
        <f t="shared" si="1"/>
        <v>399567.1875</v>
      </c>
      <c r="N23" s="80">
        <f t="shared" si="2"/>
        <v>399567.1875</v>
      </c>
    </row>
    <row r="24" spans="1:14" x14ac:dyDescent="0.25">
      <c r="A24" s="1">
        <v>14</v>
      </c>
      <c r="B24" s="1" t="s">
        <v>72</v>
      </c>
      <c r="C24" s="5">
        <v>21</v>
      </c>
      <c r="D24" s="5">
        <v>134</v>
      </c>
      <c r="E24" s="5">
        <v>142</v>
      </c>
      <c r="F24" s="248" t="s">
        <v>6</v>
      </c>
      <c r="G24" s="249"/>
      <c r="H24" s="3">
        <v>1</v>
      </c>
      <c r="I24" s="3"/>
      <c r="J24" s="3">
        <f t="shared" si="0"/>
        <v>1</v>
      </c>
      <c r="K24" s="9"/>
      <c r="L24" s="21"/>
      <c r="M24" s="78">
        <f t="shared" si="1"/>
        <v>394593.15</v>
      </c>
      <c r="N24" s="80">
        <f t="shared" si="2"/>
        <v>394593.15</v>
      </c>
    </row>
    <row r="25" spans="1:14" x14ac:dyDescent="0.25">
      <c r="A25" s="1">
        <v>15</v>
      </c>
      <c r="B25" s="1" t="s">
        <v>72</v>
      </c>
      <c r="C25" s="5">
        <v>36</v>
      </c>
      <c r="D25" s="5">
        <v>74</v>
      </c>
      <c r="E25" s="5">
        <v>233</v>
      </c>
      <c r="F25" s="248" t="s">
        <v>6</v>
      </c>
      <c r="G25" s="249"/>
      <c r="H25" s="3">
        <v>1</v>
      </c>
      <c r="I25" s="3"/>
      <c r="J25" s="3">
        <f t="shared" si="3"/>
        <v>1</v>
      </c>
      <c r="K25" s="9"/>
      <c r="L25" s="21"/>
      <c r="M25" s="78">
        <f t="shared" si="1"/>
        <v>612953.1</v>
      </c>
      <c r="N25" s="80">
        <f t="shared" si="4"/>
        <v>612953.1</v>
      </c>
    </row>
    <row r="26" spans="1:14" x14ac:dyDescent="0.25">
      <c r="A26" s="1">
        <v>16</v>
      </c>
      <c r="B26" s="1" t="s">
        <v>72</v>
      </c>
      <c r="C26" s="5">
        <v>42</v>
      </c>
      <c r="D26" s="5">
        <v>60</v>
      </c>
      <c r="E26" s="5">
        <v>160</v>
      </c>
      <c r="F26" s="248" t="s">
        <v>175</v>
      </c>
      <c r="G26" s="249"/>
      <c r="H26" s="3">
        <v>1</v>
      </c>
      <c r="I26" s="3"/>
      <c r="J26" s="3">
        <f t="shared" si="0"/>
        <v>1</v>
      </c>
      <c r="K26" s="9"/>
      <c r="L26" s="21"/>
      <c r="M26" s="78">
        <f t="shared" si="1"/>
        <v>398160</v>
      </c>
      <c r="N26" s="80">
        <f t="shared" si="2"/>
        <v>398160</v>
      </c>
    </row>
    <row r="27" spans="1:14" x14ac:dyDescent="0.25">
      <c r="A27" s="1">
        <v>17</v>
      </c>
      <c r="B27" s="1" t="s">
        <v>72</v>
      </c>
      <c r="C27" s="5">
        <v>65</v>
      </c>
      <c r="D27" s="5">
        <v>65</v>
      </c>
      <c r="E27" s="5">
        <v>125</v>
      </c>
      <c r="F27" s="248" t="s">
        <v>175</v>
      </c>
      <c r="G27" s="249"/>
      <c r="H27" s="3">
        <v>1</v>
      </c>
      <c r="I27" s="3"/>
      <c r="J27" s="3">
        <f t="shared" si="3"/>
        <v>1</v>
      </c>
      <c r="K27" s="9"/>
      <c r="L27" s="21"/>
      <c r="M27" s="78">
        <f t="shared" si="1"/>
        <v>521523.43749999994</v>
      </c>
      <c r="N27" s="80">
        <f t="shared" si="4"/>
        <v>521523.43749999994</v>
      </c>
    </row>
    <row r="28" spans="1:14" x14ac:dyDescent="0.25">
      <c r="A28" s="1">
        <v>18</v>
      </c>
      <c r="B28" s="1" t="s">
        <v>72</v>
      </c>
      <c r="C28" s="5">
        <v>37</v>
      </c>
      <c r="D28" s="5">
        <v>43</v>
      </c>
      <c r="E28" s="5">
        <v>157</v>
      </c>
      <c r="F28" s="248" t="s">
        <v>175</v>
      </c>
      <c r="G28" s="249"/>
      <c r="H28" s="3">
        <v>1</v>
      </c>
      <c r="I28" s="3"/>
      <c r="J28" s="3">
        <f t="shared" si="0"/>
        <v>1</v>
      </c>
      <c r="K28" s="9"/>
      <c r="L28" s="21"/>
      <c r="M28" s="78">
        <f t="shared" si="1"/>
        <v>246664.66250000001</v>
      </c>
      <c r="N28" s="80">
        <f t="shared" si="2"/>
        <v>246664.66250000001</v>
      </c>
    </row>
    <row r="29" spans="1:14" ht="45" x14ac:dyDescent="0.25">
      <c r="A29" s="240">
        <v>19</v>
      </c>
      <c r="B29" s="240" t="s">
        <v>72</v>
      </c>
      <c r="C29" s="5">
        <v>27</v>
      </c>
      <c r="D29" s="5">
        <v>101</v>
      </c>
      <c r="E29" s="5">
        <v>115</v>
      </c>
      <c r="F29" s="248" t="s">
        <v>175</v>
      </c>
      <c r="G29" s="249"/>
      <c r="H29" s="3">
        <v>1</v>
      </c>
      <c r="I29" s="3">
        <v>1</v>
      </c>
      <c r="J29" s="3">
        <f t="shared" si="3"/>
        <v>0</v>
      </c>
      <c r="K29" s="83" t="s">
        <v>250</v>
      </c>
      <c r="L29" s="21"/>
      <c r="M29" s="141">
        <f t="shared" si="1"/>
        <v>309684.9375</v>
      </c>
      <c r="N29" s="159">
        <f t="shared" si="4"/>
        <v>0</v>
      </c>
    </row>
    <row r="30" spans="1:14" x14ac:dyDescent="0.25">
      <c r="A30" s="1">
        <v>20</v>
      </c>
      <c r="B30" s="1" t="s">
        <v>72</v>
      </c>
      <c r="C30" s="5">
        <v>57</v>
      </c>
      <c r="D30" s="5">
        <v>61</v>
      </c>
      <c r="E30" s="5">
        <v>193</v>
      </c>
      <c r="F30" s="248" t="s">
        <v>175</v>
      </c>
      <c r="G30" s="249"/>
      <c r="H30" s="3">
        <v>1</v>
      </c>
      <c r="I30" s="3"/>
      <c r="J30" s="3">
        <f t="shared" si="0"/>
        <v>1</v>
      </c>
      <c r="K30" s="9"/>
      <c r="L30" s="21"/>
      <c r="M30" s="78">
        <f t="shared" si="1"/>
        <v>662672.73750000005</v>
      </c>
      <c r="N30" s="80">
        <f t="shared" si="2"/>
        <v>662672.73750000005</v>
      </c>
    </row>
    <row r="31" spans="1:14" x14ac:dyDescent="0.25">
      <c r="A31" s="1">
        <v>21</v>
      </c>
      <c r="B31" s="1" t="s">
        <v>72</v>
      </c>
      <c r="C31" s="5">
        <v>14</v>
      </c>
      <c r="D31" s="5">
        <v>80</v>
      </c>
      <c r="E31" s="5">
        <v>192</v>
      </c>
      <c r="F31" s="248" t="s">
        <v>175</v>
      </c>
      <c r="G31" s="249"/>
      <c r="H31" s="3">
        <v>1</v>
      </c>
      <c r="I31" s="3"/>
      <c r="J31" s="3">
        <f t="shared" si="3"/>
        <v>1</v>
      </c>
      <c r="K31" s="9"/>
      <c r="L31" s="21"/>
      <c r="M31" s="78">
        <f t="shared" si="1"/>
        <v>212352</v>
      </c>
      <c r="N31" s="80">
        <f t="shared" si="4"/>
        <v>212352</v>
      </c>
    </row>
    <row r="32" spans="1:14" x14ac:dyDescent="0.25">
      <c r="A32" s="1">
        <v>22</v>
      </c>
      <c r="B32" s="1" t="s">
        <v>72</v>
      </c>
      <c r="C32" s="5">
        <v>19</v>
      </c>
      <c r="D32" s="5">
        <v>55</v>
      </c>
      <c r="E32" s="5">
        <v>297</v>
      </c>
      <c r="F32" s="248" t="s">
        <v>175</v>
      </c>
      <c r="G32" s="249"/>
      <c r="H32" s="3">
        <v>1</v>
      </c>
      <c r="I32" s="3"/>
      <c r="J32" s="3">
        <f t="shared" si="0"/>
        <v>1</v>
      </c>
      <c r="K32" s="9"/>
      <c r="L32" s="21"/>
      <c r="M32" s="78">
        <f t="shared" si="1"/>
        <v>306485.4375</v>
      </c>
      <c r="N32" s="80">
        <f t="shared" si="2"/>
        <v>306485.4375</v>
      </c>
    </row>
    <row r="33" spans="1:14" x14ac:dyDescent="0.25">
      <c r="A33" s="1">
        <v>23</v>
      </c>
      <c r="B33" s="1" t="s">
        <v>72</v>
      </c>
      <c r="C33" s="5">
        <v>18</v>
      </c>
      <c r="D33" s="5">
        <v>46</v>
      </c>
      <c r="E33" s="5">
        <v>183</v>
      </c>
      <c r="F33" s="248" t="s">
        <v>175</v>
      </c>
      <c r="G33" s="249"/>
      <c r="H33" s="3">
        <v>1</v>
      </c>
      <c r="I33" s="3"/>
      <c r="J33" s="3">
        <f t="shared" si="3"/>
        <v>1</v>
      </c>
      <c r="K33" s="9"/>
      <c r="L33" s="21"/>
      <c r="M33" s="78">
        <f t="shared" si="1"/>
        <v>149629.95000000001</v>
      </c>
      <c r="N33" s="80">
        <f t="shared" si="4"/>
        <v>149629.95000000001</v>
      </c>
    </row>
    <row r="34" spans="1:14" x14ac:dyDescent="0.25">
      <c r="A34" s="1">
        <v>24</v>
      </c>
      <c r="B34" s="1" t="s">
        <v>72</v>
      </c>
      <c r="C34" s="5">
        <v>20</v>
      </c>
      <c r="D34" s="5">
        <v>33</v>
      </c>
      <c r="E34" s="5">
        <v>157</v>
      </c>
      <c r="F34" s="248" t="s">
        <v>175</v>
      </c>
      <c r="G34" s="249"/>
      <c r="H34" s="3">
        <v>1</v>
      </c>
      <c r="I34" s="3"/>
      <c r="J34" s="3">
        <f t="shared" si="0"/>
        <v>1</v>
      </c>
      <c r="K34" s="9"/>
      <c r="L34" s="21"/>
      <c r="M34" s="78">
        <f t="shared" si="1"/>
        <v>102324.75</v>
      </c>
      <c r="N34" s="80">
        <f t="shared" si="2"/>
        <v>102324.75</v>
      </c>
    </row>
    <row r="35" spans="1:14" x14ac:dyDescent="0.25">
      <c r="A35" s="1">
        <v>25</v>
      </c>
      <c r="B35" s="1" t="s">
        <v>72</v>
      </c>
      <c r="C35" s="5">
        <v>25</v>
      </c>
      <c r="D35" s="5">
        <v>50</v>
      </c>
      <c r="E35" s="5">
        <v>175</v>
      </c>
      <c r="F35" s="248" t="s">
        <v>175</v>
      </c>
      <c r="G35" s="249"/>
      <c r="H35" s="3">
        <v>1</v>
      </c>
      <c r="I35" s="3"/>
      <c r="J35" s="3">
        <f t="shared" si="0"/>
        <v>1</v>
      </c>
      <c r="K35" s="9"/>
      <c r="L35" s="21"/>
      <c r="M35" s="78">
        <f t="shared" si="1"/>
        <v>216015.625</v>
      </c>
      <c r="N35" s="80">
        <f t="shared" si="2"/>
        <v>216015.625</v>
      </c>
    </row>
    <row r="36" spans="1:14" x14ac:dyDescent="0.25">
      <c r="A36" s="1">
        <v>26</v>
      </c>
      <c r="B36" s="1" t="s">
        <v>72</v>
      </c>
      <c r="C36" s="5">
        <v>65</v>
      </c>
      <c r="D36" s="5">
        <v>65</v>
      </c>
      <c r="E36" s="5">
        <v>125</v>
      </c>
      <c r="F36" s="248" t="s">
        <v>175</v>
      </c>
      <c r="G36" s="249"/>
      <c r="H36" s="3">
        <v>1</v>
      </c>
      <c r="I36" s="3"/>
      <c r="J36" s="3">
        <f t="shared" si="0"/>
        <v>1</v>
      </c>
      <c r="K36" s="9"/>
      <c r="L36" s="21"/>
      <c r="M36" s="78">
        <f t="shared" si="1"/>
        <v>521523.43749999994</v>
      </c>
      <c r="N36" s="80">
        <f t="shared" si="2"/>
        <v>521523.43749999994</v>
      </c>
    </row>
    <row r="37" spans="1:14" x14ac:dyDescent="0.25">
      <c r="A37" s="1">
        <v>27</v>
      </c>
      <c r="B37" s="1" t="s">
        <v>72</v>
      </c>
      <c r="C37" s="5">
        <v>22</v>
      </c>
      <c r="D37" s="5">
        <v>86</v>
      </c>
      <c r="E37" s="5">
        <v>98</v>
      </c>
      <c r="F37" s="248" t="s">
        <v>6</v>
      </c>
      <c r="G37" s="249"/>
      <c r="H37" s="3">
        <v>1</v>
      </c>
      <c r="I37" s="3"/>
      <c r="J37" s="3">
        <f t="shared" si="3"/>
        <v>1</v>
      </c>
      <c r="K37" s="9"/>
      <c r="L37" s="21"/>
      <c r="M37" s="78">
        <f t="shared" si="1"/>
        <v>183098.30000000002</v>
      </c>
      <c r="N37" s="80">
        <f t="shared" si="4"/>
        <v>183098.30000000002</v>
      </c>
    </row>
    <row r="38" spans="1:14" x14ac:dyDescent="0.25">
      <c r="A38" s="1">
        <v>28</v>
      </c>
      <c r="B38" s="1" t="s">
        <v>72</v>
      </c>
      <c r="C38" s="5">
        <v>39</v>
      </c>
      <c r="D38" s="5">
        <v>50</v>
      </c>
      <c r="E38" s="5">
        <v>120</v>
      </c>
      <c r="F38" s="248" t="s">
        <v>175</v>
      </c>
      <c r="G38" s="249"/>
      <c r="H38" s="3">
        <v>1</v>
      </c>
      <c r="I38" s="3"/>
      <c r="J38" s="3">
        <f t="shared" si="0"/>
        <v>1</v>
      </c>
      <c r="K38" s="9"/>
      <c r="L38" s="21"/>
      <c r="M38" s="78">
        <f t="shared" si="1"/>
        <v>231075</v>
      </c>
      <c r="N38" s="80">
        <f t="shared" si="2"/>
        <v>231075</v>
      </c>
    </row>
    <row r="39" spans="1:14" x14ac:dyDescent="0.25">
      <c r="A39" s="1">
        <v>29</v>
      </c>
      <c r="B39" s="1" t="s">
        <v>72</v>
      </c>
      <c r="C39" s="5">
        <v>40</v>
      </c>
      <c r="D39" s="5">
        <v>56</v>
      </c>
      <c r="E39" s="5">
        <v>95</v>
      </c>
      <c r="F39" s="248" t="s">
        <v>6</v>
      </c>
      <c r="G39" s="249"/>
      <c r="H39" s="3">
        <v>1</v>
      </c>
      <c r="I39" s="3"/>
      <c r="J39" s="3">
        <f t="shared" si="3"/>
        <v>1</v>
      </c>
      <c r="K39" s="9"/>
      <c r="L39" s="21"/>
      <c r="M39" s="78">
        <f t="shared" si="1"/>
        <v>210140</v>
      </c>
      <c r="N39" s="80">
        <f t="shared" si="4"/>
        <v>210140</v>
      </c>
    </row>
    <row r="40" spans="1:14" x14ac:dyDescent="0.25">
      <c r="A40" s="1">
        <v>30</v>
      </c>
      <c r="B40" s="1" t="s">
        <v>72</v>
      </c>
      <c r="C40" s="5">
        <v>42</v>
      </c>
      <c r="D40" s="5">
        <v>60</v>
      </c>
      <c r="E40" s="5">
        <v>150</v>
      </c>
      <c r="F40" s="248" t="s">
        <v>175</v>
      </c>
      <c r="G40" s="249"/>
      <c r="H40" s="3">
        <v>1</v>
      </c>
      <c r="I40" s="3"/>
      <c r="J40" s="3">
        <f t="shared" si="0"/>
        <v>1</v>
      </c>
      <c r="K40" s="9"/>
      <c r="L40" s="21"/>
      <c r="M40" s="78">
        <f t="shared" si="1"/>
        <v>373275</v>
      </c>
      <c r="N40" s="80">
        <f t="shared" si="2"/>
        <v>373275</v>
      </c>
    </row>
    <row r="41" spans="1:14" x14ac:dyDescent="0.25">
      <c r="A41" s="1">
        <v>31</v>
      </c>
      <c r="B41" s="1" t="s">
        <v>72</v>
      </c>
      <c r="C41" s="5">
        <v>45</v>
      </c>
      <c r="D41" s="5">
        <v>50</v>
      </c>
      <c r="E41" s="5">
        <v>75</v>
      </c>
      <c r="F41" s="248" t="s">
        <v>175</v>
      </c>
      <c r="G41" s="249"/>
      <c r="H41" s="3">
        <v>1</v>
      </c>
      <c r="I41" s="3"/>
      <c r="J41" s="3">
        <f t="shared" si="0"/>
        <v>1</v>
      </c>
      <c r="K41" s="9"/>
      <c r="L41" s="21"/>
      <c r="M41" s="78">
        <f t="shared" si="1"/>
        <v>166640.625</v>
      </c>
      <c r="N41" s="80">
        <f t="shared" si="2"/>
        <v>166640.625</v>
      </c>
    </row>
    <row r="42" spans="1:14" x14ac:dyDescent="0.25">
      <c r="A42" s="1">
        <v>32</v>
      </c>
      <c r="B42" s="1" t="s">
        <v>72</v>
      </c>
      <c r="C42" s="5">
        <v>30</v>
      </c>
      <c r="D42" s="5">
        <v>45</v>
      </c>
      <c r="E42" s="5">
        <v>252</v>
      </c>
      <c r="F42" s="248" t="s">
        <v>175</v>
      </c>
      <c r="G42" s="249"/>
      <c r="H42" s="3">
        <v>1</v>
      </c>
      <c r="I42" s="3"/>
      <c r="J42" s="3">
        <f t="shared" si="3"/>
        <v>1</v>
      </c>
      <c r="K42" s="9"/>
      <c r="L42" s="21"/>
      <c r="M42" s="78">
        <f t="shared" si="1"/>
        <v>335947.5</v>
      </c>
      <c r="N42" s="80">
        <f t="shared" si="4"/>
        <v>335947.5</v>
      </c>
    </row>
    <row r="43" spans="1:14" x14ac:dyDescent="0.25">
      <c r="A43" s="1">
        <v>33</v>
      </c>
      <c r="B43" s="1" t="s">
        <v>72</v>
      </c>
      <c r="C43" s="5">
        <v>40</v>
      </c>
      <c r="D43" s="5">
        <v>57</v>
      </c>
      <c r="E43" s="5">
        <v>250</v>
      </c>
      <c r="F43" s="248" t="s">
        <v>175</v>
      </c>
      <c r="G43" s="249"/>
      <c r="H43" s="3">
        <v>1</v>
      </c>
      <c r="I43" s="3"/>
      <c r="J43" s="3">
        <f t="shared" si="3"/>
        <v>1</v>
      </c>
      <c r="K43" s="9"/>
      <c r="L43" s="21"/>
      <c r="M43" s="78">
        <f t="shared" si="1"/>
        <v>562875</v>
      </c>
      <c r="N43" s="80">
        <f t="shared" si="4"/>
        <v>562875</v>
      </c>
    </row>
    <row r="44" spans="1:14" x14ac:dyDescent="0.25">
      <c r="A44" s="1">
        <v>34</v>
      </c>
      <c r="B44" s="1" t="s">
        <v>72</v>
      </c>
      <c r="C44" s="5">
        <v>56</v>
      </c>
      <c r="D44" s="5">
        <v>58</v>
      </c>
      <c r="E44" s="5">
        <v>95</v>
      </c>
      <c r="F44" s="248" t="s">
        <v>175</v>
      </c>
      <c r="G44" s="249"/>
      <c r="H44" s="3">
        <v>1</v>
      </c>
      <c r="I44" s="3"/>
      <c r="J44" s="3">
        <f t="shared" si="0"/>
        <v>1</v>
      </c>
      <c r="K44" s="9"/>
      <c r="L44" s="21"/>
      <c r="M44" s="78">
        <f t="shared" si="1"/>
        <v>304703</v>
      </c>
      <c r="N44" s="80">
        <f t="shared" si="2"/>
        <v>304703</v>
      </c>
    </row>
    <row r="45" spans="1:14" x14ac:dyDescent="0.25">
      <c r="A45" s="1">
        <v>35</v>
      </c>
      <c r="B45" s="1" t="s">
        <v>72</v>
      </c>
      <c r="C45" s="5">
        <v>45</v>
      </c>
      <c r="D45" s="5">
        <v>65</v>
      </c>
      <c r="E45" s="5">
        <v>73</v>
      </c>
      <c r="F45" s="248" t="s">
        <v>175</v>
      </c>
      <c r="G45" s="249"/>
      <c r="H45" s="3">
        <v>1</v>
      </c>
      <c r="I45" s="3"/>
      <c r="J45" s="3">
        <f t="shared" si="3"/>
        <v>1</v>
      </c>
      <c r="K45" s="9"/>
      <c r="L45" s="21"/>
      <c r="M45" s="78">
        <f t="shared" si="1"/>
        <v>210855.9375</v>
      </c>
      <c r="N45" s="80">
        <f t="shared" si="4"/>
        <v>210855.9375</v>
      </c>
    </row>
    <row r="46" spans="1:14" x14ac:dyDescent="0.25">
      <c r="A46" s="1">
        <v>36</v>
      </c>
      <c r="B46" s="1" t="s">
        <v>72</v>
      </c>
      <c r="C46" s="5">
        <v>125</v>
      </c>
      <c r="D46" s="5">
        <v>60</v>
      </c>
      <c r="E46" s="5">
        <v>25</v>
      </c>
      <c r="F46" s="248" t="s">
        <v>131</v>
      </c>
      <c r="G46" s="249"/>
      <c r="H46" s="3">
        <v>5</v>
      </c>
      <c r="I46" s="3"/>
      <c r="J46" s="3">
        <f t="shared" si="0"/>
        <v>5</v>
      </c>
      <c r="K46" s="9"/>
      <c r="L46" s="21"/>
      <c r="M46" s="78">
        <f t="shared" si="1"/>
        <v>185156.25</v>
      </c>
      <c r="N46" s="80">
        <f t="shared" si="2"/>
        <v>925781.25</v>
      </c>
    </row>
    <row r="47" spans="1:14" x14ac:dyDescent="0.25">
      <c r="A47" s="1">
        <v>37</v>
      </c>
      <c r="B47" s="1" t="s">
        <v>72</v>
      </c>
      <c r="C47" s="5">
        <v>50.5</v>
      </c>
      <c r="D47" s="5">
        <v>110</v>
      </c>
      <c r="E47" s="5">
        <v>185</v>
      </c>
      <c r="F47" s="248" t="s">
        <v>130</v>
      </c>
      <c r="G47" s="249"/>
      <c r="H47" s="3">
        <v>1</v>
      </c>
      <c r="I47" s="3">
        <v>1</v>
      </c>
      <c r="J47" s="3">
        <f t="shared" si="3"/>
        <v>0</v>
      </c>
      <c r="K47" s="16" t="s">
        <v>260</v>
      </c>
      <c r="L47" s="21">
        <v>45346</v>
      </c>
      <c r="M47" s="78">
        <f t="shared" si="1"/>
        <v>1014829.0625</v>
      </c>
      <c r="N47" s="80">
        <f t="shared" si="4"/>
        <v>0</v>
      </c>
    </row>
    <row r="48" spans="1:14" x14ac:dyDescent="0.25">
      <c r="A48" s="1">
        <v>38</v>
      </c>
      <c r="B48" s="1" t="s">
        <v>72</v>
      </c>
      <c r="C48" s="5">
        <v>42</v>
      </c>
      <c r="D48" s="5">
        <v>107</v>
      </c>
      <c r="E48" s="5">
        <v>279</v>
      </c>
      <c r="F48" s="248" t="s">
        <v>6</v>
      </c>
      <c r="G48" s="249"/>
      <c r="H48" s="3">
        <v>1</v>
      </c>
      <c r="I48" s="3"/>
      <c r="J48" s="3">
        <f t="shared" si="3"/>
        <v>1</v>
      </c>
      <c r="K48" s="9"/>
      <c r="L48" s="21"/>
      <c r="M48" s="78">
        <f t="shared" si="1"/>
        <v>1238153.175</v>
      </c>
      <c r="N48" s="80">
        <f t="shared" si="2"/>
        <v>1238153.175</v>
      </c>
    </row>
    <row r="49" spans="1:14" x14ac:dyDescent="0.25">
      <c r="A49" s="1">
        <v>39</v>
      </c>
      <c r="B49" s="1" t="s">
        <v>72</v>
      </c>
      <c r="C49" s="5">
        <v>45</v>
      </c>
      <c r="D49" s="5">
        <v>70</v>
      </c>
      <c r="E49" s="5">
        <v>73</v>
      </c>
      <c r="F49" s="248" t="s">
        <v>6</v>
      </c>
      <c r="G49" s="249"/>
      <c r="H49" s="236">
        <v>1</v>
      </c>
      <c r="I49" s="236"/>
      <c r="J49" s="236">
        <f t="shared" si="3"/>
        <v>1</v>
      </c>
      <c r="K49" s="9"/>
      <c r="L49" s="21"/>
      <c r="M49" s="78">
        <f t="shared" si="1"/>
        <v>227075.625</v>
      </c>
      <c r="N49" s="80">
        <f t="shared" si="4"/>
        <v>227075.625</v>
      </c>
    </row>
    <row r="50" spans="1:14" x14ac:dyDescent="0.25">
      <c r="A50" s="1">
        <v>40</v>
      </c>
      <c r="B50" s="1" t="s">
        <v>72</v>
      </c>
      <c r="C50" s="5">
        <v>46</v>
      </c>
      <c r="D50" s="5">
        <v>53</v>
      </c>
      <c r="E50" s="5">
        <v>64</v>
      </c>
      <c r="F50" s="248" t="s">
        <v>6</v>
      </c>
      <c r="G50" s="249"/>
      <c r="H50" s="236">
        <v>1</v>
      </c>
      <c r="I50" s="236"/>
      <c r="J50" s="236">
        <f t="shared" si="3"/>
        <v>1</v>
      </c>
      <c r="K50" s="9"/>
      <c r="L50" s="21"/>
      <c r="M50" s="78">
        <f t="shared" si="1"/>
        <v>154081.60000000001</v>
      </c>
      <c r="N50" s="80">
        <f t="shared" si="2"/>
        <v>154081.60000000001</v>
      </c>
    </row>
    <row r="51" spans="1:14" x14ac:dyDescent="0.25">
      <c r="A51" s="1">
        <v>41</v>
      </c>
      <c r="B51" s="1" t="s">
        <v>72</v>
      </c>
      <c r="C51" s="5">
        <v>19</v>
      </c>
      <c r="D51" s="5">
        <v>38</v>
      </c>
      <c r="E51" s="5">
        <v>108</v>
      </c>
      <c r="F51" s="248" t="s">
        <v>6</v>
      </c>
      <c r="G51" s="249"/>
      <c r="H51" s="236">
        <v>1</v>
      </c>
      <c r="I51" s="236"/>
      <c r="J51" s="236">
        <f t="shared" si="3"/>
        <v>1</v>
      </c>
      <c r="K51" s="9"/>
      <c r="L51" s="21"/>
      <c r="M51" s="78">
        <f t="shared" si="1"/>
        <v>77001.3</v>
      </c>
      <c r="N51" s="80">
        <f t="shared" si="4"/>
        <v>77001.3</v>
      </c>
    </row>
    <row r="52" spans="1:14" ht="30" x14ac:dyDescent="0.25">
      <c r="A52" s="240">
        <v>42</v>
      </c>
      <c r="B52" s="9" t="s">
        <v>72</v>
      </c>
      <c r="C52" s="5">
        <v>23</v>
      </c>
      <c r="D52" s="5">
        <v>63</v>
      </c>
      <c r="E52" s="5">
        <v>180</v>
      </c>
      <c r="F52" s="248" t="s">
        <v>6</v>
      </c>
      <c r="G52" s="249"/>
      <c r="H52" s="236">
        <v>1</v>
      </c>
      <c r="I52" s="236">
        <v>1</v>
      </c>
      <c r="J52" s="236">
        <f t="shared" si="3"/>
        <v>0</v>
      </c>
      <c r="K52" s="83" t="s">
        <v>251</v>
      </c>
      <c r="L52" s="21">
        <v>45328</v>
      </c>
      <c r="M52" s="157">
        <f t="shared" si="1"/>
        <v>257559.74999999997</v>
      </c>
      <c r="N52" s="158">
        <f t="shared" si="2"/>
        <v>0</v>
      </c>
    </row>
    <row r="53" spans="1:14" x14ac:dyDescent="0.25">
      <c r="A53" s="1">
        <v>43</v>
      </c>
      <c r="B53" s="1" t="s">
        <v>72</v>
      </c>
      <c r="C53" s="5">
        <v>42</v>
      </c>
      <c r="D53" s="5">
        <v>115</v>
      </c>
      <c r="E53" s="5">
        <v>95</v>
      </c>
      <c r="F53" s="248" t="s">
        <v>6</v>
      </c>
      <c r="G53" s="249"/>
      <c r="H53" s="236">
        <v>1</v>
      </c>
      <c r="I53" s="236"/>
      <c r="J53" s="236">
        <f t="shared" si="3"/>
        <v>1</v>
      </c>
      <c r="K53" s="9"/>
      <c r="L53" s="21"/>
      <c r="M53" s="78">
        <f t="shared" si="1"/>
        <v>453114.375</v>
      </c>
      <c r="N53" s="80">
        <f t="shared" si="4"/>
        <v>453114.375</v>
      </c>
    </row>
    <row r="54" spans="1:14" x14ac:dyDescent="0.25">
      <c r="A54" s="1">
        <v>44</v>
      </c>
      <c r="B54" s="1" t="s">
        <v>72</v>
      </c>
      <c r="C54" s="5"/>
      <c r="D54" s="5"/>
      <c r="E54" s="5"/>
      <c r="F54" s="248"/>
      <c r="G54" s="249"/>
      <c r="H54" s="236"/>
      <c r="I54" s="236"/>
      <c r="J54" s="236"/>
      <c r="K54" s="9"/>
      <c r="L54" s="21"/>
      <c r="M54" s="78">
        <f t="shared" si="1"/>
        <v>0</v>
      </c>
      <c r="N54" s="80">
        <f t="shared" si="2"/>
        <v>0</v>
      </c>
    </row>
    <row r="55" spans="1:14" x14ac:dyDescent="0.25">
      <c r="A55" s="1"/>
      <c r="B55" s="1"/>
      <c r="C55" s="5"/>
      <c r="D55" s="5"/>
      <c r="E55" s="5"/>
      <c r="F55" s="248"/>
      <c r="G55" s="249"/>
      <c r="H55" s="236"/>
      <c r="I55" s="236"/>
      <c r="J55" s="236"/>
      <c r="K55" s="9"/>
      <c r="L55" s="21"/>
      <c r="M55" s="78">
        <f t="shared" si="1"/>
        <v>0</v>
      </c>
      <c r="N55" s="80">
        <f t="shared" si="4"/>
        <v>0</v>
      </c>
    </row>
    <row r="56" spans="1:14" x14ac:dyDescent="0.25">
      <c r="A56" s="1"/>
      <c r="B56" s="1"/>
      <c r="C56" s="5"/>
      <c r="D56" s="5"/>
      <c r="E56" s="5"/>
      <c r="F56" s="248"/>
      <c r="G56" s="249"/>
      <c r="H56" s="236"/>
      <c r="I56" s="236"/>
      <c r="J56" s="236"/>
      <c r="K56" s="9"/>
      <c r="L56" s="21"/>
      <c r="M56" s="78">
        <f t="shared" si="1"/>
        <v>0</v>
      </c>
      <c r="N56" s="80">
        <f t="shared" si="2"/>
        <v>0</v>
      </c>
    </row>
    <row r="57" spans="1:14" x14ac:dyDescent="0.25">
      <c r="A57" s="1"/>
      <c r="B57" s="1"/>
      <c r="C57" s="5"/>
      <c r="D57" s="5"/>
      <c r="E57" s="5"/>
      <c r="F57" s="248"/>
      <c r="G57" s="249"/>
      <c r="H57" s="236"/>
      <c r="I57" s="236"/>
      <c r="J57" s="236"/>
      <c r="K57" s="9"/>
      <c r="L57" s="21"/>
      <c r="M57" s="78">
        <f t="shared" si="1"/>
        <v>0</v>
      </c>
      <c r="N57" s="80">
        <f t="shared" si="4"/>
        <v>0</v>
      </c>
    </row>
    <row r="58" spans="1:14" x14ac:dyDescent="0.25">
      <c r="A58" s="1"/>
      <c r="B58" s="1"/>
      <c r="C58" s="5"/>
      <c r="D58" s="5"/>
      <c r="E58" s="5"/>
      <c r="F58" s="248"/>
      <c r="G58" s="249"/>
      <c r="H58" s="236"/>
      <c r="I58" s="236"/>
      <c r="J58" s="236"/>
      <c r="K58" s="9"/>
      <c r="L58" s="21"/>
      <c r="M58" s="78">
        <f t="shared" si="1"/>
        <v>0</v>
      </c>
      <c r="N58" s="80">
        <f t="shared" si="2"/>
        <v>0</v>
      </c>
    </row>
    <row r="59" spans="1:14" x14ac:dyDescent="0.25">
      <c r="K59" s="13"/>
      <c r="M59" s="95" t="s">
        <v>158</v>
      </c>
      <c r="N59" s="81">
        <f>SUM(N11:N58)</f>
        <v>18057548.4375</v>
      </c>
    </row>
  </sheetData>
  <autoFilter ref="C1:E59"/>
  <mergeCells count="53">
    <mergeCell ref="F44:G44"/>
    <mergeCell ref="F47:G47"/>
    <mergeCell ref="F40:G40"/>
    <mergeCell ref="F41:G41"/>
    <mergeCell ref="F42:G42"/>
    <mergeCell ref="F46:G46"/>
    <mergeCell ref="F45:G45"/>
    <mergeCell ref="F36:G36"/>
    <mergeCell ref="F37:G37"/>
    <mergeCell ref="F38:G38"/>
    <mergeCell ref="F39:G39"/>
    <mergeCell ref="F43:G43"/>
    <mergeCell ref="F33:G33"/>
    <mergeCell ref="F34:G34"/>
    <mergeCell ref="F35:G35"/>
    <mergeCell ref="F30:G30"/>
    <mergeCell ref="F31:G31"/>
    <mergeCell ref="F26:G26"/>
    <mergeCell ref="F27:G27"/>
    <mergeCell ref="F28:G28"/>
    <mergeCell ref="F29:G29"/>
    <mergeCell ref="F32:G32"/>
    <mergeCell ref="F22:G22"/>
    <mergeCell ref="F23:G23"/>
    <mergeCell ref="F24:G24"/>
    <mergeCell ref="F25:G25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2:E2"/>
    <mergeCell ref="C3:E5"/>
    <mergeCell ref="C6:E6"/>
    <mergeCell ref="C10:E10"/>
    <mergeCell ref="F10:G10"/>
    <mergeCell ref="F48:G48"/>
    <mergeCell ref="F49:G49"/>
    <mergeCell ref="F50:G50"/>
    <mergeCell ref="F51:G51"/>
    <mergeCell ref="F52:G52"/>
    <mergeCell ref="F58:G58"/>
    <mergeCell ref="F53:G53"/>
    <mergeCell ref="F54:G54"/>
    <mergeCell ref="F55:G55"/>
    <mergeCell ref="F56:G56"/>
    <mergeCell ref="F57:G57"/>
  </mergeCells>
  <pageMargins left="0.7" right="0.7" top="0.75" bottom="0.75" header="0.3" footer="0.3"/>
  <pageSetup paperSize="9" orientation="portrait" horizontalDpi="4294967294" verticalDpi="0" r:id="rId1"/>
  <drawing r:id="rId2"/>
  <legacyDrawing r:id="rId3"/>
  <oleObjects>
    <mc:AlternateContent xmlns:mc="http://schemas.openxmlformats.org/markup-compatibility/2006">
      <mc:Choice Requires="x14">
        <oleObject progId="PBrush" shapeId="77825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PBrush" shapeId="77825" r:id="rId4"/>
      </mc:Fallback>
    </mc:AlternateContent>
    <mc:AlternateContent xmlns:mc="http://schemas.openxmlformats.org/markup-compatibility/2006">
      <mc:Choice Requires="x14">
        <oleObject progId="PBrush" shapeId="77829" r:id="rId6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77829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104"/>
  <sheetViews>
    <sheetView zoomScale="87" zoomScaleNormal="87" workbookViewId="0">
      <pane ySplit="10" topLeftCell="A71" activePane="bottomLeft" state="frozen"/>
      <selection activeCell="C99" sqref="C99"/>
      <selection pane="bottomLeft" activeCell="A81" sqref="A81"/>
    </sheetView>
  </sheetViews>
  <sheetFormatPr defaultRowHeight="15" x14ac:dyDescent="0.25"/>
  <cols>
    <col min="1" max="1" width="4.140625" style="94" customWidth="1"/>
    <col min="2" max="2" width="16.5703125" style="94" customWidth="1"/>
    <col min="3" max="5" width="6.28515625" style="94" customWidth="1"/>
    <col min="6" max="6" width="10.7109375" style="94" customWidth="1"/>
    <col min="7" max="7" width="10" style="94" customWidth="1"/>
    <col min="8" max="8" width="8.7109375" style="94" customWidth="1"/>
    <col min="9" max="9" width="8.140625" style="94" customWidth="1"/>
    <col min="10" max="10" width="8.42578125" style="94" customWidth="1"/>
    <col min="11" max="11" width="19.7109375" style="85" customWidth="1"/>
    <col min="12" max="12" width="18.42578125" style="13" customWidth="1"/>
    <col min="13" max="13" width="16.85546875" style="192" customWidth="1"/>
    <col min="14" max="14" width="16" style="192" customWidth="1"/>
    <col min="15" max="16384" width="9.140625" style="94"/>
  </cols>
  <sheetData>
    <row r="1" spans="1:14" ht="15" customHeight="1" x14ac:dyDescent="0.25">
      <c r="H1" s="94" t="s">
        <v>93</v>
      </c>
    </row>
    <row r="2" spans="1:14" ht="15" customHeight="1" x14ac:dyDescent="0.25">
      <c r="A2" s="193"/>
      <c r="B2" s="194"/>
      <c r="C2" s="248" t="s">
        <v>94</v>
      </c>
      <c r="D2" s="250"/>
      <c r="E2" s="249"/>
      <c r="F2" s="178" t="s">
        <v>95</v>
      </c>
      <c r="G2" s="178"/>
      <c r="H2" s="47" t="s">
        <v>96</v>
      </c>
      <c r="I2" s="47" t="s">
        <v>97</v>
      </c>
      <c r="J2" s="38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195">
        <v>43257</v>
      </c>
      <c r="H3" s="196"/>
      <c r="I3" s="196"/>
      <c r="J3" s="196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197">
        <v>0</v>
      </c>
      <c r="H4" s="198"/>
      <c r="I4" s="198"/>
      <c r="J4" s="198"/>
    </row>
    <row r="5" spans="1:14" ht="15" customHeight="1" x14ac:dyDescent="0.25">
      <c r="A5" s="199"/>
      <c r="C5" s="257"/>
      <c r="D5" s="258"/>
      <c r="E5" s="259"/>
      <c r="F5" s="200"/>
      <c r="G5" s="201"/>
      <c r="H5" s="202"/>
      <c r="I5" s="202"/>
      <c r="J5" s="202"/>
    </row>
    <row r="6" spans="1:14" ht="15" customHeight="1" x14ac:dyDescent="0.25">
      <c r="A6" s="201"/>
      <c r="B6" s="203"/>
      <c r="C6" s="248"/>
      <c r="D6" s="250"/>
      <c r="E6" s="249"/>
      <c r="F6" s="49"/>
      <c r="G6" s="40"/>
      <c r="H6" s="48"/>
      <c r="I6" s="48"/>
      <c r="J6" s="48"/>
    </row>
    <row r="7" spans="1:14" ht="15" customHeight="1" x14ac:dyDescent="0.25">
      <c r="A7" s="204" t="s">
        <v>47</v>
      </c>
      <c r="B7" s="205"/>
      <c r="C7" s="199" t="s">
        <v>104</v>
      </c>
      <c r="F7" s="194"/>
      <c r="G7" s="194"/>
      <c r="H7" s="194"/>
      <c r="I7" s="194"/>
      <c r="J7" s="205"/>
    </row>
    <row r="8" spans="1:14" ht="15" customHeight="1" x14ac:dyDescent="0.25">
      <c r="A8" s="190" t="s">
        <v>63</v>
      </c>
      <c r="B8" s="178"/>
      <c r="C8" s="206" t="s">
        <v>248</v>
      </c>
      <c r="D8" s="207"/>
      <c r="E8" s="207"/>
      <c r="I8" s="13"/>
      <c r="J8" s="208"/>
    </row>
    <row r="9" spans="1:14" ht="15" customHeight="1" x14ac:dyDescent="0.25">
      <c r="A9" s="201" t="s">
        <v>62</v>
      </c>
      <c r="B9" s="200"/>
      <c r="C9" s="209" t="s">
        <v>103</v>
      </c>
      <c r="D9" s="210"/>
      <c r="E9" s="210"/>
      <c r="F9" s="203"/>
      <c r="G9" s="203"/>
      <c r="H9" s="203"/>
      <c r="I9" s="211"/>
      <c r="J9" s="212"/>
    </row>
    <row r="10" spans="1:14" ht="15" customHeight="1" x14ac:dyDescent="0.25">
      <c r="A10" s="3" t="s">
        <v>38</v>
      </c>
      <c r="B10" s="63" t="s">
        <v>46</v>
      </c>
      <c r="C10" s="248" t="s">
        <v>2</v>
      </c>
      <c r="D10" s="250"/>
      <c r="E10" s="249"/>
      <c r="F10" s="250" t="s">
        <v>0</v>
      </c>
      <c r="G10" s="249"/>
      <c r="H10" s="3" t="s">
        <v>1</v>
      </c>
      <c r="I10" s="3" t="s">
        <v>43</v>
      </c>
      <c r="J10" s="3" t="s">
        <v>41</v>
      </c>
      <c r="K10" s="83" t="s">
        <v>44</v>
      </c>
      <c r="L10" s="3" t="s">
        <v>45</v>
      </c>
      <c r="M10" s="158" t="s">
        <v>156</v>
      </c>
      <c r="N10" s="158" t="s">
        <v>157</v>
      </c>
    </row>
    <row r="11" spans="1:14" x14ac:dyDescent="0.25">
      <c r="A11" s="3">
        <v>1</v>
      </c>
      <c r="B11" s="3" t="s">
        <v>37</v>
      </c>
      <c r="C11" s="3">
        <v>25</v>
      </c>
      <c r="D11" s="3">
        <v>63</v>
      </c>
      <c r="E11" s="3">
        <v>179</v>
      </c>
      <c r="F11" s="248" t="s">
        <v>6</v>
      </c>
      <c r="G11" s="249"/>
      <c r="H11" s="3">
        <v>1</v>
      </c>
      <c r="I11" s="3"/>
      <c r="J11" s="3">
        <f t="shared" ref="J11" si="0">H11-I11</f>
        <v>1</v>
      </c>
      <c r="K11" s="83"/>
      <c r="L11" s="19"/>
      <c r="M11" s="141">
        <f t="shared" ref="M11" si="1">(C11*D11*E11)*3/1000000*95000</f>
        <v>80348.625</v>
      </c>
      <c r="N11" s="159">
        <f t="shared" ref="N11" si="2">M11*J11</f>
        <v>80348.625</v>
      </c>
    </row>
    <row r="12" spans="1:14" x14ac:dyDescent="0.25">
      <c r="A12" s="139">
        <v>2</v>
      </c>
      <c r="B12" s="3" t="s">
        <v>37</v>
      </c>
      <c r="C12" s="3">
        <v>25</v>
      </c>
      <c r="D12" s="63">
        <v>38</v>
      </c>
      <c r="E12" s="63">
        <v>325</v>
      </c>
      <c r="F12" s="262" t="s">
        <v>133</v>
      </c>
      <c r="G12" s="263"/>
      <c r="H12" s="3">
        <v>1</v>
      </c>
      <c r="I12" s="3"/>
      <c r="J12" s="3">
        <f t="shared" ref="J12:J17" si="3">H12-I12</f>
        <v>1</v>
      </c>
      <c r="K12" s="9"/>
      <c r="L12" s="19"/>
      <c r="M12" s="141">
        <f>(C12*D12*E12)*3/1000000*115000</f>
        <v>106518.75</v>
      </c>
      <c r="N12" s="159">
        <f>M12*J12</f>
        <v>106518.75</v>
      </c>
    </row>
    <row r="13" spans="1:14" x14ac:dyDescent="0.25">
      <c r="A13" s="139">
        <v>3</v>
      </c>
      <c r="B13" s="3" t="s">
        <v>37</v>
      </c>
      <c r="C13" s="3">
        <v>25</v>
      </c>
      <c r="D13" s="63">
        <v>43</v>
      </c>
      <c r="E13" s="63">
        <v>323</v>
      </c>
      <c r="F13" s="262" t="s">
        <v>133</v>
      </c>
      <c r="G13" s="263"/>
      <c r="H13" s="3">
        <v>1</v>
      </c>
      <c r="I13" s="3"/>
      <c r="J13" s="3">
        <f t="shared" si="3"/>
        <v>1</v>
      </c>
      <c r="K13" s="9"/>
      <c r="L13" s="19"/>
      <c r="M13" s="141">
        <f>(C13*D13*E13)*3/1000000*115000</f>
        <v>119792.62499999999</v>
      </c>
      <c r="N13" s="159">
        <f>M13*J13</f>
        <v>119792.62499999999</v>
      </c>
    </row>
    <row r="14" spans="1:14" x14ac:dyDescent="0.25">
      <c r="A14" s="139">
        <v>4</v>
      </c>
      <c r="B14" s="3" t="s">
        <v>37</v>
      </c>
      <c r="C14" s="3">
        <v>25</v>
      </c>
      <c r="D14" s="63">
        <v>68</v>
      </c>
      <c r="E14" s="63">
        <v>172</v>
      </c>
      <c r="F14" s="262" t="s">
        <v>133</v>
      </c>
      <c r="G14" s="263"/>
      <c r="H14" s="3">
        <v>1</v>
      </c>
      <c r="I14" s="3"/>
      <c r="J14" s="3">
        <f t="shared" si="3"/>
        <v>1</v>
      </c>
      <c r="K14" s="9"/>
      <c r="L14" s="19"/>
      <c r="M14" s="141">
        <f>(C14*D14*E14)*3/1000000*115000</f>
        <v>100878</v>
      </c>
      <c r="N14" s="159">
        <f>M14*J14</f>
        <v>100878</v>
      </c>
    </row>
    <row r="15" spans="1:14" x14ac:dyDescent="0.25">
      <c r="A15" s="3">
        <v>5</v>
      </c>
      <c r="B15" s="3" t="s">
        <v>37</v>
      </c>
      <c r="C15" s="3">
        <v>24</v>
      </c>
      <c r="D15" s="3">
        <v>60</v>
      </c>
      <c r="E15" s="3">
        <v>170</v>
      </c>
      <c r="F15" s="262" t="s">
        <v>6</v>
      </c>
      <c r="G15" s="263"/>
      <c r="H15" s="3">
        <v>1</v>
      </c>
      <c r="I15" s="9"/>
      <c r="J15" s="3">
        <f t="shared" si="3"/>
        <v>1</v>
      </c>
      <c r="K15" s="9"/>
      <c r="L15" s="19"/>
      <c r="M15" s="141">
        <f t="shared" ref="M15:M18" si="4">(C15*D15*E15)*3/1000000*115000</f>
        <v>84456</v>
      </c>
      <c r="N15" s="159">
        <f t="shared" ref="N15:N18" si="5">M15*J15</f>
        <v>84456</v>
      </c>
    </row>
    <row r="16" spans="1:14" x14ac:dyDescent="0.25">
      <c r="A16" s="3">
        <v>6</v>
      </c>
      <c r="B16" s="3" t="s">
        <v>37</v>
      </c>
      <c r="C16" s="3">
        <v>25</v>
      </c>
      <c r="D16" s="3">
        <v>23</v>
      </c>
      <c r="E16" s="3">
        <v>74</v>
      </c>
      <c r="F16" s="262" t="s">
        <v>6</v>
      </c>
      <c r="G16" s="263"/>
      <c r="H16" s="3">
        <v>1</v>
      </c>
      <c r="I16" s="3"/>
      <c r="J16" s="3">
        <f t="shared" si="3"/>
        <v>1</v>
      </c>
      <c r="K16" s="9"/>
      <c r="L16" s="19"/>
      <c r="M16" s="141">
        <f t="shared" si="4"/>
        <v>14679.750000000002</v>
      </c>
      <c r="N16" s="159">
        <f t="shared" si="5"/>
        <v>14679.750000000002</v>
      </c>
    </row>
    <row r="17" spans="1:14" x14ac:dyDescent="0.25">
      <c r="A17" s="239">
        <v>7</v>
      </c>
      <c r="B17" s="3" t="s">
        <v>37</v>
      </c>
      <c r="C17" s="3">
        <v>25</v>
      </c>
      <c r="D17" s="3">
        <v>30</v>
      </c>
      <c r="E17" s="3">
        <v>107</v>
      </c>
      <c r="F17" s="262" t="s">
        <v>6</v>
      </c>
      <c r="G17" s="263"/>
      <c r="H17" s="3">
        <v>1</v>
      </c>
      <c r="I17" s="3"/>
      <c r="J17" s="3">
        <f t="shared" si="3"/>
        <v>1</v>
      </c>
      <c r="K17" s="9"/>
      <c r="L17" s="19"/>
      <c r="M17" s="141">
        <f t="shared" si="4"/>
        <v>27686.25</v>
      </c>
      <c r="N17" s="159">
        <f t="shared" si="5"/>
        <v>27686.25</v>
      </c>
    </row>
    <row r="18" spans="1:14" x14ac:dyDescent="0.25">
      <c r="A18" s="239">
        <v>8</v>
      </c>
      <c r="B18" s="3" t="s">
        <v>37</v>
      </c>
      <c r="C18" s="3">
        <v>25</v>
      </c>
      <c r="D18" s="3">
        <v>188</v>
      </c>
      <c r="E18" s="3">
        <v>313</v>
      </c>
      <c r="F18" s="262" t="s">
        <v>6</v>
      </c>
      <c r="G18" s="263"/>
      <c r="H18" s="3">
        <v>1</v>
      </c>
      <c r="I18" s="3"/>
      <c r="J18" s="3">
        <f t="shared" ref="J18" si="6">H18-I18</f>
        <v>1</v>
      </c>
      <c r="K18" s="9"/>
      <c r="L18" s="19"/>
      <c r="M18" s="141">
        <f t="shared" si="4"/>
        <v>507529.49999999994</v>
      </c>
      <c r="N18" s="159">
        <f t="shared" si="5"/>
        <v>507529.49999999994</v>
      </c>
    </row>
    <row r="19" spans="1:14" x14ac:dyDescent="0.25">
      <c r="A19" s="3"/>
      <c r="B19" s="13"/>
      <c r="C19" s="13"/>
      <c r="D19" s="13"/>
      <c r="E19" s="13"/>
      <c r="F19" s="13"/>
      <c r="G19" s="13"/>
      <c r="H19" s="13"/>
      <c r="I19" s="13"/>
      <c r="L19" s="86"/>
      <c r="M19" s="96" t="s">
        <v>159</v>
      </c>
      <c r="N19" s="96">
        <f>SUM(N11:N18)</f>
        <v>1041889.5</v>
      </c>
    </row>
    <row r="20" spans="1:14" x14ac:dyDescent="0.25">
      <c r="A20" s="122"/>
      <c r="B20" s="122"/>
      <c r="C20" s="122"/>
      <c r="D20" s="122"/>
      <c r="E20" s="122"/>
      <c r="F20" s="122"/>
      <c r="G20" s="122"/>
      <c r="H20" s="122"/>
      <c r="I20" s="122"/>
      <c r="J20" s="122"/>
      <c r="K20" s="90"/>
      <c r="L20" s="91"/>
      <c r="M20" s="213"/>
      <c r="N20" s="213"/>
    </row>
    <row r="21" spans="1:14" x14ac:dyDescent="0.25">
      <c r="A21" s="3" t="s">
        <v>38</v>
      </c>
      <c r="B21" s="63" t="s">
        <v>47</v>
      </c>
      <c r="C21" s="248" t="s">
        <v>2</v>
      </c>
      <c r="D21" s="250"/>
      <c r="E21" s="249"/>
      <c r="F21" s="250" t="s">
        <v>0</v>
      </c>
      <c r="G21" s="249"/>
      <c r="H21" s="3" t="s">
        <v>1</v>
      </c>
      <c r="I21" s="3" t="s">
        <v>42</v>
      </c>
      <c r="J21" s="3" t="s">
        <v>41</v>
      </c>
      <c r="K21" s="83" t="s">
        <v>44</v>
      </c>
      <c r="L21" s="3" t="s">
        <v>45</v>
      </c>
      <c r="M21" s="158" t="s">
        <v>156</v>
      </c>
      <c r="N21" s="158" t="s">
        <v>157</v>
      </c>
    </row>
    <row r="22" spans="1:14" x14ac:dyDescent="0.25">
      <c r="A22" s="9">
        <v>1</v>
      </c>
      <c r="B22" s="3" t="s">
        <v>37</v>
      </c>
      <c r="C22" s="3">
        <v>30</v>
      </c>
      <c r="D22" s="63">
        <v>45</v>
      </c>
      <c r="E22" s="63">
        <v>195</v>
      </c>
      <c r="F22" s="248" t="s">
        <v>3</v>
      </c>
      <c r="G22" s="249"/>
      <c r="H22" s="3">
        <v>1</v>
      </c>
      <c r="I22" s="3"/>
      <c r="J22" s="3">
        <f t="shared" ref="J22:J26" si="7">H22-I22</f>
        <v>1</v>
      </c>
      <c r="K22" s="83"/>
      <c r="L22" s="19"/>
      <c r="M22" s="141">
        <f t="shared" ref="M22:M26" si="8">(C22*D22*E22)*3/1000000*95000</f>
        <v>75026.25</v>
      </c>
      <c r="N22" s="159">
        <f t="shared" ref="N22:N26" si="9">M22*J22</f>
        <v>75026.25</v>
      </c>
    </row>
    <row r="23" spans="1:14" x14ac:dyDescent="0.25">
      <c r="A23" s="9">
        <v>2</v>
      </c>
      <c r="B23" s="3" t="s">
        <v>37</v>
      </c>
      <c r="C23" s="3">
        <v>30</v>
      </c>
      <c r="D23" s="63">
        <v>42</v>
      </c>
      <c r="E23" s="63">
        <v>192</v>
      </c>
      <c r="F23" s="248" t="s">
        <v>3</v>
      </c>
      <c r="G23" s="249"/>
      <c r="H23" s="3">
        <v>1</v>
      </c>
      <c r="I23" s="3"/>
      <c r="J23" s="3">
        <f t="shared" si="7"/>
        <v>1</v>
      </c>
      <c r="K23" s="83"/>
      <c r="L23" s="19"/>
      <c r="M23" s="141">
        <f t="shared" si="8"/>
        <v>68947.199999999997</v>
      </c>
      <c r="N23" s="159">
        <f t="shared" si="9"/>
        <v>68947.199999999997</v>
      </c>
    </row>
    <row r="24" spans="1:14" x14ac:dyDescent="0.25">
      <c r="A24" s="9">
        <v>3</v>
      </c>
      <c r="B24" s="3" t="s">
        <v>37</v>
      </c>
      <c r="C24" s="3">
        <v>30</v>
      </c>
      <c r="D24" s="63">
        <v>80</v>
      </c>
      <c r="E24" s="63">
        <v>105</v>
      </c>
      <c r="F24" s="248" t="s">
        <v>3</v>
      </c>
      <c r="G24" s="249"/>
      <c r="H24" s="3">
        <v>1</v>
      </c>
      <c r="I24" s="3"/>
      <c r="J24" s="3">
        <f t="shared" si="7"/>
        <v>1</v>
      </c>
      <c r="K24" s="83"/>
      <c r="L24" s="19"/>
      <c r="M24" s="141">
        <f t="shared" si="8"/>
        <v>71820</v>
      </c>
      <c r="N24" s="159">
        <f t="shared" si="9"/>
        <v>71820</v>
      </c>
    </row>
    <row r="25" spans="1:14" s="214" customFormat="1" x14ac:dyDescent="0.25">
      <c r="A25" s="9">
        <v>4</v>
      </c>
      <c r="B25" s="5" t="s">
        <v>37</v>
      </c>
      <c r="C25" s="5">
        <v>30</v>
      </c>
      <c r="D25" s="64">
        <v>80</v>
      </c>
      <c r="E25" s="64">
        <v>100</v>
      </c>
      <c r="F25" s="248" t="s">
        <v>3</v>
      </c>
      <c r="G25" s="249"/>
      <c r="H25" s="5">
        <v>1</v>
      </c>
      <c r="I25" s="5"/>
      <c r="J25" s="3">
        <f t="shared" si="7"/>
        <v>1</v>
      </c>
      <c r="K25" s="84"/>
      <c r="L25" s="56"/>
      <c r="M25" s="141">
        <f t="shared" si="8"/>
        <v>68400</v>
      </c>
      <c r="N25" s="159">
        <f t="shared" si="9"/>
        <v>68400</v>
      </c>
    </row>
    <row r="26" spans="1:14" x14ac:dyDescent="0.25">
      <c r="A26" s="9">
        <v>5</v>
      </c>
      <c r="B26" s="3" t="s">
        <v>37</v>
      </c>
      <c r="C26" s="3">
        <v>30</v>
      </c>
      <c r="D26" s="63">
        <v>106</v>
      </c>
      <c r="E26" s="63">
        <v>175</v>
      </c>
      <c r="F26" s="248" t="s">
        <v>3</v>
      </c>
      <c r="G26" s="249"/>
      <c r="H26" s="3">
        <v>1</v>
      </c>
      <c r="I26" s="3"/>
      <c r="J26" s="3">
        <f t="shared" si="7"/>
        <v>1</v>
      </c>
      <c r="K26" s="83"/>
      <c r="L26" s="19"/>
      <c r="M26" s="141">
        <f t="shared" si="8"/>
        <v>158602.5</v>
      </c>
      <c r="N26" s="159">
        <f t="shared" si="9"/>
        <v>158602.5</v>
      </c>
    </row>
    <row r="27" spans="1:14" ht="47.25" customHeight="1" x14ac:dyDescent="0.25">
      <c r="A27" s="215">
        <v>6</v>
      </c>
      <c r="B27" s="3" t="s">
        <v>80</v>
      </c>
      <c r="C27" s="3">
        <v>30</v>
      </c>
      <c r="D27" s="63">
        <v>96</v>
      </c>
      <c r="E27" s="63">
        <v>117</v>
      </c>
      <c r="F27" s="262" t="s">
        <v>83</v>
      </c>
      <c r="G27" s="263"/>
      <c r="H27" s="3">
        <v>1</v>
      </c>
      <c r="I27" s="3"/>
      <c r="J27" s="3">
        <f>H27-I27</f>
        <v>1</v>
      </c>
      <c r="K27" s="3"/>
      <c r="L27" s="114"/>
      <c r="M27" s="141">
        <f t="shared" ref="M27:M34" si="10">(C27*D27*E27)*3/1000000*95000</f>
        <v>96033.600000000006</v>
      </c>
      <c r="N27" s="159">
        <f t="shared" ref="N27:N34" si="11">M27*J27</f>
        <v>96033.600000000006</v>
      </c>
    </row>
    <row r="28" spans="1:14" ht="43.5" customHeight="1" x14ac:dyDescent="0.25">
      <c r="A28" s="215">
        <v>7</v>
      </c>
      <c r="B28" s="3" t="s">
        <v>80</v>
      </c>
      <c r="C28" s="3">
        <v>30</v>
      </c>
      <c r="D28" s="63">
        <v>97</v>
      </c>
      <c r="E28" s="63">
        <v>136</v>
      </c>
      <c r="F28" s="262" t="s">
        <v>82</v>
      </c>
      <c r="G28" s="263"/>
      <c r="H28" s="3">
        <v>1</v>
      </c>
      <c r="I28" s="3"/>
      <c r="J28" s="3">
        <f>H28-I28</f>
        <v>1</v>
      </c>
      <c r="K28" s="3"/>
      <c r="L28" s="114"/>
      <c r="M28" s="141">
        <f t="shared" si="10"/>
        <v>112791.59999999999</v>
      </c>
      <c r="N28" s="159">
        <f t="shared" si="11"/>
        <v>112791.59999999999</v>
      </c>
    </row>
    <row r="29" spans="1:14" ht="46.5" customHeight="1" x14ac:dyDescent="0.25">
      <c r="A29" s="215">
        <v>8</v>
      </c>
      <c r="B29" s="3" t="s">
        <v>80</v>
      </c>
      <c r="C29" s="3">
        <v>30</v>
      </c>
      <c r="D29" s="63">
        <v>83</v>
      </c>
      <c r="E29" s="63">
        <v>120</v>
      </c>
      <c r="F29" s="262" t="s">
        <v>81</v>
      </c>
      <c r="G29" s="263"/>
      <c r="H29" s="3">
        <v>1</v>
      </c>
      <c r="I29" s="3"/>
      <c r="J29" s="3">
        <f>H29-I29</f>
        <v>1</v>
      </c>
      <c r="K29" s="3"/>
      <c r="L29" s="114"/>
      <c r="M29" s="141">
        <f t="shared" si="10"/>
        <v>85158</v>
      </c>
      <c r="N29" s="159">
        <f t="shared" si="11"/>
        <v>85158</v>
      </c>
    </row>
    <row r="30" spans="1:14" x14ac:dyDescent="0.25">
      <c r="A30" s="9">
        <v>9</v>
      </c>
      <c r="B30" s="3" t="s">
        <v>80</v>
      </c>
      <c r="C30" s="3">
        <v>30</v>
      </c>
      <c r="D30" s="3">
        <v>110</v>
      </c>
      <c r="E30" s="3">
        <v>163</v>
      </c>
      <c r="F30" s="262" t="s">
        <v>6</v>
      </c>
      <c r="G30" s="263"/>
      <c r="H30" s="3">
        <v>1</v>
      </c>
      <c r="I30" s="3"/>
      <c r="J30" s="3">
        <f t="shared" ref="J30:J32" si="12">H30-I30</f>
        <v>1</v>
      </c>
      <c r="K30" s="3"/>
      <c r="L30" s="19"/>
      <c r="M30" s="141">
        <f t="shared" si="10"/>
        <v>153301.5</v>
      </c>
      <c r="N30" s="159">
        <f t="shared" si="11"/>
        <v>153301.5</v>
      </c>
    </row>
    <row r="31" spans="1:14" x14ac:dyDescent="0.25">
      <c r="A31" s="9">
        <v>10</v>
      </c>
      <c r="B31" s="3" t="s">
        <v>37</v>
      </c>
      <c r="C31" s="3">
        <v>30</v>
      </c>
      <c r="D31" s="3">
        <v>45</v>
      </c>
      <c r="E31" s="3">
        <v>100</v>
      </c>
      <c r="F31" s="262" t="s">
        <v>6</v>
      </c>
      <c r="G31" s="263"/>
      <c r="H31" s="3">
        <v>1</v>
      </c>
      <c r="I31" s="3"/>
      <c r="J31" s="3">
        <f t="shared" si="12"/>
        <v>1</v>
      </c>
      <c r="K31" s="3"/>
      <c r="L31" s="19"/>
      <c r="M31" s="141">
        <f t="shared" si="10"/>
        <v>38475</v>
      </c>
      <c r="N31" s="159">
        <f t="shared" si="11"/>
        <v>38475</v>
      </c>
    </row>
    <row r="32" spans="1:14" x14ac:dyDescent="0.25">
      <c r="A32" s="9">
        <v>11</v>
      </c>
      <c r="B32" s="3" t="s">
        <v>80</v>
      </c>
      <c r="C32" s="3">
        <v>30</v>
      </c>
      <c r="D32" s="3">
        <v>74</v>
      </c>
      <c r="E32" s="3">
        <v>162</v>
      </c>
      <c r="F32" s="262" t="s">
        <v>6</v>
      </c>
      <c r="G32" s="263"/>
      <c r="H32" s="3">
        <v>1</v>
      </c>
      <c r="I32" s="3"/>
      <c r="J32" s="3">
        <f t="shared" si="12"/>
        <v>1</v>
      </c>
      <c r="K32" s="3"/>
      <c r="L32" s="19"/>
      <c r="M32" s="141">
        <f t="shared" si="10"/>
        <v>102497.40000000001</v>
      </c>
      <c r="N32" s="159">
        <f t="shared" si="11"/>
        <v>102497.40000000001</v>
      </c>
    </row>
    <row r="33" spans="1:14" x14ac:dyDescent="0.25">
      <c r="A33" s="9">
        <v>12</v>
      </c>
      <c r="B33" s="3" t="s">
        <v>80</v>
      </c>
      <c r="C33" s="3">
        <v>30</v>
      </c>
      <c r="D33" s="3">
        <v>94</v>
      </c>
      <c r="E33" s="3">
        <v>135</v>
      </c>
      <c r="F33" s="262" t="s">
        <v>6</v>
      </c>
      <c r="G33" s="263"/>
      <c r="H33" s="3">
        <v>1</v>
      </c>
      <c r="I33" s="3"/>
      <c r="J33" s="3">
        <f t="shared" ref="J33:J34" si="13">H33-I33</f>
        <v>1</v>
      </c>
      <c r="K33" s="3"/>
      <c r="L33" s="19"/>
      <c r="M33" s="141">
        <f t="shared" si="10"/>
        <v>108499.49999999999</v>
      </c>
      <c r="N33" s="159">
        <f t="shared" si="11"/>
        <v>108499.49999999999</v>
      </c>
    </row>
    <row r="34" spans="1:14" x14ac:dyDescent="0.25">
      <c r="A34" s="9">
        <v>13</v>
      </c>
      <c r="B34" s="3" t="s">
        <v>80</v>
      </c>
      <c r="C34" s="3">
        <v>30</v>
      </c>
      <c r="D34" s="3">
        <v>106</v>
      </c>
      <c r="E34" s="3">
        <v>109</v>
      </c>
      <c r="F34" s="262" t="s">
        <v>119</v>
      </c>
      <c r="G34" s="263"/>
      <c r="H34" s="3">
        <v>1</v>
      </c>
      <c r="I34" s="3"/>
      <c r="J34" s="3">
        <f t="shared" si="13"/>
        <v>1</v>
      </c>
      <c r="K34" s="3"/>
      <c r="L34" s="19"/>
      <c r="M34" s="141">
        <f t="shared" si="10"/>
        <v>98786.7</v>
      </c>
      <c r="N34" s="159">
        <f t="shared" si="11"/>
        <v>98786.7</v>
      </c>
    </row>
    <row r="35" spans="1:14" x14ac:dyDescent="0.25">
      <c r="M35" s="96" t="s">
        <v>160</v>
      </c>
      <c r="N35" s="96">
        <f>SUM(N22:N34)</f>
        <v>1238339.25</v>
      </c>
    </row>
    <row r="36" spans="1:14" x14ac:dyDescent="0.25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90"/>
      <c r="L36" s="91"/>
      <c r="M36" s="213"/>
      <c r="N36" s="213"/>
    </row>
    <row r="37" spans="1:14" x14ac:dyDescent="0.25">
      <c r="A37" s="3" t="s">
        <v>38</v>
      </c>
      <c r="B37" s="63" t="s">
        <v>47</v>
      </c>
      <c r="C37" s="248" t="s">
        <v>2</v>
      </c>
      <c r="D37" s="250"/>
      <c r="E37" s="249"/>
      <c r="F37" s="250" t="s">
        <v>0</v>
      </c>
      <c r="G37" s="249"/>
      <c r="H37" s="3" t="s">
        <v>1</v>
      </c>
      <c r="I37" s="3" t="s">
        <v>42</v>
      </c>
      <c r="J37" s="3" t="s">
        <v>41</v>
      </c>
      <c r="K37" s="83" t="s">
        <v>48</v>
      </c>
      <c r="L37" s="3" t="s">
        <v>45</v>
      </c>
      <c r="M37" s="158" t="s">
        <v>156</v>
      </c>
      <c r="N37" s="158" t="s">
        <v>157</v>
      </c>
    </row>
    <row r="38" spans="1:14" x14ac:dyDescent="0.25">
      <c r="A38" s="3">
        <v>1</v>
      </c>
      <c r="B38" s="3" t="s">
        <v>37</v>
      </c>
      <c r="C38" s="3">
        <v>35</v>
      </c>
      <c r="D38" s="63">
        <v>38</v>
      </c>
      <c r="E38" s="63">
        <v>145</v>
      </c>
      <c r="F38" s="248" t="s">
        <v>3</v>
      </c>
      <c r="G38" s="249"/>
      <c r="H38" s="3">
        <v>1</v>
      </c>
      <c r="I38" s="3"/>
      <c r="J38" s="3">
        <f t="shared" ref="J38:J60" si="14">H38-I38</f>
        <v>1</v>
      </c>
      <c r="K38" s="83"/>
      <c r="L38" s="19"/>
      <c r="M38" s="141">
        <f t="shared" ref="M38:M60" si="15">(C38*D38*E38)*3/1000000*95000</f>
        <v>54962.25</v>
      </c>
      <c r="N38" s="159">
        <f t="shared" ref="N38:N60" si="16">M38*J38</f>
        <v>54962.25</v>
      </c>
    </row>
    <row r="39" spans="1:14" x14ac:dyDescent="0.25">
      <c r="A39" s="3">
        <v>2</v>
      </c>
      <c r="B39" s="3" t="s">
        <v>37</v>
      </c>
      <c r="C39" s="3">
        <v>35</v>
      </c>
      <c r="D39" s="63">
        <v>35</v>
      </c>
      <c r="E39" s="63">
        <v>147</v>
      </c>
      <c r="F39" s="248" t="s">
        <v>3</v>
      </c>
      <c r="G39" s="249"/>
      <c r="H39" s="3">
        <v>1</v>
      </c>
      <c r="I39" s="3"/>
      <c r="J39" s="3">
        <f t="shared" si="14"/>
        <v>1</v>
      </c>
      <c r="K39" s="83"/>
      <c r="L39" s="19"/>
      <c r="M39" s="141">
        <f t="shared" si="15"/>
        <v>51321.374999999993</v>
      </c>
      <c r="N39" s="159">
        <f t="shared" si="16"/>
        <v>51321.374999999993</v>
      </c>
    </row>
    <row r="40" spans="1:14" x14ac:dyDescent="0.25">
      <c r="A40" s="227">
        <v>3</v>
      </c>
      <c r="B40" s="3" t="s">
        <v>37</v>
      </c>
      <c r="C40" s="3">
        <v>37</v>
      </c>
      <c r="D40" s="63">
        <v>37</v>
      </c>
      <c r="E40" s="63">
        <v>160</v>
      </c>
      <c r="F40" s="248" t="s">
        <v>3</v>
      </c>
      <c r="G40" s="249"/>
      <c r="H40" s="3">
        <v>1</v>
      </c>
      <c r="I40" s="3"/>
      <c r="J40" s="3">
        <f t="shared" si="14"/>
        <v>1</v>
      </c>
      <c r="K40" s="83"/>
      <c r="L40" s="19"/>
      <c r="M40" s="141">
        <f t="shared" si="15"/>
        <v>62426.400000000001</v>
      </c>
      <c r="N40" s="159">
        <f t="shared" si="16"/>
        <v>62426.400000000001</v>
      </c>
    </row>
    <row r="41" spans="1:14" x14ac:dyDescent="0.25">
      <c r="A41" s="227">
        <v>4</v>
      </c>
      <c r="B41" s="3" t="s">
        <v>37</v>
      </c>
      <c r="C41" s="3">
        <v>35</v>
      </c>
      <c r="D41" s="63">
        <v>35</v>
      </c>
      <c r="E41" s="63">
        <v>125</v>
      </c>
      <c r="F41" s="248" t="s">
        <v>3</v>
      </c>
      <c r="G41" s="249"/>
      <c r="H41" s="3">
        <v>1</v>
      </c>
      <c r="I41" s="3"/>
      <c r="J41" s="3">
        <f t="shared" si="14"/>
        <v>1</v>
      </c>
      <c r="K41" s="83"/>
      <c r="L41" s="19"/>
      <c r="M41" s="141">
        <f t="shared" si="15"/>
        <v>43640.625</v>
      </c>
      <c r="N41" s="159">
        <f t="shared" si="16"/>
        <v>43640.625</v>
      </c>
    </row>
    <row r="42" spans="1:14" x14ac:dyDescent="0.25">
      <c r="A42" s="227">
        <v>5</v>
      </c>
      <c r="B42" s="3" t="s">
        <v>37</v>
      </c>
      <c r="C42" s="3">
        <v>35</v>
      </c>
      <c r="D42" s="63">
        <v>35</v>
      </c>
      <c r="E42" s="63">
        <v>137</v>
      </c>
      <c r="F42" s="248" t="s">
        <v>3</v>
      </c>
      <c r="G42" s="249"/>
      <c r="H42" s="3">
        <v>1</v>
      </c>
      <c r="I42" s="3"/>
      <c r="J42" s="3">
        <f t="shared" si="14"/>
        <v>1</v>
      </c>
      <c r="K42" s="83"/>
      <c r="L42" s="19"/>
      <c r="M42" s="141">
        <f t="shared" si="15"/>
        <v>47830.125</v>
      </c>
      <c r="N42" s="159">
        <f t="shared" si="16"/>
        <v>47830.125</v>
      </c>
    </row>
    <row r="43" spans="1:14" x14ac:dyDescent="0.25">
      <c r="A43" s="227">
        <v>6</v>
      </c>
      <c r="B43" s="3" t="s">
        <v>37</v>
      </c>
      <c r="C43" s="3">
        <v>35</v>
      </c>
      <c r="D43" s="63">
        <v>38</v>
      </c>
      <c r="E43" s="63">
        <v>106</v>
      </c>
      <c r="F43" s="248" t="s">
        <v>3</v>
      </c>
      <c r="G43" s="249"/>
      <c r="H43" s="3">
        <v>1</v>
      </c>
      <c r="I43" s="3"/>
      <c r="J43" s="3">
        <f t="shared" si="14"/>
        <v>1</v>
      </c>
      <c r="K43" s="83"/>
      <c r="L43" s="19"/>
      <c r="M43" s="141">
        <f t="shared" si="15"/>
        <v>40179.299999999996</v>
      </c>
      <c r="N43" s="159">
        <f t="shared" si="16"/>
        <v>40179.299999999996</v>
      </c>
    </row>
    <row r="44" spans="1:14" x14ac:dyDescent="0.25">
      <c r="A44" s="227">
        <v>7</v>
      </c>
      <c r="B44" s="3" t="s">
        <v>37</v>
      </c>
      <c r="C44" s="3">
        <v>35</v>
      </c>
      <c r="D44" s="63">
        <v>52</v>
      </c>
      <c r="E44" s="63">
        <v>107</v>
      </c>
      <c r="F44" s="248" t="s">
        <v>3</v>
      </c>
      <c r="G44" s="249"/>
      <c r="H44" s="3">
        <v>1</v>
      </c>
      <c r="I44" s="3"/>
      <c r="J44" s="3">
        <f t="shared" si="14"/>
        <v>1</v>
      </c>
      <c r="K44" s="83"/>
      <c r="L44" s="19"/>
      <c r="M44" s="141">
        <f t="shared" si="15"/>
        <v>55500.899999999994</v>
      </c>
      <c r="N44" s="159">
        <f t="shared" si="16"/>
        <v>55500.899999999994</v>
      </c>
    </row>
    <row r="45" spans="1:14" x14ac:dyDescent="0.25">
      <c r="A45" s="227">
        <v>8</v>
      </c>
      <c r="B45" s="3" t="s">
        <v>37</v>
      </c>
      <c r="C45" s="3">
        <v>35</v>
      </c>
      <c r="D45" s="63">
        <v>50</v>
      </c>
      <c r="E45" s="63">
        <v>100</v>
      </c>
      <c r="F45" s="248" t="s">
        <v>3</v>
      </c>
      <c r="G45" s="249"/>
      <c r="H45" s="3">
        <v>1</v>
      </c>
      <c r="I45" s="3"/>
      <c r="J45" s="3">
        <f t="shared" si="14"/>
        <v>1</v>
      </c>
      <c r="K45" s="83"/>
      <c r="L45" s="19"/>
      <c r="M45" s="141">
        <f t="shared" si="15"/>
        <v>49875</v>
      </c>
      <c r="N45" s="159">
        <f t="shared" si="16"/>
        <v>49875</v>
      </c>
    </row>
    <row r="46" spans="1:14" x14ac:dyDescent="0.25">
      <c r="A46" s="227">
        <v>9</v>
      </c>
      <c r="B46" s="3" t="s">
        <v>37</v>
      </c>
      <c r="C46" s="3">
        <v>35</v>
      </c>
      <c r="D46" s="63">
        <v>71</v>
      </c>
      <c r="E46" s="63">
        <v>80</v>
      </c>
      <c r="F46" s="248" t="s">
        <v>3</v>
      </c>
      <c r="G46" s="249"/>
      <c r="H46" s="3">
        <v>1</v>
      </c>
      <c r="I46" s="3"/>
      <c r="J46" s="3">
        <f t="shared" si="14"/>
        <v>1</v>
      </c>
      <c r="K46" s="83"/>
      <c r="L46" s="19"/>
      <c r="M46" s="141">
        <f t="shared" si="15"/>
        <v>56658.000000000007</v>
      </c>
      <c r="N46" s="159">
        <f t="shared" si="16"/>
        <v>56658.000000000007</v>
      </c>
    </row>
    <row r="47" spans="1:14" x14ac:dyDescent="0.25">
      <c r="A47" s="227">
        <v>10</v>
      </c>
      <c r="B47" s="3" t="s">
        <v>37</v>
      </c>
      <c r="C47" s="3">
        <v>35</v>
      </c>
      <c r="D47" s="63">
        <v>30</v>
      </c>
      <c r="E47" s="63">
        <v>173</v>
      </c>
      <c r="F47" s="248" t="s">
        <v>3</v>
      </c>
      <c r="G47" s="249"/>
      <c r="H47" s="3">
        <v>1</v>
      </c>
      <c r="I47" s="3"/>
      <c r="J47" s="3">
        <f t="shared" si="14"/>
        <v>1</v>
      </c>
      <c r="K47" s="83"/>
      <c r="L47" s="19"/>
      <c r="M47" s="141">
        <f t="shared" si="15"/>
        <v>51770.250000000007</v>
      </c>
      <c r="N47" s="159">
        <f t="shared" si="16"/>
        <v>51770.250000000007</v>
      </c>
    </row>
    <row r="48" spans="1:14" x14ac:dyDescent="0.25">
      <c r="A48" s="227">
        <v>11</v>
      </c>
      <c r="B48" s="3" t="s">
        <v>37</v>
      </c>
      <c r="C48" s="3">
        <v>35</v>
      </c>
      <c r="D48" s="63">
        <v>34</v>
      </c>
      <c r="E48" s="63">
        <v>104</v>
      </c>
      <c r="F48" s="248" t="s">
        <v>3</v>
      </c>
      <c r="G48" s="249"/>
      <c r="H48" s="3">
        <v>1</v>
      </c>
      <c r="I48" s="9"/>
      <c r="J48" s="3">
        <f t="shared" si="14"/>
        <v>1</v>
      </c>
      <c r="K48" s="83"/>
      <c r="L48" s="19"/>
      <c r="M48" s="141">
        <f t="shared" si="15"/>
        <v>35271.599999999999</v>
      </c>
      <c r="N48" s="159">
        <f t="shared" si="16"/>
        <v>35271.599999999999</v>
      </c>
    </row>
    <row r="49" spans="1:14" x14ac:dyDescent="0.25">
      <c r="A49" s="227">
        <v>12</v>
      </c>
      <c r="B49" s="3" t="s">
        <v>37</v>
      </c>
      <c r="C49" s="3">
        <v>35</v>
      </c>
      <c r="D49" s="63">
        <v>53</v>
      </c>
      <c r="E49" s="63">
        <v>120</v>
      </c>
      <c r="F49" s="248" t="s">
        <v>3</v>
      </c>
      <c r="G49" s="249"/>
      <c r="H49" s="3">
        <v>1</v>
      </c>
      <c r="I49" s="5"/>
      <c r="J49" s="3">
        <f t="shared" si="14"/>
        <v>1</v>
      </c>
      <c r="K49" s="83"/>
      <c r="L49" s="19"/>
      <c r="M49" s="141">
        <f t="shared" si="15"/>
        <v>63440.999999999993</v>
      </c>
      <c r="N49" s="159">
        <f t="shared" si="16"/>
        <v>63440.999999999993</v>
      </c>
    </row>
    <row r="50" spans="1:14" x14ac:dyDescent="0.25">
      <c r="A50" s="227">
        <v>13</v>
      </c>
      <c r="B50" s="3" t="s">
        <v>37</v>
      </c>
      <c r="C50" s="3">
        <v>35</v>
      </c>
      <c r="D50" s="63">
        <v>33</v>
      </c>
      <c r="E50" s="63">
        <v>133</v>
      </c>
      <c r="F50" s="248" t="s">
        <v>3</v>
      </c>
      <c r="G50" s="249"/>
      <c r="H50" s="3">
        <v>1</v>
      </c>
      <c r="I50" s="5"/>
      <c r="J50" s="3">
        <f t="shared" si="14"/>
        <v>1</v>
      </c>
      <c r="K50" s="83"/>
      <c r="L50" s="19"/>
      <c r="M50" s="141">
        <f t="shared" si="15"/>
        <v>43780.275000000001</v>
      </c>
      <c r="N50" s="159">
        <f t="shared" si="16"/>
        <v>43780.275000000001</v>
      </c>
    </row>
    <row r="51" spans="1:14" x14ac:dyDescent="0.25">
      <c r="A51" s="227">
        <v>14</v>
      </c>
      <c r="B51" s="3" t="s">
        <v>37</v>
      </c>
      <c r="C51" s="3">
        <v>35</v>
      </c>
      <c r="D51" s="63">
        <v>70</v>
      </c>
      <c r="E51" s="63">
        <v>74</v>
      </c>
      <c r="F51" s="248" t="s">
        <v>3</v>
      </c>
      <c r="G51" s="249"/>
      <c r="H51" s="3">
        <v>1</v>
      </c>
      <c r="I51" s="5"/>
      <c r="J51" s="3">
        <f t="shared" si="14"/>
        <v>1</v>
      </c>
      <c r="K51" s="83"/>
      <c r="L51" s="19"/>
      <c r="M51" s="141">
        <f t="shared" si="15"/>
        <v>51670.500000000007</v>
      </c>
      <c r="N51" s="159">
        <f t="shared" si="16"/>
        <v>51670.500000000007</v>
      </c>
    </row>
    <row r="52" spans="1:14" x14ac:dyDescent="0.25">
      <c r="A52" s="227">
        <v>15</v>
      </c>
      <c r="B52" s="3" t="s">
        <v>37</v>
      </c>
      <c r="C52" s="3">
        <v>35</v>
      </c>
      <c r="D52" s="63">
        <v>40</v>
      </c>
      <c r="E52" s="63">
        <v>96</v>
      </c>
      <c r="F52" s="248" t="s">
        <v>6</v>
      </c>
      <c r="G52" s="249"/>
      <c r="H52" s="3">
        <v>1</v>
      </c>
      <c r="I52" s="5"/>
      <c r="J52" s="3">
        <f t="shared" si="14"/>
        <v>1</v>
      </c>
      <c r="K52" s="83"/>
      <c r="L52" s="19"/>
      <c r="M52" s="141">
        <f t="shared" si="15"/>
        <v>38304</v>
      </c>
      <c r="N52" s="159">
        <f t="shared" si="16"/>
        <v>38304</v>
      </c>
    </row>
    <row r="53" spans="1:14" x14ac:dyDescent="0.25">
      <c r="A53" s="227">
        <v>16</v>
      </c>
      <c r="B53" s="3" t="s">
        <v>37</v>
      </c>
      <c r="C53" s="3">
        <v>35</v>
      </c>
      <c r="D53" s="3">
        <v>100</v>
      </c>
      <c r="E53" s="3">
        <v>139</v>
      </c>
      <c r="F53" s="248" t="s">
        <v>6</v>
      </c>
      <c r="G53" s="249"/>
      <c r="H53" s="3">
        <v>1</v>
      </c>
      <c r="I53" s="5"/>
      <c r="J53" s="3">
        <f t="shared" si="14"/>
        <v>1</v>
      </c>
      <c r="K53" s="83"/>
      <c r="L53" s="19"/>
      <c r="M53" s="141">
        <f t="shared" si="15"/>
        <v>138652.5</v>
      </c>
      <c r="N53" s="159">
        <f t="shared" si="16"/>
        <v>138652.5</v>
      </c>
    </row>
    <row r="54" spans="1:14" x14ac:dyDescent="0.25">
      <c r="A54" s="227">
        <v>17</v>
      </c>
      <c r="B54" s="3" t="s">
        <v>37</v>
      </c>
      <c r="C54" s="3">
        <v>35</v>
      </c>
      <c r="D54" s="3">
        <v>122</v>
      </c>
      <c r="E54" s="3">
        <v>133</v>
      </c>
      <c r="F54" s="248" t="s">
        <v>6</v>
      </c>
      <c r="G54" s="249"/>
      <c r="H54" s="3">
        <v>1</v>
      </c>
      <c r="I54" s="5"/>
      <c r="J54" s="3">
        <f t="shared" si="14"/>
        <v>1</v>
      </c>
      <c r="K54" s="83"/>
      <c r="L54" s="19"/>
      <c r="M54" s="141">
        <f t="shared" si="15"/>
        <v>161854.35</v>
      </c>
      <c r="N54" s="159">
        <f t="shared" si="16"/>
        <v>161854.35</v>
      </c>
    </row>
    <row r="55" spans="1:14" x14ac:dyDescent="0.25">
      <c r="A55" s="227">
        <v>18</v>
      </c>
      <c r="B55" s="3" t="s">
        <v>37</v>
      </c>
      <c r="C55" s="3">
        <v>35</v>
      </c>
      <c r="D55" s="3">
        <v>118</v>
      </c>
      <c r="E55" s="3">
        <v>135</v>
      </c>
      <c r="F55" s="248" t="s">
        <v>6</v>
      </c>
      <c r="G55" s="249"/>
      <c r="H55" s="3">
        <v>1</v>
      </c>
      <c r="I55" s="5"/>
      <c r="J55" s="3">
        <f t="shared" si="14"/>
        <v>1</v>
      </c>
      <c r="K55" s="83"/>
      <c r="L55" s="19"/>
      <c r="M55" s="141">
        <f t="shared" si="15"/>
        <v>158901.75</v>
      </c>
      <c r="N55" s="159">
        <f t="shared" si="16"/>
        <v>158901.75</v>
      </c>
    </row>
    <row r="56" spans="1:14" x14ac:dyDescent="0.25">
      <c r="A56" s="227">
        <v>19</v>
      </c>
      <c r="B56" s="3" t="s">
        <v>37</v>
      </c>
      <c r="C56" s="3">
        <v>20</v>
      </c>
      <c r="D56" s="3">
        <v>103</v>
      </c>
      <c r="E56" s="3">
        <v>210</v>
      </c>
      <c r="F56" s="248" t="s">
        <v>6</v>
      </c>
      <c r="G56" s="249"/>
      <c r="H56" s="3">
        <v>1</v>
      </c>
      <c r="I56" s="5"/>
      <c r="J56" s="3">
        <f t="shared" si="14"/>
        <v>1</v>
      </c>
      <c r="K56" s="83"/>
      <c r="L56" s="19"/>
      <c r="M56" s="141">
        <f t="shared" si="15"/>
        <v>123291</v>
      </c>
      <c r="N56" s="159">
        <f t="shared" si="16"/>
        <v>123291</v>
      </c>
    </row>
    <row r="57" spans="1:14" x14ac:dyDescent="0.25">
      <c r="A57" s="227">
        <v>20</v>
      </c>
      <c r="B57" s="3" t="s">
        <v>37</v>
      </c>
      <c r="C57" s="3">
        <v>35</v>
      </c>
      <c r="D57" s="3">
        <v>100</v>
      </c>
      <c r="E57" s="3">
        <v>135</v>
      </c>
      <c r="F57" s="248" t="s">
        <v>6</v>
      </c>
      <c r="G57" s="249"/>
      <c r="H57" s="3">
        <v>1</v>
      </c>
      <c r="I57" s="5"/>
      <c r="J57" s="3">
        <f t="shared" si="14"/>
        <v>1</v>
      </c>
      <c r="K57" s="83"/>
      <c r="L57" s="19"/>
      <c r="M57" s="141">
        <f t="shared" si="15"/>
        <v>134662.5</v>
      </c>
      <c r="N57" s="159">
        <f t="shared" si="16"/>
        <v>134662.5</v>
      </c>
    </row>
    <row r="58" spans="1:14" x14ac:dyDescent="0.25">
      <c r="A58" s="239">
        <v>21</v>
      </c>
      <c r="B58" s="3" t="s">
        <v>37</v>
      </c>
      <c r="C58" s="3">
        <v>35</v>
      </c>
      <c r="D58" s="3">
        <v>67</v>
      </c>
      <c r="E58" s="3">
        <v>143</v>
      </c>
      <c r="F58" s="248" t="s">
        <v>6</v>
      </c>
      <c r="G58" s="249"/>
      <c r="H58" s="3">
        <v>1</v>
      </c>
      <c r="I58" s="5"/>
      <c r="J58" s="3">
        <f t="shared" si="14"/>
        <v>1</v>
      </c>
      <c r="K58" s="83"/>
      <c r="L58" s="19"/>
      <c r="M58" s="141">
        <f t="shared" si="15"/>
        <v>95570.475000000006</v>
      </c>
      <c r="N58" s="159">
        <f t="shared" si="16"/>
        <v>95570.475000000006</v>
      </c>
    </row>
    <row r="59" spans="1:14" s="152" customFormat="1" ht="38.25" customHeight="1" x14ac:dyDescent="0.25">
      <c r="A59" s="239">
        <v>22</v>
      </c>
      <c r="B59" s="83" t="s">
        <v>37</v>
      </c>
      <c r="C59" s="83">
        <v>36</v>
      </c>
      <c r="D59" s="83">
        <v>91</v>
      </c>
      <c r="E59" s="83">
        <v>185</v>
      </c>
      <c r="F59" s="264" t="s">
        <v>229</v>
      </c>
      <c r="G59" s="265"/>
      <c r="H59" s="83">
        <v>1</v>
      </c>
      <c r="I59" s="84"/>
      <c r="J59" s="83">
        <f t="shared" si="14"/>
        <v>1</v>
      </c>
      <c r="K59" s="83"/>
      <c r="L59" s="151"/>
      <c r="M59" s="155">
        <f t="shared" si="15"/>
        <v>172727.09999999998</v>
      </c>
      <c r="N59" s="156">
        <f t="shared" si="16"/>
        <v>172727.09999999998</v>
      </c>
    </row>
    <row r="60" spans="1:14" s="152" customFormat="1" ht="15" customHeight="1" x14ac:dyDescent="0.25">
      <c r="A60" s="239">
        <v>23</v>
      </c>
      <c r="B60" s="83" t="s">
        <v>37</v>
      </c>
      <c r="C60" s="83">
        <v>35</v>
      </c>
      <c r="D60" s="83">
        <v>58</v>
      </c>
      <c r="E60" s="83">
        <v>120</v>
      </c>
      <c r="F60" s="264" t="s">
        <v>6</v>
      </c>
      <c r="G60" s="265"/>
      <c r="H60" s="83">
        <v>1</v>
      </c>
      <c r="I60" s="84"/>
      <c r="J60" s="83">
        <f t="shared" si="14"/>
        <v>1</v>
      </c>
      <c r="K60" s="83"/>
      <c r="L60" s="151"/>
      <c r="M60" s="155">
        <f t="shared" si="15"/>
        <v>69426</v>
      </c>
      <c r="N60" s="156">
        <f t="shared" si="16"/>
        <v>69426</v>
      </c>
    </row>
    <row r="61" spans="1:14" x14ac:dyDescent="0.25">
      <c r="A61" s="13"/>
      <c r="B61" s="13"/>
      <c r="C61" s="13"/>
      <c r="D61" s="13"/>
      <c r="E61" s="13"/>
      <c r="F61" s="13"/>
      <c r="G61" s="13"/>
      <c r="H61" s="13"/>
      <c r="I61" s="88"/>
      <c r="L61" s="86"/>
      <c r="M61" s="96" t="s">
        <v>161</v>
      </c>
      <c r="N61" s="216">
        <f>SUM(N38:N60)</f>
        <v>1801717.2749999999</v>
      </c>
    </row>
    <row r="62" spans="1:14" x14ac:dyDescent="0.25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90"/>
      <c r="L62" s="91"/>
      <c r="M62" s="213"/>
      <c r="N62" s="213"/>
    </row>
    <row r="63" spans="1:14" x14ac:dyDescent="0.25">
      <c r="A63" s="3" t="s">
        <v>38</v>
      </c>
      <c r="B63" s="63" t="s">
        <v>47</v>
      </c>
      <c r="C63" s="248" t="s">
        <v>2</v>
      </c>
      <c r="D63" s="250"/>
      <c r="E63" s="249"/>
      <c r="F63" s="250" t="s">
        <v>0</v>
      </c>
      <c r="G63" s="249"/>
      <c r="H63" s="3" t="s">
        <v>1</v>
      </c>
      <c r="I63" s="3" t="s">
        <v>42</v>
      </c>
      <c r="J63" s="3" t="s">
        <v>41</v>
      </c>
      <c r="K63" s="83" t="s">
        <v>44</v>
      </c>
      <c r="L63" s="3" t="s">
        <v>45</v>
      </c>
      <c r="M63" s="158" t="s">
        <v>156</v>
      </c>
      <c r="N63" s="158" t="s">
        <v>157</v>
      </c>
    </row>
    <row r="64" spans="1:14" x14ac:dyDescent="0.25">
      <c r="A64" s="3">
        <v>1</v>
      </c>
      <c r="B64" s="3" t="s">
        <v>37</v>
      </c>
      <c r="C64" s="3">
        <v>42</v>
      </c>
      <c r="D64" s="63">
        <v>42</v>
      </c>
      <c r="E64" s="63">
        <v>124</v>
      </c>
      <c r="F64" s="248" t="s">
        <v>3</v>
      </c>
      <c r="G64" s="249"/>
      <c r="H64" s="3">
        <v>1</v>
      </c>
      <c r="I64" s="3"/>
      <c r="J64" s="9">
        <f t="shared" ref="J64:J70" si="17">H64-I64</f>
        <v>1</v>
      </c>
      <c r="K64" s="83"/>
      <c r="L64" s="19"/>
      <c r="M64" s="141">
        <f t="shared" ref="M64:M73" si="18">(C64*D64*E64)*3/1000000*95000</f>
        <v>62339.76</v>
      </c>
      <c r="N64" s="159">
        <f t="shared" ref="N64:N73" si="19">M64*J64</f>
        <v>62339.76</v>
      </c>
    </row>
    <row r="65" spans="1:14" x14ac:dyDescent="0.25">
      <c r="A65" s="3">
        <v>2</v>
      </c>
      <c r="B65" s="3" t="s">
        <v>37</v>
      </c>
      <c r="C65" s="3">
        <v>42</v>
      </c>
      <c r="D65" s="63">
        <v>50</v>
      </c>
      <c r="E65" s="63">
        <v>92</v>
      </c>
      <c r="F65" s="248" t="s">
        <v>3</v>
      </c>
      <c r="G65" s="249"/>
      <c r="H65" s="3">
        <v>1</v>
      </c>
      <c r="I65" s="3"/>
      <c r="J65" s="9">
        <f t="shared" si="17"/>
        <v>1</v>
      </c>
      <c r="K65" s="83"/>
      <c r="L65" s="19"/>
      <c r="M65" s="141">
        <f t="shared" si="18"/>
        <v>55062</v>
      </c>
      <c r="N65" s="159">
        <f t="shared" si="19"/>
        <v>55062</v>
      </c>
    </row>
    <row r="66" spans="1:14" x14ac:dyDescent="0.25">
      <c r="A66" s="191">
        <v>3</v>
      </c>
      <c r="B66" s="3" t="s">
        <v>37</v>
      </c>
      <c r="C66" s="3">
        <v>40</v>
      </c>
      <c r="D66" s="63">
        <v>37</v>
      </c>
      <c r="E66" s="63">
        <v>92</v>
      </c>
      <c r="F66" s="248" t="s">
        <v>6</v>
      </c>
      <c r="G66" s="249"/>
      <c r="H66" s="3">
        <v>1</v>
      </c>
      <c r="I66" s="3"/>
      <c r="J66" s="9">
        <f t="shared" si="17"/>
        <v>1</v>
      </c>
      <c r="K66" s="83"/>
      <c r="L66" s="19"/>
      <c r="M66" s="141">
        <f t="shared" si="18"/>
        <v>38805.599999999999</v>
      </c>
      <c r="N66" s="159">
        <f t="shared" si="19"/>
        <v>38805.599999999999</v>
      </c>
    </row>
    <row r="67" spans="1:14" x14ac:dyDescent="0.25">
      <c r="A67" s="191">
        <v>4</v>
      </c>
      <c r="B67" s="3" t="s">
        <v>37</v>
      </c>
      <c r="C67" s="3">
        <v>40</v>
      </c>
      <c r="D67" s="3">
        <v>67</v>
      </c>
      <c r="E67" s="3">
        <v>92</v>
      </c>
      <c r="F67" s="248" t="s">
        <v>6</v>
      </c>
      <c r="G67" s="249"/>
      <c r="H67" s="3">
        <v>1</v>
      </c>
      <c r="I67" s="3"/>
      <c r="J67" s="9">
        <f t="shared" si="17"/>
        <v>1</v>
      </c>
      <c r="K67" s="83"/>
      <c r="L67" s="19"/>
      <c r="M67" s="141">
        <f t="shared" si="18"/>
        <v>70269.600000000006</v>
      </c>
      <c r="N67" s="159">
        <f t="shared" si="19"/>
        <v>70269.600000000006</v>
      </c>
    </row>
    <row r="68" spans="1:14" x14ac:dyDescent="0.25">
      <c r="A68" s="191">
        <v>5</v>
      </c>
      <c r="B68" s="3" t="s">
        <v>37</v>
      </c>
      <c r="C68" s="3">
        <v>40</v>
      </c>
      <c r="D68" s="3">
        <v>58</v>
      </c>
      <c r="E68" s="3">
        <v>63</v>
      </c>
      <c r="F68" s="248" t="s">
        <v>6</v>
      </c>
      <c r="G68" s="249"/>
      <c r="H68" s="3">
        <v>1</v>
      </c>
      <c r="I68" s="3"/>
      <c r="J68" s="9">
        <f t="shared" si="17"/>
        <v>1</v>
      </c>
      <c r="K68" s="83"/>
      <c r="L68" s="19"/>
      <c r="M68" s="141">
        <f t="shared" si="18"/>
        <v>41655.599999999999</v>
      </c>
      <c r="N68" s="159">
        <f t="shared" si="19"/>
        <v>41655.599999999999</v>
      </c>
    </row>
    <row r="69" spans="1:14" x14ac:dyDescent="0.25">
      <c r="A69" s="191">
        <v>6</v>
      </c>
      <c r="B69" s="3" t="s">
        <v>37</v>
      </c>
      <c r="C69" s="3">
        <v>40</v>
      </c>
      <c r="D69" s="3">
        <v>65</v>
      </c>
      <c r="E69" s="3">
        <v>85</v>
      </c>
      <c r="F69" s="248" t="s">
        <v>6</v>
      </c>
      <c r="G69" s="249"/>
      <c r="H69" s="3">
        <v>1</v>
      </c>
      <c r="I69" s="3"/>
      <c r="J69" s="9">
        <f t="shared" si="17"/>
        <v>1</v>
      </c>
      <c r="K69" s="83"/>
      <c r="L69" s="19"/>
      <c r="M69" s="141">
        <f t="shared" si="18"/>
        <v>62985</v>
      </c>
      <c r="N69" s="159">
        <f t="shared" si="19"/>
        <v>62985</v>
      </c>
    </row>
    <row r="70" spans="1:14" x14ac:dyDescent="0.25">
      <c r="A70" s="191">
        <v>7</v>
      </c>
      <c r="B70" s="3" t="s">
        <v>37</v>
      </c>
      <c r="C70" s="3">
        <v>40</v>
      </c>
      <c r="D70" s="3">
        <v>43</v>
      </c>
      <c r="E70" s="3">
        <v>162</v>
      </c>
      <c r="F70" s="248" t="s">
        <v>6</v>
      </c>
      <c r="G70" s="249"/>
      <c r="H70" s="3">
        <v>1</v>
      </c>
      <c r="I70" s="3"/>
      <c r="J70" s="9">
        <f t="shared" si="17"/>
        <v>1</v>
      </c>
      <c r="K70" s="83"/>
      <c r="L70" s="19"/>
      <c r="M70" s="141">
        <f t="shared" si="18"/>
        <v>79412.399999999994</v>
      </c>
      <c r="N70" s="159">
        <f t="shared" si="19"/>
        <v>79412.399999999994</v>
      </c>
    </row>
    <row r="71" spans="1:14" x14ac:dyDescent="0.25">
      <c r="A71" s="191">
        <v>8</v>
      </c>
      <c r="B71" s="3" t="s">
        <v>37</v>
      </c>
      <c r="C71" s="3">
        <v>40</v>
      </c>
      <c r="D71" s="3">
        <v>33</v>
      </c>
      <c r="E71" s="3">
        <v>245</v>
      </c>
      <c r="F71" s="248" t="s">
        <v>6</v>
      </c>
      <c r="G71" s="249"/>
      <c r="H71" s="3">
        <v>1</v>
      </c>
      <c r="I71" s="3"/>
      <c r="J71" s="9">
        <f t="shared" ref="J71:J73" si="20">H71-I71</f>
        <v>1</v>
      </c>
      <c r="K71" s="14"/>
      <c r="L71" s="19"/>
      <c r="M71" s="141">
        <f t="shared" si="18"/>
        <v>92169</v>
      </c>
      <c r="N71" s="159">
        <f t="shared" si="19"/>
        <v>92169</v>
      </c>
    </row>
    <row r="72" spans="1:14" x14ac:dyDescent="0.25">
      <c r="A72" s="191">
        <v>9</v>
      </c>
      <c r="B72" s="3" t="s">
        <v>37</v>
      </c>
      <c r="C72" s="3">
        <v>40</v>
      </c>
      <c r="D72" s="3">
        <v>60</v>
      </c>
      <c r="E72" s="3">
        <v>65</v>
      </c>
      <c r="F72" s="248" t="s">
        <v>6</v>
      </c>
      <c r="G72" s="249"/>
      <c r="H72" s="3">
        <v>1</v>
      </c>
      <c r="I72" s="3"/>
      <c r="J72" s="9">
        <f t="shared" si="20"/>
        <v>1</v>
      </c>
      <c r="K72" s="14"/>
      <c r="L72" s="19"/>
      <c r="M72" s="141">
        <f t="shared" si="18"/>
        <v>44460</v>
      </c>
      <c r="N72" s="159">
        <f t="shared" si="19"/>
        <v>44460</v>
      </c>
    </row>
    <row r="73" spans="1:14" x14ac:dyDescent="0.25">
      <c r="A73" s="191">
        <v>10</v>
      </c>
      <c r="B73" s="3" t="s">
        <v>37</v>
      </c>
      <c r="C73" s="3">
        <v>40</v>
      </c>
      <c r="D73" s="3">
        <v>30</v>
      </c>
      <c r="E73" s="3">
        <v>145</v>
      </c>
      <c r="F73" s="248" t="s">
        <v>6</v>
      </c>
      <c r="G73" s="249"/>
      <c r="H73" s="3">
        <v>1</v>
      </c>
      <c r="I73" s="3"/>
      <c r="J73" s="9">
        <f t="shared" si="20"/>
        <v>1</v>
      </c>
      <c r="K73" s="14"/>
      <c r="L73" s="19"/>
      <c r="M73" s="141">
        <f t="shared" si="18"/>
        <v>49590</v>
      </c>
      <c r="N73" s="159">
        <f t="shared" si="19"/>
        <v>49590</v>
      </c>
    </row>
    <row r="74" spans="1:14" x14ac:dyDescent="0.25">
      <c r="A74" s="13"/>
      <c r="B74" s="13"/>
      <c r="C74" s="13"/>
      <c r="D74" s="13"/>
      <c r="E74" s="13"/>
      <c r="F74" s="13"/>
      <c r="G74" s="13"/>
      <c r="H74" s="13"/>
      <c r="I74" s="13"/>
      <c r="L74" s="86"/>
      <c r="M74" s="96" t="s">
        <v>162</v>
      </c>
      <c r="N74" s="216">
        <f>SUM(N64:N73)</f>
        <v>596748.96</v>
      </c>
    </row>
    <row r="75" spans="1:14" x14ac:dyDescent="0.25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90"/>
      <c r="L75" s="91"/>
      <c r="M75" s="213"/>
      <c r="N75" s="213"/>
    </row>
    <row r="76" spans="1:14" x14ac:dyDescent="0.25">
      <c r="A76" s="3" t="s">
        <v>38</v>
      </c>
      <c r="B76" s="63" t="s">
        <v>47</v>
      </c>
      <c r="C76" s="248" t="s">
        <v>2</v>
      </c>
      <c r="D76" s="250"/>
      <c r="E76" s="249"/>
      <c r="F76" s="250" t="s">
        <v>0</v>
      </c>
      <c r="G76" s="249"/>
      <c r="H76" s="3" t="s">
        <v>1</v>
      </c>
      <c r="I76" s="3" t="s">
        <v>42</v>
      </c>
      <c r="J76" s="3" t="s">
        <v>41</v>
      </c>
      <c r="K76" s="83" t="s">
        <v>44</v>
      </c>
      <c r="L76" s="3" t="s">
        <v>45</v>
      </c>
      <c r="M76" s="158" t="s">
        <v>156</v>
      </c>
      <c r="N76" s="158" t="s">
        <v>157</v>
      </c>
    </row>
    <row r="77" spans="1:14" x14ac:dyDescent="0.25">
      <c r="A77" s="9">
        <v>1</v>
      </c>
      <c r="B77" s="3" t="s">
        <v>37</v>
      </c>
      <c r="C77" s="3">
        <v>45</v>
      </c>
      <c r="D77" s="63">
        <v>40</v>
      </c>
      <c r="E77" s="63">
        <v>128</v>
      </c>
      <c r="F77" s="248" t="s">
        <v>3</v>
      </c>
      <c r="G77" s="249"/>
      <c r="H77" s="3">
        <v>1</v>
      </c>
      <c r="I77" s="3"/>
      <c r="J77" s="3">
        <f t="shared" ref="J77:J78" si="21">H77-I77</f>
        <v>1</v>
      </c>
      <c r="K77" s="83"/>
      <c r="L77" s="19"/>
      <c r="M77" s="141">
        <f t="shared" ref="M77:M80" si="22">(C77*D77*E77)*3/1000000*95000</f>
        <v>65664</v>
      </c>
      <c r="N77" s="159">
        <f t="shared" ref="N77:N80" si="23">M77*J77</f>
        <v>65664</v>
      </c>
    </row>
    <row r="78" spans="1:14" x14ac:dyDescent="0.25">
      <c r="A78" s="9">
        <v>2</v>
      </c>
      <c r="B78" s="3" t="s">
        <v>37</v>
      </c>
      <c r="C78" s="3">
        <v>45</v>
      </c>
      <c r="D78" s="63">
        <v>40</v>
      </c>
      <c r="E78" s="63">
        <v>90</v>
      </c>
      <c r="F78" s="248" t="s">
        <v>6</v>
      </c>
      <c r="G78" s="249"/>
      <c r="H78" s="3">
        <v>1</v>
      </c>
      <c r="I78" s="3"/>
      <c r="J78" s="3">
        <f t="shared" si="21"/>
        <v>1</v>
      </c>
      <c r="K78" s="83"/>
      <c r="L78" s="19"/>
      <c r="M78" s="141">
        <f t="shared" si="22"/>
        <v>46170</v>
      </c>
      <c r="N78" s="159">
        <f t="shared" si="23"/>
        <v>46170</v>
      </c>
    </row>
    <row r="79" spans="1:14" x14ac:dyDescent="0.25">
      <c r="A79" s="9">
        <v>3</v>
      </c>
      <c r="B79" s="3" t="s">
        <v>37</v>
      </c>
      <c r="C79" s="3">
        <v>45</v>
      </c>
      <c r="D79" s="3">
        <v>45</v>
      </c>
      <c r="E79" s="3">
        <v>124</v>
      </c>
      <c r="F79" s="262" t="s">
        <v>6</v>
      </c>
      <c r="G79" s="263"/>
      <c r="H79" s="3">
        <v>1</v>
      </c>
      <c r="I79" s="9"/>
      <c r="J79" s="3">
        <f t="shared" ref="J79:J80" si="24">H79-I79</f>
        <v>1</v>
      </c>
      <c r="K79" s="9"/>
      <c r="L79" s="19"/>
      <c r="M79" s="141">
        <f t="shared" si="22"/>
        <v>71563.5</v>
      </c>
      <c r="N79" s="159">
        <f t="shared" si="23"/>
        <v>71563.5</v>
      </c>
    </row>
    <row r="80" spans="1:14" x14ac:dyDescent="0.25">
      <c r="A80" s="9">
        <v>4</v>
      </c>
      <c r="B80" s="3" t="s">
        <v>37</v>
      </c>
      <c r="C80" s="3">
        <v>45</v>
      </c>
      <c r="D80" s="3">
        <v>300</v>
      </c>
      <c r="E80" s="3">
        <v>360</v>
      </c>
      <c r="F80" s="262" t="s">
        <v>6</v>
      </c>
      <c r="G80" s="263"/>
      <c r="H80" s="3">
        <v>1</v>
      </c>
      <c r="I80" s="9"/>
      <c r="J80" s="3">
        <f t="shared" si="24"/>
        <v>1</v>
      </c>
      <c r="K80" s="9"/>
      <c r="L80" s="19"/>
      <c r="M80" s="141">
        <f t="shared" si="22"/>
        <v>1385100</v>
      </c>
      <c r="N80" s="159">
        <f t="shared" si="23"/>
        <v>1385100</v>
      </c>
    </row>
    <row r="81" spans="1:14" x14ac:dyDescent="0.25">
      <c r="B81" s="13"/>
      <c r="C81" s="13"/>
      <c r="D81" s="13"/>
      <c r="E81" s="13"/>
      <c r="F81" s="13"/>
      <c r="G81" s="13"/>
      <c r="H81" s="13"/>
      <c r="I81" s="13"/>
      <c r="L81" s="86"/>
      <c r="M81" s="96" t="s">
        <v>163</v>
      </c>
      <c r="N81" s="216">
        <f>SUM(N77:N80)</f>
        <v>1568497.5</v>
      </c>
    </row>
    <row r="82" spans="1:14" x14ac:dyDescent="0.25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90"/>
      <c r="L82" s="91"/>
      <c r="M82" s="213"/>
      <c r="N82" s="213"/>
    </row>
    <row r="83" spans="1:14" x14ac:dyDescent="0.25">
      <c r="A83" s="3" t="s">
        <v>38</v>
      </c>
      <c r="B83" s="63" t="s">
        <v>47</v>
      </c>
      <c r="C83" s="248" t="s">
        <v>2</v>
      </c>
      <c r="D83" s="250"/>
      <c r="E83" s="249"/>
      <c r="F83" s="250" t="s">
        <v>0</v>
      </c>
      <c r="G83" s="249"/>
      <c r="H83" s="3" t="s">
        <v>1</v>
      </c>
      <c r="I83" s="3" t="s">
        <v>42</v>
      </c>
      <c r="J83" s="3" t="s">
        <v>41</v>
      </c>
      <c r="K83" s="83" t="s">
        <v>48</v>
      </c>
      <c r="L83" s="3" t="s">
        <v>45</v>
      </c>
      <c r="M83" s="158" t="s">
        <v>156</v>
      </c>
      <c r="N83" s="158" t="s">
        <v>157</v>
      </c>
    </row>
    <row r="84" spans="1:14" x14ac:dyDescent="0.25">
      <c r="A84" s="9">
        <v>1</v>
      </c>
      <c r="B84" s="3" t="s">
        <v>37</v>
      </c>
      <c r="C84" s="3">
        <v>60</v>
      </c>
      <c r="D84" s="63">
        <v>41</v>
      </c>
      <c r="E84" s="63">
        <v>225</v>
      </c>
      <c r="F84" s="248" t="s">
        <v>6</v>
      </c>
      <c r="G84" s="249"/>
      <c r="H84" s="3">
        <v>1</v>
      </c>
      <c r="I84" s="3"/>
      <c r="J84" s="3">
        <f t="shared" ref="J84:J88" si="25">H84-I84</f>
        <v>1</v>
      </c>
      <c r="K84" s="83"/>
      <c r="L84" s="19"/>
      <c r="M84" s="141">
        <f t="shared" ref="M84:M88" si="26">(C84*D84*E84)*3/1000000*95000</f>
        <v>157747.5</v>
      </c>
      <c r="N84" s="159">
        <f t="shared" ref="N84:N88" si="27">M84*J84</f>
        <v>157747.5</v>
      </c>
    </row>
    <row r="85" spans="1:14" x14ac:dyDescent="0.25">
      <c r="A85" s="9">
        <v>2</v>
      </c>
      <c r="B85" s="3" t="s">
        <v>37</v>
      </c>
      <c r="C85" s="3">
        <v>60</v>
      </c>
      <c r="D85" s="63">
        <v>37</v>
      </c>
      <c r="E85" s="63">
        <v>118</v>
      </c>
      <c r="F85" s="248" t="s">
        <v>6</v>
      </c>
      <c r="G85" s="249"/>
      <c r="H85" s="3">
        <v>1</v>
      </c>
      <c r="I85" s="3"/>
      <c r="J85" s="3">
        <f t="shared" si="25"/>
        <v>1</v>
      </c>
      <c r="K85" s="83"/>
      <c r="L85" s="19"/>
      <c r="M85" s="141">
        <f t="shared" si="26"/>
        <v>74658.600000000006</v>
      </c>
      <c r="N85" s="159">
        <f t="shared" si="27"/>
        <v>74658.600000000006</v>
      </c>
    </row>
    <row r="86" spans="1:14" x14ac:dyDescent="0.25">
      <c r="A86" s="9">
        <v>3</v>
      </c>
      <c r="B86" s="3" t="s">
        <v>37</v>
      </c>
      <c r="C86" s="3">
        <v>40</v>
      </c>
      <c r="D86" s="63">
        <v>60</v>
      </c>
      <c r="E86" s="63">
        <v>210</v>
      </c>
      <c r="F86" s="248" t="s">
        <v>6</v>
      </c>
      <c r="G86" s="249"/>
      <c r="H86" s="3">
        <v>1</v>
      </c>
      <c r="I86" s="3"/>
      <c r="J86" s="3">
        <f t="shared" si="25"/>
        <v>1</v>
      </c>
      <c r="K86" s="83"/>
      <c r="L86" s="19"/>
      <c r="M86" s="141">
        <f t="shared" si="26"/>
        <v>143640</v>
      </c>
      <c r="N86" s="159">
        <f t="shared" si="27"/>
        <v>143640</v>
      </c>
    </row>
    <row r="87" spans="1:14" x14ac:dyDescent="0.25">
      <c r="A87" s="9">
        <v>4</v>
      </c>
      <c r="B87" s="3" t="s">
        <v>37</v>
      </c>
      <c r="C87" s="3">
        <v>60</v>
      </c>
      <c r="D87" s="63">
        <v>30</v>
      </c>
      <c r="E87" s="63">
        <v>243</v>
      </c>
      <c r="F87" s="248" t="s">
        <v>6</v>
      </c>
      <c r="G87" s="249"/>
      <c r="H87" s="3">
        <v>1</v>
      </c>
      <c r="I87" s="3"/>
      <c r="J87" s="3">
        <f t="shared" si="25"/>
        <v>1</v>
      </c>
      <c r="K87" s="83"/>
      <c r="L87" s="19"/>
      <c r="M87" s="141">
        <f t="shared" si="26"/>
        <v>124659</v>
      </c>
      <c r="N87" s="159">
        <f t="shared" si="27"/>
        <v>124659</v>
      </c>
    </row>
    <row r="88" spans="1:14" x14ac:dyDescent="0.25">
      <c r="A88" s="9">
        <v>5</v>
      </c>
      <c r="B88" s="3" t="s">
        <v>37</v>
      </c>
      <c r="C88" s="3">
        <v>50</v>
      </c>
      <c r="D88" s="63">
        <v>34</v>
      </c>
      <c r="E88" s="63">
        <v>170</v>
      </c>
      <c r="F88" s="248" t="s">
        <v>6</v>
      </c>
      <c r="G88" s="249"/>
      <c r="H88" s="3">
        <v>1</v>
      </c>
      <c r="I88" s="3"/>
      <c r="J88" s="3">
        <f t="shared" si="25"/>
        <v>1</v>
      </c>
      <c r="K88" s="83"/>
      <c r="L88" s="19"/>
      <c r="M88" s="141">
        <f t="shared" si="26"/>
        <v>82365</v>
      </c>
      <c r="N88" s="159">
        <f t="shared" si="27"/>
        <v>82365</v>
      </c>
    </row>
    <row r="89" spans="1:14" ht="41.25" customHeight="1" x14ac:dyDescent="0.25">
      <c r="A89" s="215">
        <v>6</v>
      </c>
      <c r="B89" s="3" t="s">
        <v>37</v>
      </c>
      <c r="C89" s="3">
        <v>50</v>
      </c>
      <c r="D89" s="63">
        <v>65</v>
      </c>
      <c r="E89" s="63">
        <v>70</v>
      </c>
      <c r="F89" s="262" t="s">
        <v>40</v>
      </c>
      <c r="G89" s="263"/>
      <c r="H89" s="3">
        <v>2</v>
      </c>
      <c r="I89" s="3"/>
      <c r="J89" s="3">
        <f t="shared" ref="J89:J93" si="28">H89-I89</f>
        <v>2</v>
      </c>
      <c r="K89" s="9"/>
      <c r="L89" s="115"/>
      <c r="M89" s="141">
        <f>(C89*D89*E89)*3/1000000*95000</f>
        <v>64837.5</v>
      </c>
      <c r="N89" s="159">
        <f t="shared" ref="N89:N95" si="29">M89*J89</f>
        <v>129675</v>
      </c>
    </row>
    <row r="90" spans="1:14" x14ac:dyDescent="0.25">
      <c r="A90" s="215">
        <v>7</v>
      </c>
      <c r="B90" s="3" t="s">
        <v>37</v>
      </c>
      <c r="C90" s="3">
        <v>65</v>
      </c>
      <c r="D90" s="63">
        <v>42</v>
      </c>
      <c r="E90" s="63">
        <v>70</v>
      </c>
      <c r="F90" s="262" t="s">
        <v>133</v>
      </c>
      <c r="G90" s="263"/>
      <c r="H90" s="3">
        <v>1</v>
      </c>
      <c r="I90" s="3"/>
      <c r="J90" s="3">
        <f t="shared" si="28"/>
        <v>1</v>
      </c>
      <c r="K90" s="9"/>
      <c r="L90" s="19"/>
      <c r="M90" s="141">
        <f>(C90*D90*E90)*3/1000000*115000</f>
        <v>65929.5</v>
      </c>
      <c r="N90" s="159">
        <f t="shared" si="29"/>
        <v>65929.5</v>
      </c>
    </row>
    <row r="91" spans="1:14" x14ac:dyDescent="0.25">
      <c r="A91" s="9">
        <v>8</v>
      </c>
      <c r="B91" s="3" t="s">
        <v>37</v>
      </c>
      <c r="C91" s="3">
        <v>50</v>
      </c>
      <c r="D91" s="3">
        <v>40</v>
      </c>
      <c r="E91" s="3">
        <v>90</v>
      </c>
      <c r="F91" s="248" t="s">
        <v>6</v>
      </c>
      <c r="G91" s="249"/>
      <c r="H91" s="3">
        <v>1</v>
      </c>
      <c r="I91" s="3"/>
      <c r="J91" s="3">
        <f t="shared" si="28"/>
        <v>1</v>
      </c>
      <c r="K91" s="83"/>
      <c r="L91" s="19"/>
      <c r="M91" s="141">
        <f t="shared" ref="M91:M95" si="30">(C91*D91*E91)*3/1000000*95000</f>
        <v>51300</v>
      </c>
      <c r="N91" s="159">
        <f t="shared" si="29"/>
        <v>51300</v>
      </c>
    </row>
    <row r="92" spans="1:14" s="220" customFormat="1" ht="15" customHeight="1" x14ac:dyDescent="0.25">
      <c r="A92" s="14">
        <v>9</v>
      </c>
      <c r="B92" s="3" t="s">
        <v>37</v>
      </c>
      <c r="C92" s="3">
        <v>150</v>
      </c>
      <c r="D92" s="3">
        <v>257</v>
      </c>
      <c r="E92" s="3">
        <v>257</v>
      </c>
      <c r="F92" s="248" t="s">
        <v>210</v>
      </c>
      <c r="G92" s="249"/>
      <c r="H92" s="3">
        <v>1</v>
      </c>
      <c r="I92" s="3"/>
      <c r="J92" s="3">
        <f t="shared" si="28"/>
        <v>1</v>
      </c>
      <c r="K92" s="217"/>
      <c r="L92" s="144"/>
      <c r="M92" s="218">
        <f t="shared" si="30"/>
        <v>2823594.75</v>
      </c>
      <c r="N92" s="219">
        <f t="shared" si="29"/>
        <v>2823594.75</v>
      </c>
    </row>
    <row r="93" spans="1:14" s="220" customFormat="1" ht="15" customHeight="1" x14ac:dyDescent="0.25">
      <c r="A93" s="9">
        <v>10</v>
      </c>
      <c r="B93" s="3" t="s">
        <v>37</v>
      </c>
      <c r="C93" s="3">
        <v>23</v>
      </c>
      <c r="D93" s="3">
        <v>48</v>
      </c>
      <c r="E93" s="3">
        <v>75</v>
      </c>
      <c r="F93" s="248" t="s">
        <v>6</v>
      </c>
      <c r="G93" s="249"/>
      <c r="H93" s="3">
        <v>1</v>
      </c>
      <c r="I93" s="3"/>
      <c r="J93" s="3">
        <f t="shared" si="28"/>
        <v>1</v>
      </c>
      <c r="K93" s="217"/>
      <c r="L93" s="144"/>
      <c r="M93" s="218">
        <f t="shared" si="30"/>
        <v>23598</v>
      </c>
      <c r="N93" s="159">
        <f t="shared" si="29"/>
        <v>23598</v>
      </c>
    </row>
    <row r="94" spans="1:14" s="220" customFormat="1" ht="15" customHeight="1" x14ac:dyDescent="0.25">
      <c r="A94" s="14">
        <v>11</v>
      </c>
      <c r="B94" s="3" t="s">
        <v>37</v>
      </c>
      <c r="C94" s="3">
        <v>50</v>
      </c>
      <c r="D94" s="3">
        <v>79</v>
      </c>
      <c r="E94" s="3">
        <v>90</v>
      </c>
      <c r="F94" s="248" t="s">
        <v>6</v>
      </c>
      <c r="G94" s="249"/>
      <c r="H94" s="3">
        <v>1</v>
      </c>
      <c r="I94" s="3"/>
      <c r="J94" s="3">
        <f t="shared" ref="J94:J95" si="31">H94-I94</f>
        <v>1</v>
      </c>
      <c r="K94" s="217"/>
      <c r="L94" s="144"/>
      <c r="M94" s="218">
        <f t="shared" si="30"/>
        <v>101317.5</v>
      </c>
      <c r="N94" s="219">
        <f t="shared" si="29"/>
        <v>101317.5</v>
      </c>
    </row>
    <row r="95" spans="1:14" s="220" customFormat="1" ht="15" customHeight="1" x14ac:dyDescent="0.25">
      <c r="A95" s="9">
        <v>12</v>
      </c>
      <c r="B95" s="3" t="s">
        <v>37</v>
      </c>
      <c r="C95" s="3">
        <v>50</v>
      </c>
      <c r="D95" s="3">
        <v>60</v>
      </c>
      <c r="E95" s="3">
        <v>93</v>
      </c>
      <c r="F95" s="248" t="s">
        <v>6</v>
      </c>
      <c r="G95" s="249"/>
      <c r="H95" s="3">
        <v>1</v>
      </c>
      <c r="I95" s="3"/>
      <c r="J95" s="3">
        <f t="shared" si="31"/>
        <v>1</v>
      </c>
      <c r="K95" s="217"/>
      <c r="L95" s="144"/>
      <c r="M95" s="218">
        <f t="shared" si="30"/>
        <v>79515</v>
      </c>
      <c r="N95" s="159">
        <f t="shared" si="29"/>
        <v>79515</v>
      </c>
    </row>
    <row r="96" spans="1:14" x14ac:dyDescent="0.25">
      <c r="M96" s="96" t="s">
        <v>164</v>
      </c>
      <c r="N96" s="216">
        <f>SUM(N84:N95)</f>
        <v>3857999.85</v>
      </c>
    </row>
    <row r="97" spans="1:14" x14ac:dyDescent="0.25">
      <c r="G97" s="220"/>
    </row>
    <row r="98" spans="1:14" x14ac:dyDescent="0.25">
      <c r="A98" s="112"/>
      <c r="B98" s="112" t="s">
        <v>196</v>
      </c>
      <c r="C98" s="112"/>
      <c r="M98" s="137"/>
      <c r="N98" s="137"/>
    </row>
    <row r="99" spans="1:14" s="122" customFormat="1" x14ac:dyDescent="0.25">
      <c r="K99" s="90"/>
      <c r="L99" s="91"/>
      <c r="M99" s="213"/>
      <c r="N99" s="213"/>
    </row>
    <row r="100" spans="1:14" ht="15" customHeight="1" x14ac:dyDescent="0.25">
      <c r="A100" s="3" t="s">
        <v>38</v>
      </c>
      <c r="B100" s="63" t="s">
        <v>47</v>
      </c>
      <c r="C100" s="248" t="s">
        <v>2</v>
      </c>
      <c r="D100" s="249"/>
      <c r="E100" s="108" t="s">
        <v>167</v>
      </c>
      <c r="F100" s="250" t="s">
        <v>0</v>
      </c>
      <c r="G100" s="249"/>
      <c r="H100" s="3" t="s">
        <v>1</v>
      </c>
      <c r="I100" s="3" t="s">
        <v>42</v>
      </c>
      <c r="J100" s="3" t="s">
        <v>41</v>
      </c>
      <c r="K100" s="83" t="s">
        <v>48</v>
      </c>
      <c r="L100" s="3" t="s">
        <v>45</v>
      </c>
      <c r="M100" s="158" t="s">
        <v>156</v>
      </c>
      <c r="N100" s="158" t="s">
        <v>157</v>
      </c>
    </row>
    <row r="101" spans="1:14" x14ac:dyDescent="0.25">
      <c r="A101" s="9">
        <v>1</v>
      </c>
      <c r="B101" s="3" t="s">
        <v>37</v>
      </c>
      <c r="C101" s="4">
        <v>35</v>
      </c>
      <c r="D101" s="4">
        <v>47</v>
      </c>
      <c r="E101" s="65">
        <f>C101/2</f>
        <v>17.5</v>
      </c>
      <c r="F101" s="248" t="s">
        <v>6</v>
      </c>
      <c r="G101" s="249"/>
      <c r="H101" s="108">
        <v>1</v>
      </c>
      <c r="I101" s="5"/>
      <c r="J101" s="3">
        <f>H101-I101</f>
        <v>1</v>
      </c>
      <c r="K101" s="14"/>
      <c r="L101" s="19"/>
      <c r="M101" s="141">
        <f>(3.14*E101*E101*D101)*3/1000000*95000</f>
        <v>12880.966875</v>
      </c>
      <c r="N101" s="159">
        <f>M101*J101</f>
        <v>12880.966875</v>
      </c>
    </row>
    <row r="102" spans="1:14" x14ac:dyDescent="0.25">
      <c r="M102" s="96" t="s">
        <v>165</v>
      </c>
      <c r="N102" s="216">
        <f>SUM(N101:N101)</f>
        <v>12880.966875</v>
      </c>
    </row>
    <row r="104" spans="1:14" x14ac:dyDescent="0.25">
      <c r="M104" s="146" t="s">
        <v>158</v>
      </c>
      <c r="N104" s="221">
        <f>N19+N35+N61+N74+N81+N96+N102</f>
        <v>10118073.301874999</v>
      </c>
    </row>
  </sheetData>
  <autoFilter ref="C1:E104"/>
  <mergeCells count="88">
    <mergeCell ref="F101:G101"/>
    <mergeCell ref="F67:G67"/>
    <mergeCell ref="F68:G68"/>
    <mergeCell ref="F78:G78"/>
    <mergeCell ref="F76:G76"/>
    <mergeCell ref="F83:G83"/>
    <mergeCell ref="F84:G84"/>
    <mergeCell ref="F85:G85"/>
    <mergeCell ref="F86:G86"/>
    <mergeCell ref="F87:G87"/>
    <mergeCell ref="F88:G88"/>
    <mergeCell ref="F80:G80"/>
    <mergeCell ref="F93:G93"/>
    <mergeCell ref="F100:G100"/>
    <mergeCell ref="F94:G94"/>
    <mergeCell ref="F25:G25"/>
    <mergeCell ref="F56:G56"/>
    <mergeCell ref="F92:G92"/>
    <mergeCell ref="F34:G34"/>
    <mergeCell ref="F46:G46"/>
    <mergeCell ref="F49:G49"/>
    <mergeCell ref="F50:G50"/>
    <mergeCell ref="F44:G44"/>
    <mergeCell ref="F38:G38"/>
    <mergeCell ref="F39:G39"/>
    <mergeCell ref="F40:G40"/>
    <mergeCell ref="F57:G57"/>
    <mergeCell ref="F54:G54"/>
    <mergeCell ref="F24:G24"/>
    <mergeCell ref="F23:G23"/>
    <mergeCell ref="F22:G22"/>
    <mergeCell ref="F21:G21"/>
    <mergeCell ref="F95:G95"/>
    <mergeCell ref="F29:G29"/>
    <mergeCell ref="F30:G30"/>
    <mergeCell ref="F31:G31"/>
    <mergeCell ref="F32:G32"/>
    <mergeCell ref="F37:G37"/>
    <mergeCell ref="F27:G27"/>
    <mergeCell ref="F33:G33"/>
    <mergeCell ref="F73:G73"/>
    <mergeCell ref="F69:G69"/>
    <mergeCell ref="F28:G28"/>
    <mergeCell ref="F26:G26"/>
    <mergeCell ref="F17:G17"/>
    <mergeCell ref="C2:E2"/>
    <mergeCell ref="C3:E5"/>
    <mergeCell ref="C6:E6"/>
    <mergeCell ref="C10:E10"/>
    <mergeCell ref="F10:G10"/>
    <mergeCell ref="F11:G11"/>
    <mergeCell ref="F13:G13"/>
    <mergeCell ref="F14:G14"/>
    <mergeCell ref="F12:G12"/>
    <mergeCell ref="F15:G15"/>
    <mergeCell ref="F16:G16"/>
    <mergeCell ref="C21:E21"/>
    <mergeCell ref="F60:G60"/>
    <mergeCell ref="F18:G18"/>
    <mergeCell ref="F58:G58"/>
    <mergeCell ref="F59:G59"/>
    <mergeCell ref="F41:G41"/>
    <mergeCell ref="F51:G51"/>
    <mergeCell ref="F47:G47"/>
    <mergeCell ref="F42:G42"/>
    <mergeCell ref="F43:G43"/>
    <mergeCell ref="F45:G45"/>
    <mergeCell ref="F48:G48"/>
    <mergeCell ref="F52:G52"/>
    <mergeCell ref="F55:G55"/>
    <mergeCell ref="F53:G53"/>
    <mergeCell ref="C37:E37"/>
    <mergeCell ref="C100:D100"/>
    <mergeCell ref="C83:E83"/>
    <mergeCell ref="C76:E76"/>
    <mergeCell ref="C63:E63"/>
    <mergeCell ref="F64:G64"/>
    <mergeCell ref="F65:G65"/>
    <mergeCell ref="F63:G63"/>
    <mergeCell ref="F66:G66"/>
    <mergeCell ref="F89:G89"/>
    <mergeCell ref="F90:G90"/>
    <mergeCell ref="F91:G91"/>
    <mergeCell ref="F79:G79"/>
    <mergeCell ref="F71:G71"/>
    <mergeCell ref="F72:G72"/>
    <mergeCell ref="F77:G77"/>
    <mergeCell ref="F70:G70"/>
  </mergeCells>
  <pageMargins left="0.70866141732283472" right="0.70866141732283472" top="0.74803149606299213" bottom="0.74803149606299213" header="0.31496062992125984" footer="0.31496062992125984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2050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2050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N56"/>
  <sheetViews>
    <sheetView topLeftCell="A28" zoomScaleNormal="100" workbookViewId="0">
      <selection activeCell="L33" sqref="L33"/>
    </sheetView>
  </sheetViews>
  <sheetFormatPr defaultRowHeight="15" x14ac:dyDescent="0.25"/>
  <cols>
    <col min="1" max="1" width="4.140625" style="94" customWidth="1"/>
    <col min="2" max="2" width="16.5703125" style="94" customWidth="1"/>
    <col min="3" max="5" width="6.28515625" style="94" customWidth="1"/>
    <col min="6" max="6" width="10.7109375" style="94" customWidth="1"/>
    <col min="7" max="7" width="10.140625" style="94" customWidth="1"/>
    <col min="8" max="8" width="9.7109375" style="94" customWidth="1"/>
    <col min="9" max="9" width="9.140625" style="94" customWidth="1"/>
    <col min="10" max="10" width="9.140625" style="94"/>
    <col min="11" max="11" width="28.140625" style="94" customWidth="1"/>
    <col min="12" max="12" width="19" style="94" customWidth="1"/>
    <col min="13" max="14" width="17.140625" style="94" customWidth="1"/>
    <col min="15" max="16384" width="9.140625" style="94"/>
  </cols>
  <sheetData>
    <row r="1" spans="1:14" ht="15" customHeight="1" x14ac:dyDescent="0.25">
      <c r="H1" s="94" t="s">
        <v>93</v>
      </c>
    </row>
    <row r="2" spans="1:14" ht="15" customHeight="1" x14ac:dyDescent="0.25">
      <c r="A2" s="193"/>
      <c r="B2" s="194"/>
      <c r="C2" s="248" t="s">
        <v>94</v>
      </c>
      <c r="D2" s="250"/>
      <c r="E2" s="249"/>
      <c r="F2" s="178" t="s">
        <v>95</v>
      </c>
      <c r="G2" s="9"/>
      <c r="H2" s="3" t="s">
        <v>96</v>
      </c>
      <c r="I2" s="47" t="s">
        <v>97</v>
      </c>
      <c r="J2" s="38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195">
        <v>43257</v>
      </c>
      <c r="H3" s="196"/>
      <c r="I3" s="196"/>
      <c r="J3" s="196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197">
        <v>0</v>
      </c>
      <c r="H4" s="198"/>
      <c r="I4" s="198"/>
      <c r="J4" s="198"/>
    </row>
    <row r="5" spans="1:14" ht="15" customHeight="1" x14ac:dyDescent="0.25">
      <c r="A5" s="199"/>
      <c r="C5" s="257"/>
      <c r="D5" s="258"/>
      <c r="E5" s="259"/>
      <c r="F5" s="200"/>
      <c r="G5" s="201"/>
      <c r="H5" s="202"/>
      <c r="I5" s="202"/>
      <c r="J5" s="202"/>
    </row>
    <row r="6" spans="1:14" ht="15" customHeight="1" x14ac:dyDescent="0.25">
      <c r="A6" s="201"/>
      <c r="B6" s="203"/>
      <c r="C6" s="248"/>
      <c r="D6" s="250"/>
      <c r="E6" s="249"/>
      <c r="F6" s="49"/>
      <c r="G6" s="40"/>
      <c r="H6" s="48"/>
      <c r="I6" s="48"/>
      <c r="J6" s="48"/>
    </row>
    <row r="7" spans="1:14" ht="15" customHeight="1" x14ac:dyDescent="0.25">
      <c r="A7" s="204" t="s">
        <v>47</v>
      </c>
      <c r="B7" s="205"/>
      <c r="C7" s="94" t="s">
        <v>105</v>
      </c>
      <c r="F7" s="194"/>
      <c r="G7" s="194"/>
      <c r="H7" s="194"/>
      <c r="I7" s="194"/>
      <c r="J7" s="205"/>
    </row>
    <row r="8" spans="1:14" ht="15" customHeight="1" x14ac:dyDescent="0.25">
      <c r="A8" s="190" t="s">
        <v>63</v>
      </c>
      <c r="B8" s="178"/>
      <c r="C8" s="207" t="s">
        <v>248</v>
      </c>
      <c r="D8" s="207"/>
      <c r="E8" s="207"/>
      <c r="I8" s="13"/>
      <c r="J8" s="222"/>
    </row>
    <row r="9" spans="1:14" ht="15" customHeight="1" x14ac:dyDescent="0.25">
      <c r="A9" s="201" t="s">
        <v>62</v>
      </c>
      <c r="B9" s="200"/>
      <c r="C9" s="94" t="s">
        <v>103</v>
      </c>
      <c r="F9" s="203"/>
      <c r="G9" s="203"/>
      <c r="H9" s="203"/>
      <c r="I9" s="211"/>
      <c r="J9" s="200"/>
    </row>
    <row r="10" spans="1:14" ht="15" customHeight="1" x14ac:dyDescent="0.25">
      <c r="A10" s="3" t="s">
        <v>38</v>
      </c>
      <c r="B10" s="63" t="s">
        <v>47</v>
      </c>
      <c r="C10" s="248" t="s">
        <v>2</v>
      </c>
      <c r="D10" s="250"/>
      <c r="E10" s="249"/>
      <c r="F10" s="250" t="s">
        <v>0</v>
      </c>
      <c r="G10" s="249"/>
      <c r="H10" s="3" t="s">
        <v>1</v>
      </c>
      <c r="I10" s="3" t="s">
        <v>42</v>
      </c>
      <c r="J10" s="3" t="s">
        <v>41</v>
      </c>
      <c r="K10" s="3" t="s">
        <v>44</v>
      </c>
      <c r="L10" s="3" t="s">
        <v>45</v>
      </c>
      <c r="M10" s="158" t="s">
        <v>156</v>
      </c>
      <c r="N10" s="158" t="s">
        <v>157</v>
      </c>
    </row>
    <row r="11" spans="1:14" ht="15" customHeight="1" x14ac:dyDescent="0.25">
      <c r="A11" s="3">
        <v>1</v>
      </c>
      <c r="B11" s="3" t="s">
        <v>5</v>
      </c>
      <c r="C11" s="73">
        <v>40</v>
      </c>
      <c r="D11" s="72">
        <v>80</v>
      </c>
      <c r="E11" s="72">
        <v>80</v>
      </c>
      <c r="F11" s="248" t="s">
        <v>6</v>
      </c>
      <c r="G11" s="249"/>
      <c r="H11" s="3">
        <v>1</v>
      </c>
      <c r="I11" s="3"/>
      <c r="J11" s="3">
        <f>H11-I11</f>
        <v>1</v>
      </c>
      <c r="K11" s="14"/>
      <c r="L11" s="21"/>
      <c r="M11" s="141">
        <f>(C11*D11*E11)*3/1000000*115000</f>
        <v>88320</v>
      </c>
      <c r="N11" s="159">
        <f>M11*J11</f>
        <v>88320</v>
      </c>
    </row>
    <row r="12" spans="1:14" ht="15" customHeight="1" x14ac:dyDescent="0.25">
      <c r="A12" s="3">
        <v>2</v>
      </c>
      <c r="B12" s="3" t="s">
        <v>5</v>
      </c>
      <c r="C12" s="3">
        <v>38</v>
      </c>
      <c r="D12" s="63">
        <v>53</v>
      </c>
      <c r="E12" s="63">
        <v>60</v>
      </c>
      <c r="F12" s="248" t="s">
        <v>6</v>
      </c>
      <c r="G12" s="249"/>
      <c r="H12" s="3">
        <v>1</v>
      </c>
      <c r="I12" s="3"/>
      <c r="J12" s="3">
        <f t="shared" ref="J12:J18" si="0">H12-I12</f>
        <v>1</v>
      </c>
      <c r="K12" s="9"/>
      <c r="L12" s="21"/>
      <c r="M12" s="141">
        <f t="shared" ref="M12:M20" si="1">(C12*D12*E12)*3/1000000*115000</f>
        <v>41689.800000000003</v>
      </c>
      <c r="N12" s="159">
        <f>M12*J12</f>
        <v>41689.800000000003</v>
      </c>
    </row>
    <row r="13" spans="1:14" ht="15" customHeight="1" x14ac:dyDescent="0.25">
      <c r="A13" s="3">
        <v>3</v>
      </c>
      <c r="B13" s="3" t="s">
        <v>5</v>
      </c>
      <c r="C13" s="3">
        <v>34</v>
      </c>
      <c r="D13" s="63">
        <v>40</v>
      </c>
      <c r="E13" s="63">
        <v>260</v>
      </c>
      <c r="F13" s="248" t="s">
        <v>26</v>
      </c>
      <c r="G13" s="249"/>
      <c r="H13" s="3">
        <v>9</v>
      </c>
      <c r="I13" s="3"/>
      <c r="J13" s="3">
        <f t="shared" si="0"/>
        <v>9</v>
      </c>
      <c r="K13" s="14"/>
      <c r="L13" s="21"/>
      <c r="M13" s="141">
        <f t="shared" si="1"/>
        <v>121992</v>
      </c>
      <c r="N13" s="159">
        <f>M13*J13</f>
        <v>1097928</v>
      </c>
    </row>
    <row r="14" spans="1:14" ht="15" customHeight="1" x14ac:dyDescent="0.25">
      <c r="A14" s="230">
        <v>4</v>
      </c>
      <c r="B14" s="3" t="s">
        <v>5</v>
      </c>
      <c r="C14" s="3">
        <v>20</v>
      </c>
      <c r="D14" s="63">
        <v>50</v>
      </c>
      <c r="E14" s="63">
        <v>54</v>
      </c>
      <c r="F14" s="248" t="s">
        <v>6</v>
      </c>
      <c r="G14" s="249"/>
      <c r="H14" s="3">
        <v>1</v>
      </c>
      <c r="I14" s="3"/>
      <c r="J14" s="3">
        <f t="shared" si="0"/>
        <v>1</v>
      </c>
      <c r="K14" s="9"/>
      <c r="L14" s="21"/>
      <c r="M14" s="141">
        <f t="shared" si="1"/>
        <v>18630</v>
      </c>
      <c r="N14" s="159">
        <f t="shared" ref="N14:N20" si="2">M14*J14</f>
        <v>18630</v>
      </c>
    </row>
    <row r="15" spans="1:14" ht="15" customHeight="1" x14ac:dyDescent="0.25">
      <c r="A15" s="230">
        <v>5</v>
      </c>
      <c r="B15" s="3" t="s">
        <v>5</v>
      </c>
      <c r="C15" s="3">
        <v>37</v>
      </c>
      <c r="D15" s="63">
        <v>75</v>
      </c>
      <c r="E15" s="63">
        <v>110</v>
      </c>
      <c r="F15" s="248" t="s">
        <v>6</v>
      </c>
      <c r="G15" s="249"/>
      <c r="H15" s="3">
        <v>1</v>
      </c>
      <c r="I15" s="3"/>
      <c r="J15" s="3">
        <f t="shared" si="0"/>
        <v>1</v>
      </c>
      <c r="K15" s="9"/>
      <c r="L15" s="21"/>
      <c r="M15" s="141">
        <f t="shared" si="1"/>
        <v>105311.25</v>
      </c>
      <c r="N15" s="159">
        <f t="shared" si="2"/>
        <v>105311.25</v>
      </c>
    </row>
    <row r="16" spans="1:14" ht="15" customHeight="1" x14ac:dyDescent="0.25">
      <c r="A16" s="230">
        <v>6</v>
      </c>
      <c r="B16" s="3" t="s">
        <v>5</v>
      </c>
      <c r="C16" s="3">
        <v>50</v>
      </c>
      <c r="D16" s="63">
        <v>40</v>
      </c>
      <c r="E16" s="63">
        <v>90</v>
      </c>
      <c r="F16" s="262" t="s">
        <v>69</v>
      </c>
      <c r="G16" s="263"/>
      <c r="H16" s="3">
        <v>1</v>
      </c>
      <c r="I16" s="3"/>
      <c r="J16" s="3">
        <f t="shared" si="0"/>
        <v>1</v>
      </c>
      <c r="K16" s="9"/>
      <c r="L16" s="21"/>
      <c r="M16" s="141">
        <f t="shared" si="1"/>
        <v>62100.000000000007</v>
      </c>
      <c r="N16" s="159">
        <f t="shared" si="2"/>
        <v>62100.000000000007</v>
      </c>
    </row>
    <row r="17" spans="1:14" ht="15" customHeight="1" x14ac:dyDescent="0.25">
      <c r="A17" s="230">
        <v>7</v>
      </c>
      <c r="B17" s="3" t="s">
        <v>5</v>
      </c>
      <c r="C17" s="3">
        <v>40</v>
      </c>
      <c r="D17" s="63">
        <v>53</v>
      </c>
      <c r="E17" s="63">
        <v>227</v>
      </c>
      <c r="F17" s="248" t="s">
        <v>6</v>
      </c>
      <c r="G17" s="249"/>
      <c r="H17" s="3">
        <v>1</v>
      </c>
      <c r="I17" s="3"/>
      <c r="J17" s="3">
        <f t="shared" si="0"/>
        <v>1</v>
      </c>
      <c r="K17" s="9"/>
      <c r="L17" s="21"/>
      <c r="M17" s="141">
        <f t="shared" si="1"/>
        <v>166027.79999999999</v>
      </c>
      <c r="N17" s="159">
        <f t="shared" si="2"/>
        <v>166027.79999999999</v>
      </c>
    </row>
    <row r="18" spans="1:14" ht="15" customHeight="1" x14ac:dyDescent="0.25">
      <c r="A18" s="230">
        <v>8</v>
      </c>
      <c r="B18" s="3" t="s">
        <v>5</v>
      </c>
      <c r="C18" s="3">
        <v>30</v>
      </c>
      <c r="D18" s="63">
        <v>47</v>
      </c>
      <c r="E18" s="63">
        <v>210</v>
      </c>
      <c r="F18" s="248" t="s">
        <v>6</v>
      </c>
      <c r="G18" s="249"/>
      <c r="H18" s="3">
        <v>1</v>
      </c>
      <c r="I18" s="3"/>
      <c r="J18" s="3">
        <f t="shared" si="0"/>
        <v>1</v>
      </c>
      <c r="K18" s="9"/>
      <c r="L18" s="21"/>
      <c r="M18" s="141">
        <f t="shared" si="1"/>
        <v>102154.5</v>
      </c>
      <c r="N18" s="159">
        <f t="shared" si="2"/>
        <v>102154.5</v>
      </c>
    </row>
    <row r="19" spans="1:14" s="152" customFormat="1" ht="31.5" customHeight="1" x14ac:dyDescent="0.25">
      <c r="A19" s="230">
        <v>9</v>
      </c>
      <c r="B19" s="83" t="s">
        <v>5</v>
      </c>
      <c r="C19" s="83">
        <v>50</v>
      </c>
      <c r="D19" s="83">
        <v>80</v>
      </c>
      <c r="E19" s="83">
        <v>220</v>
      </c>
      <c r="F19" s="268" t="s">
        <v>199</v>
      </c>
      <c r="G19" s="269"/>
      <c r="H19" s="83">
        <v>1</v>
      </c>
      <c r="I19" s="83"/>
      <c r="J19" s="83">
        <f t="shared" ref="J19:J53" si="3">H19-I19</f>
        <v>1</v>
      </c>
      <c r="K19" s="83"/>
      <c r="L19" s="151"/>
      <c r="M19" s="155">
        <f t="shared" si="1"/>
        <v>303600</v>
      </c>
      <c r="N19" s="156">
        <f t="shared" si="2"/>
        <v>303600</v>
      </c>
    </row>
    <row r="20" spans="1:14" ht="31.5" customHeight="1" x14ac:dyDescent="0.25">
      <c r="A20" s="230">
        <v>10</v>
      </c>
      <c r="B20" s="3" t="s">
        <v>5</v>
      </c>
      <c r="C20" s="3">
        <v>25</v>
      </c>
      <c r="D20" s="3">
        <v>126</v>
      </c>
      <c r="E20" s="3">
        <v>195</v>
      </c>
      <c r="F20" s="268" t="s">
        <v>200</v>
      </c>
      <c r="G20" s="269"/>
      <c r="H20" s="3">
        <v>1</v>
      </c>
      <c r="I20" s="3"/>
      <c r="J20" s="3">
        <f t="shared" si="3"/>
        <v>1</v>
      </c>
      <c r="K20" s="9"/>
      <c r="L20" s="21"/>
      <c r="M20" s="157">
        <f t="shared" si="1"/>
        <v>211916.25</v>
      </c>
      <c r="N20" s="158">
        <f t="shared" si="2"/>
        <v>211916.25</v>
      </c>
    </row>
    <row r="21" spans="1:14" s="152" customFormat="1" ht="31.5" customHeight="1" x14ac:dyDescent="0.25">
      <c r="A21" s="230">
        <v>11</v>
      </c>
      <c r="B21" s="83" t="s">
        <v>78</v>
      </c>
      <c r="C21" s="83">
        <v>31</v>
      </c>
      <c r="D21" s="145">
        <v>41</v>
      </c>
      <c r="E21" s="145">
        <v>270</v>
      </c>
      <c r="F21" s="262" t="s">
        <v>79</v>
      </c>
      <c r="G21" s="263"/>
      <c r="H21" s="83">
        <v>1</v>
      </c>
      <c r="I21" s="83"/>
      <c r="J21" s="83">
        <f t="shared" si="3"/>
        <v>1</v>
      </c>
      <c r="K21" s="83"/>
      <c r="L21" s="151"/>
      <c r="M21" s="155">
        <f t="shared" ref="M21:M51" si="4">(C21*D21*E21)*3/1000000*115000</f>
        <v>118393.65</v>
      </c>
      <c r="N21" s="156">
        <f t="shared" ref="N21:N51" si="5">M21*J21</f>
        <v>118393.65</v>
      </c>
    </row>
    <row r="22" spans="1:14" x14ac:dyDescent="0.25">
      <c r="A22" s="230">
        <v>12</v>
      </c>
      <c r="B22" s="3" t="s">
        <v>78</v>
      </c>
      <c r="C22" s="4">
        <v>30</v>
      </c>
      <c r="D22" s="65">
        <v>38</v>
      </c>
      <c r="E22" s="65">
        <v>185</v>
      </c>
      <c r="F22" s="248" t="s">
        <v>126</v>
      </c>
      <c r="G22" s="249"/>
      <c r="H22" s="3">
        <v>1</v>
      </c>
      <c r="I22" s="3"/>
      <c r="J22" s="3">
        <f t="shared" si="3"/>
        <v>1</v>
      </c>
      <c r="K22" s="9"/>
      <c r="L22" s="21"/>
      <c r="M22" s="141">
        <f t="shared" si="4"/>
        <v>72760.5</v>
      </c>
      <c r="N22" s="159">
        <f t="shared" si="5"/>
        <v>72760.5</v>
      </c>
    </row>
    <row r="23" spans="1:14" x14ac:dyDescent="0.25">
      <c r="A23" s="230">
        <v>13</v>
      </c>
      <c r="B23" s="3" t="s">
        <v>78</v>
      </c>
      <c r="C23" s="4">
        <v>30</v>
      </c>
      <c r="D23" s="65">
        <v>43</v>
      </c>
      <c r="E23" s="65">
        <v>185</v>
      </c>
      <c r="F23" s="248" t="s">
        <v>127</v>
      </c>
      <c r="G23" s="249"/>
      <c r="H23" s="3">
        <v>1</v>
      </c>
      <c r="I23" s="3"/>
      <c r="J23" s="3">
        <f t="shared" si="3"/>
        <v>1</v>
      </c>
      <c r="K23" s="9"/>
      <c r="L23" s="21"/>
      <c r="M23" s="141">
        <f t="shared" si="4"/>
        <v>82334.25</v>
      </c>
      <c r="N23" s="159">
        <f t="shared" si="5"/>
        <v>82334.25</v>
      </c>
    </row>
    <row r="24" spans="1:14" ht="33" customHeight="1" x14ac:dyDescent="0.25">
      <c r="A24" s="230">
        <v>14</v>
      </c>
      <c r="B24" s="3" t="s">
        <v>5</v>
      </c>
      <c r="C24" s="3">
        <v>20</v>
      </c>
      <c r="D24" s="63">
        <v>54</v>
      </c>
      <c r="E24" s="63">
        <v>110</v>
      </c>
      <c r="F24" s="262" t="s">
        <v>57</v>
      </c>
      <c r="G24" s="263"/>
      <c r="H24" s="3">
        <v>1</v>
      </c>
      <c r="I24" s="3"/>
      <c r="J24" s="3">
        <f t="shared" si="3"/>
        <v>1</v>
      </c>
      <c r="K24" s="9"/>
      <c r="L24" s="21"/>
      <c r="M24" s="141">
        <f t="shared" si="4"/>
        <v>40986</v>
      </c>
      <c r="N24" s="159">
        <f t="shared" si="5"/>
        <v>40986</v>
      </c>
    </row>
    <row r="25" spans="1:14" ht="35.25" customHeight="1" x14ac:dyDescent="0.25">
      <c r="A25" s="230">
        <v>15</v>
      </c>
      <c r="B25" s="3" t="s">
        <v>5</v>
      </c>
      <c r="C25" s="3">
        <v>20</v>
      </c>
      <c r="D25" s="63">
        <v>58</v>
      </c>
      <c r="E25" s="63">
        <v>117</v>
      </c>
      <c r="F25" s="262" t="s">
        <v>57</v>
      </c>
      <c r="G25" s="263"/>
      <c r="H25" s="3">
        <v>1</v>
      </c>
      <c r="I25" s="3"/>
      <c r="J25" s="3">
        <f t="shared" si="3"/>
        <v>1</v>
      </c>
      <c r="K25" s="9"/>
      <c r="L25" s="21"/>
      <c r="M25" s="141">
        <f t="shared" si="4"/>
        <v>46823.4</v>
      </c>
      <c r="N25" s="159">
        <f t="shared" si="5"/>
        <v>46823.4</v>
      </c>
    </row>
    <row r="26" spans="1:14" ht="31.5" customHeight="1" x14ac:dyDescent="0.25">
      <c r="A26" s="230">
        <v>16</v>
      </c>
      <c r="B26" s="3" t="s">
        <v>5</v>
      </c>
      <c r="C26" s="3">
        <v>20</v>
      </c>
      <c r="D26" s="63">
        <v>55</v>
      </c>
      <c r="E26" s="63">
        <v>115</v>
      </c>
      <c r="F26" s="262" t="s">
        <v>57</v>
      </c>
      <c r="G26" s="263"/>
      <c r="H26" s="3">
        <v>1</v>
      </c>
      <c r="I26" s="3"/>
      <c r="J26" s="3">
        <f t="shared" si="3"/>
        <v>1</v>
      </c>
      <c r="K26" s="9"/>
      <c r="L26" s="21"/>
      <c r="M26" s="141">
        <f t="shared" si="4"/>
        <v>43642.5</v>
      </c>
      <c r="N26" s="159">
        <f t="shared" si="5"/>
        <v>43642.5</v>
      </c>
    </row>
    <row r="27" spans="1:14" ht="32.25" customHeight="1" x14ac:dyDescent="0.25">
      <c r="A27" s="230">
        <v>17</v>
      </c>
      <c r="B27" s="3" t="s">
        <v>5</v>
      </c>
      <c r="C27" s="3">
        <v>20</v>
      </c>
      <c r="D27" s="63">
        <v>56</v>
      </c>
      <c r="E27" s="63">
        <v>115</v>
      </c>
      <c r="F27" s="262" t="s">
        <v>57</v>
      </c>
      <c r="G27" s="263"/>
      <c r="H27" s="3">
        <v>1</v>
      </c>
      <c r="I27" s="3"/>
      <c r="J27" s="3">
        <f t="shared" si="3"/>
        <v>1</v>
      </c>
      <c r="K27" s="9"/>
      <c r="L27" s="21"/>
      <c r="M27" s="141">
        <f t="shared" si="4"/>
        <v>44436</v>
      </c>
      <c r="N27" s="159">
        <f t="shared" si="5"/>
        <v>44436</v>
      </c>
    </row>
    <row r="28" spans="1:14" ht="82.5" customHeight="1" x14ac:dyDescent="0.25">
      <c r="A28" s="230">
        <v>18</v>
      </c>
      <c r="B28" s="3" t="s">
        <v>5</v>
      </c>
      <c r="C28" s="3">
        <v>15</v>
      </c>
      <c r="D28" s="63">
        <v>90</v>
      </c>
      <c r="E28" s="63">
        <v>96</v>
      </c>
      <c r="F28" s="262" t="s">
        <v>71</v>
      </c>
      <c r="G28" s="263"/>
      <c r="H28" s="3">
        <v>1</v>
      </c>
      <c r="I28" s="9"/>
      <c r="J28" s="3">
        <f t="shared" si="3"/>
        <v>1</v>
      </c>
      <c r="K28" s="9"/>
      <c r="L28" s="21"/>
      <c r="M28" s="141">
        <f t="shared" si="4"/>
        <v>44712</v>
      </c>
      <c r="N28" s="159">
        <f t="shared" si="5"/>
        <v>44712</v>
      </c>
    </row>
    <row r="29" spans="1:14" ht="90" customHeight="1" x14ac:dyDescent="0.25">
      <c r="A29" s="230">
        <v>19</v>
      </c>
      <c r="B29" s="3" t="s">
        <v>5</v>
      </c>
      <c r="C29" s="3">
        <v>15</v>
      </c>
      <c r="D29" s="63">
        <v>90</v>
      </c>
      <c r="E29" s="63">
        <v>95</v>
      </c>
      <c r="F29" s="262" t="s">
        <v>71</v>
      </c>
      <c r="G29" s="263"/>
      <c r="H29" s="3">
        <v>1</v>
      </c>
      <c r="I29" s="9"/>
      <c r="J29" s="3">
        <f t="shared" si="3"/>
        <v>1</v>
      </c>
      <c r="K29" s="9"/>
      <c r="L29" s="21"/>
      <c r="M29" s="141">
        <f t="shared" si="4"/>
        <v>44246.25</v>
      </c>
      <c r="N29" s="159">
        <f t="shared" si="5"/>
        <v>44246.25</v>
      </c>
    </row>
    <row r="30" spans="1:14" x14ac:dyDescent="0.25">
      <c r="A30" s="230">
        <v>20</v>
      </c>
      <c r="B30" s="3" t="s">
        <v>78</v>
      </c>
      <c r="C30" s="3">
        <v>25</v>
      </c>
      <c r="D30" s="63">
        <v>100</v>
      </c>
      <c r="E30" s="63">
        <v>142</v>
      </c>
      <c r="F30" s="266" t="s">
        <v>128</v>
      </c>
      <c r="G30" s="267"/>
      <c r="H30" s="3">
        <v>1</v>
      </c>
      <c r="I30" s="9"/>
      <c r="J30" s="3">
        <f t="shared" si="3"/>
        <v>1</v>
      </c>
      <c r="K30" s="9"/>
      <c r="L30" s="21"/>
      <c r="M30" s="141">
        <f t="shared" si="4"/>
        <v>122475</v>
      </c>
      <c r="N30" s="159">
        <f t="shared" si="5"/>
        <v>122475</v>
      </c>
    </row>
    <row r="31" spans="1:14" x14ac:dyDescent="0.25">
      <c r="A31" s="230">
        <v>21</v>
      </c>
      <c r="B31" s="3" t="s">
        <v>78</v>
      </c>
      <c r="C31" s="3">
        <v>25</v>
      </c>
      <c r="D31" s="63">
        <v>102</v>
      </c>
      <c r="E31" s="63">
        <v>144</v>
      </c>
      <c r="F31" s="266" t="s">
        <v>128</v>
      </c>
      <c r="G31" s="267"/>
      <c r="H31" s="3">
        <v>1</v>
      </c>
      <c r="I31" s="3">
        <v>1</v>
      </c>
      <c r="J31" s="3">
        <f t="shared" si="3"/>
        <v>0</v>
      </c>
      <c r="K31" s="3" t="s">
        <v>249</v>
      </c>
      <c r="L31" s="19">
        <v>45328</v>
      </c>
      <c r="M31" s="141">
        <f t="shared" si="4"/>
        <v>126683.99999999999</v>
      </c>
      <c r="N31" s="159">
        <f t="shared" si="5"/>
        <v>0</v>
      </c>
    </row>
    <row r="32" spans="1:14" x14ac:dyDescent="0.25">
      <c r="A32" s="230">
        <v>22</v>
      </c>
      <c r="B32" s="3" t="s">
        <v>78</v>
      </c>
      <c r="C32" s="3">
        <v>25</v>
      </c>
      <c r="D32" s="63">
        <v>110</v>
      </c>
      <c r="E32" s="63">
        <v>143</v>
      </c>
      <c r="F32" s="266" t="s">
        <v>128</v>
      </c>
      <c r="G32" s="267"/>
      <c r="H32" s="3">
        <v>1</v>
      </c>
      <c r="I32" s="9"/>
      <c r="J32" s="3">
        <f t="shared" si="3"/>
        <v>1</v>
      </c>
      <c r="K32" s="9"/>
      <c r="L32" s="21"/>
      <c r="M32" s="141">
        <f t="shared" si="4"/>
        <v>135671.25</v>
      </c>
      <c r="N32" s="159">
        <f t="shared" si="5"/>
        <v>135671.25</v>
      </c>
    </row>
    <row r="33" spans="1:14" s="246" customFormat="1" x14ac:dyDescent="0.25">
      <c r="A33" s="242">
        <v>23</v>
      </c>
      <c r="B33" s="242" t="s">
        <v>5</v>
      </c>
      <c r="C33" s="4">
        <v>25</v>
      </c>
      <c r="D33" s="65">
        <v>102</v>
      </c>
      <c r="E33" s="65">
        <v>143</v>
      </c>
      <c r="F33" s="270" t="s">
        <v>128</v>
      </c>
      <c r="G33" s="271"/>
      <c r="H33" s="242">
        <v>4</v>
      </c>
      <c r="I33" s="242">
        <v>1</v>
      </c>
      <c r="J33" s="242">
        <f t="shared" si="3"/>
        <v>3</v>
      </c>
      <c r="K33" s="242" t="s">
        <v>252</v>
      </c>
      <c r="L33" s="243">
        <v>45335</v>
      </c>
      <c r="M33" s="244">
        <f t="shared" si="4"/>
        <v>125804.25</v>
      </c>
      <c r="N33" s="245">
        <f t="shared" si="5"/>
        <v>377412.75</v>
      </c>
    </row>
    <row r="34" spans="1:14" x14ac:dyDescent="0.25">
      <c r="A34" s="230">
        <v>24</v>
      </c>
      <c r="B34" s="3" t="s">
        <v>78</v>
      </c>
      <c r="C34" s="3">
        <v>25</v>
      </c>
      <c r="D34" s="63">
        <v>112</v>
      </c>
      <c r="E34" s="63">
        <v>142</v>
      </c>
      <c r="F34" s="248" t="s">
        <v>128</v>
      </c>
      <c r="G34" s="249"/>
      <c r="H34" s="3">
        <v>1</v>
      </c>
      <c r="I34" s="9"/>
      <c r="J34" s="3">
        <f t="shared" si="3"/>
        <v>1</v>
      </c>
      <c r="K34" s="9"/>
      <c r="L34" s="21"/>
      <c r="M34" s="141">
        <f t="shared" si="4"/>
        <v>137172</v>
      </c>
      <c r="N34" s="159">
        <f t="shared" si="5"/>
        <v>137172</v>
      </c>
    </row>
    <row r="35" spans="1:14" x14ac:dyDescent="0.25">
      <c r="A35" s="230">
        <v>25</v>
      </c>
      <c r="B35" s="3" t="s">
        <v>78</v>
      </c>
      <c r="C35" s="3">
        <v>45</v>
      </c>
      <c r="D35" s="63">
        <v>66</v>
      </c>
      <c r="E35" s="63">
        <v>66</v>
      </c>
      <c r="F35" s="248" t="s">
        <v>129</v>
      </c>
      <c r="G35" s="249"/>
      <c r="H35" s="3">
        <v>2</v>
      </c>
      <c r="I35" s="9"/>
      <c r="J35" s="3">
        <f t="shared" si="3"/>
        <v>2</v>
      </c>
      <c r="K35" s="9"/>
      <c r="L35" s="21"/>
      <c r="M35" s="141">
        <f t="shared" si="4"/>
        <v>67626.900000000009</v>
      </c>
      <c r="N35" s="159">
        <f t="shared" si="5"/>
        <v>135253.80000000002</v>
      </c>
    </row>
    <row r="36" spans="1:14" x14ac:dyDescent="0.25">
      <c r="A36" s="230">
        <v>26</v>
      </c>
      <c r="B36" s="3" t="s">
        <v>78</v>
      </c>
      <c r="C36" s="3">
        <v>45</v>
      </c>
      <c r="D36" s="63">
        <v>65</v>
      </c>
      <c r="E36" s="63">
        <v>65</v>
      </c>
      <c r="F36" s="248" t="s">
        <v>129</v>
      </c>
      <c r="G36" s="249"/>
      <c r="H36" s="3">
        <v>19</v>
      </c>
      <c r="I36" s="9"/>
      <c r="J36" s="3">
        <f t="shared" si="3"/>
        <v>19</v>
      </c>
      <c r="K36" s="9"/>
      <c r="L36" s="21"/>
      <c r="M36" s="141">
        <f t="shared" si="4"/>
        <v>65593.125</v>
      </c>
      <c r="N36" s="159">
        <f t="shared" si="5"/>
        <v>1246269.375</v>
      </c>
    </row>
    <row r="37" spans="1:14" x14ac:dyDescent="0.25">
      <c r="A37" s="230">
        <v>27</v>
      </c>
      <c r="B37" s="5" t="s">
        <v>78</v>
      </c>
      <c r="C37" s="60">
        <v>45</v>
      </c>
      <c r="D37" s="74">
        <v>64</v>
      </c>
      <c r="E37" s="74">
        <v>65</v>
      </c>
      <c r="F37" s="248" t="s">
        <v>129</v>
      </c>
      <c r="G37" s="249"/>
      <c r="H37" s="5">
        <v>2</v>
      </c>
      <c r="I37" s="9"/>
      <c r="J37" s="3">
        <f t="shared" si="3"/>
        <v>2</v>
      </c>
      <c r="K37" s="9"/>
      <c r="L37" s="21"/>
      <c r="M37" s="141">
        <f t="shared" si="4"/>
        <v>64584</v>
      </c>
      <c r="N37" s="159">
        <f t="shared" si="5"/>
        <v>129168</v>
      </c>
    </row>
    <row r="38" spans="1:14" x14ac:dyDescent="0.25">
      <c r="A38" s="230">
        <v>28</v>
      </c>
      <c r="B38" s="5" t="s">
        <v>78</v>
      </c>
      <c r="C38" s="60">
        <v>45</v>
      </c>
      <c r="D38" s="74">
        <v>66</v>
      </c>
      <c r="E38" s="74">
        <v>67</v>
      </c>
      <c r="F38" s="266" t="s">
        <v>129</v>
      </c>
      <c r="G38" s="267"/>
      <c r="H38" s="5">
        <v>2</v>
      </c>
      <c r="I38" s="3"/>
      <c r="J38" s="3">
        <f t="shared" si="3"/>
        <v>2</v>
      </c>
      <c r="K38" s="3"/>
      <c r="L38" s="19"/>
      <c r="M38" s="141">
        <f t="shared" si="4"/>
        <v>68651.55</v>
      </c>
      <c r="N38" s="159">
        <f t="shared" si="5"/>
        <v>137303.1</v>
      </c>
    </row>
    <row r="39" spans="1:14" x14ac:dyDescent="0.25">
      <c r="A39" s="230">
        <v>29</v>
      </c>
      <c r="B39" s="3" t="s">
        <v>78</v>
      </c>
      <c r="C39" s="4">
        <v>45</v>
      </c>
      <c r="D39" s="65">
        <v>65</v>
      </c>
      <c r="E39" s="65">
        <v>66</v>
      </c>
      <c r="F39" s="248" t="s">
        <v>129</v>
      </c>
      <c r="G39" s="249"/>
      <c r="H39" s="3">
        <v>1</v>
      </c>
      <c r="I39" s="9"/>
      <c r="J39" s="3">
        <f t="shared" si="3"/>
        <v>1</v>
      </c>
      <c r="K39" s="9"/>
      <c r="L39" s="21"/>
      <c r="M39" s="141">
        <f t="shared" si="4"/>
        <v>66602.25</v>
      </c>
      <c r="N39" s="159">
        <f t="shared" si="5"/>
        <v>66602.25</v>
      </c>
    </row>
    <row r="40" spans="1:14" x14ac:dyDescent="0.25">
      <c r="A40" s="230">
        <v>30</v>
      </c>
      <c r="B40" s="5" t="s">
        <v>78</v>
      </c>
      <c r="C40" s="60">
        <v>45</v>
      </c>
      <c r="D40" s="74">
        <v>65</v>
      </c>
      <c r="E40" s="74">
        <v>67</v>
      </c>
      <c r="F40" s="266" t="s">
        <v>129</v>
      </c>
      <c r="G40" s="267"/>
      <c r="H40" s="5">
        <v>1</v>
      </c>
      <c r="I40" s="9"/>
      <c r="J40" s="3">
        <f t="shared" si="3"/>
        <v>1</v>
      </c>
      <c r="K40" s="9"/>
      <c r="L40" s="21"/>
      <c r="M40" s="141">
        <f t="shared" si="4"/>
        <v>67611.375</v>
      </c>
      <c r="N40" s="159">
        <f t="shared" si="5"/>
        <v>67611.375</v>
      </c>
    </row>
    <row r="41" spans="1:14" x14ac:dyDescent="0.25">
      <c r="A41" s="230">
        <v>31</v>
      </c>
      <c r="B41" s="5" t="s">
        <v>78</v>
      </c>
      <c r="C41" s="60">
        <v>45</v>
      </c>
      <c r="D41" s="74">
        <v>67</v>
      </c>
      <c r="E41" s="74">
        <v>74</v>
      </c>
      <c r="F41" s="266" t="s">
        <v>129</v>
      </c>
      <c r="G41" s="267"/>
      <c r="H41" s="5">
        <v>1</v>
      </c>
      <c r="I41" s="3"/>
      <c r="J41" s="3">
        <f t="shared" si="3"/>
        <v>1</v>
      </c>
      <c r="K41" s="3"/>
      <c r="L41" s="19"/>
      <c r="M41" s="141">
        <f t="shared" si="4"/>
        <v>76972.95</v>
      </c>
      <c r="N41" s="159">
        <f t="shared" si="5"/>
        <v>76972.95</v>
      </c>
    </row>
    <row r="42" spans="1:14" x14ac:dyDescent="0.25">
      <c r="A42" s="230">
        <v>32</v>
      </c>
      <c r="B42" s="5" t="s">
        <v>78</v>
      </c>
      <c r="C42" s="60">
        <v>43</v>
      </c>
      <c r="D42" s="74">
        <v>66</v>
      </c>
      <c r="E42" s="74">
        <v>70</v>
      </c>
      <c r="F42" s="266" t="s">
        <v>129</v>
      </c>
      <c r="G42" s="267"/>
      <c r="H42" s="5">
        <v>1</v>
      </c>
      <c r="I42" s="9"/>
      <c r="J42" s="3">
        <f t="shared" si="3"/>
        <v>1</v>
      </c>
      <c r="K42" s="9"/>
      <c r="L42" s="21"/>
      <c r="M42" s="141">
        <f t="shared" si="4"/>
        <v>68537.7</v>
      </c>
      <c r="N42" s="159">
        <f t="shared" si="5"/>
        <v>68537.7</v>
      </c>
    </row>
    <row r="43" spans="1:14" x14ac:dyDescent="0.25">
      <c r="A43" s="230">
        <v>33</v>
      </c>
      <c r="B43" s="5" t="s">
        <v>78</v>
      </c>
      <c r="C43" s="60">
        <v>45</v>
      </c>
      <c r="D43" s="74">
        <v>68</v>
      </c>
      <c r="E43" s="74">
        <v>68</v>
      </c>
      <c r="F43" s="266" t="s">
        <v>129</v>
      </c>
      <c r="G43" s="267"/>
      <c r="H43" s="5">
        <v>1</v>
      </c>
      <c r="I43" s="3"/>
      <c r="J43" s="3">
        <f t="shared" si="3"/>
        <v>1</v>
      </c>
      <c r="K43" s="3"/>
      <c r="L43" s="19"/>
      <c r="M43" s="141">
        <f t="shared" si="4"/>
        <v>71787.600000000006</v>
      </c>
      <c r="N43" s="159">
        <f t="shared" si="5"/>
        <v>71787.600000000006</v>
      </c>
    </row>
    <row r="44" spans="1:14" x14ac:dyDescent="0.25">
      <c r="A44" s="230">
        <v>34</v>
      </c>
      <c r="B44" s="5" t="s">
        <v>78</v>
      </c>
      <c r="C44" s="60">
        <v>45</v>
      </c>
      <c r="D44" s="74">
        <v>65</v>
      </c>
      <c r="E44" s="74">
        <v>69</v>
      </c>
      <c r="F44" s="266" t="s">
        <v>129</v>
      </c>
      <c r="G44" s="267"/>
      <c r="H44" s="5">
        <v>1</v>
      </c>
      <c r="I44" s="3"/>
      <c r="J44" s="3">
        <f t="shared" si="3"/>
        <v>1</v>
      </c>
      <c r="K44" s="3"/>
      <c r="L44" s="19"/>
      <c r="M44" s="141">
        <f t="shared" si="4"/>
        <v>69629.625</v>
      </c>
      <c r="N44" s="159">
        <f t="shared" si="5"/>
        <v>69629.625</v>
      </c>
    </row>
    <row r="45" spans="1:14" ht="31.5" customHeight="1" x14ac:dyDescent="0.25">
      <c r="A45" s="230">
        <v>35</v>
      </c>
      <c r="B45" s="3" t="s">
        <v>78</v>
      </c>
      <c r="C45" s="4">
        <v>10</v>
      </c>
      <c r="D45" s="4">
        <v>127</v>
      </c>
      <c r="E45" s="4">
        <v>215</v>
      </c>
      <c r="F45" s="268" t="s">
        <v>204</v>
      </c>
      <c r="G45" s="269"/>
      <c r="H45" s="3">
        <v>1</v>
      </c>
      <c r="I45" s="9"/>
      <c r="J45" s="3">
        <f t="shared" si="3"/>
        <v>1</v>
      </c>
      <c r="K45" s="9"/>
      <c r="L45" s="21"/>
      <c r="M45" s="157">
        <f t="shared" si="4"/>
        <v>94202.25</v>
      </c>
      <c r="N45" s="158">
        <f t="shared" si="5"/>
        <v>94202.25</v>
      </c>
    </row>
    <row r="46" spans="1:14" x14ac:dyDescent="0.25">
      <c r="A46" s="230">
        <v>36</v>
      </c>
      <c r="B46" s="3" t="s">
        <v>78</v>
      </c>
      <c r="C46" s="4">
        <v>27</v>
      </c>
      <c r="D46" s="4">
        <v>40</v>
      </c>
      <c r="E46" s="4">
        <v>115</v>
      </c>
      <c r="F46" s="248" t="s">
        <v>227</v>
      </c>
      <c r="G46" s="249"/>
      <c r="H46" s="3">
        <v>2</v>
      </c>
      <c r="I46" s="9"/>
      <c r="J46" s="3">
        <f t="shared" si="3"/>
        <v>2</v>
      </c>
      <c r="K46" s="9"/>
      <c r="L46" s="21"/>
      <c r="M46" s="141">
        <f t="shared" si="4"/>
        <v>42849</v>
      </c>
      <c r="N46" s="159">
        <f t="shared" si="5"/>
        <v>85698</v>
      </c>
    </row>
    <row r="47" spans="1:14" x14ac:dyDescent="0.25">
      <c r="A47" s="230">
        <v>37</v>
      </c>
      <c r="B47" s="5" t="s">
        <v>78</v>
      </c>
      <c r="C47" s="4">
        <v>30</v>
      </c>
      <c r="D47" s="4">
        <v>30</v>
      </c>
      <c r="E47" s="4">
        <v>170</v>
      </c>
      <c r="F47" s="248" t="s">
        <v>227</v>
      </c>
      <c r="G47" s="249"/>
      <c r="H47" s="3">
        <v>1</v>
      </c>
      <c r="I47" s="9"/>
      <c r="J47" s="3">
        <f t="shared" si="3"/>
        <v>1</v>
      </c>
      <c r="K47" s="9"/>
      <c r="L47" s="21"/>
      <c r="M47" s="141">
        <f t="shared" si="4"/>
        <v>52785</v>
      </c>
      <c r="N47" s="159">
        <f t="shared" si="5"/>
        <v>52785</v>
      </c>
    </row>
    <row r="48" spans="1:14" ht="40.5" customHeight="1" x14ac:dyDescent="0.25">
      <c r="A48" s="239">
        <v>38</v>
      </c>
      <c r="B48" s="5" t="s">
        <v>78</v>
      </c>
      <c r="C48" s="4">
        <v>16</v>
      </c>
      <c r="D48" s="4">
        <v>69</v>
      </c>
      <c r="E48" s="4">
        <v>217</v>
      </c>
      <c r="F48" s="268" t="s">
        <v>228</v>
      </c>
      <c r="G48" s="269"/>
      <c r="H48" s="3">
        <v>1</v>
      </c>
      <c r="I48" s="9"/>
      <c r="J48" s="3">
        <f t="shared" si="3"/>
        <v>1</v>
      </c>
      <c r="K48" s="9"/>
      <c r="L48" s="21"/>
      <c r="M48" s="157">
        <f t="shared" si="4"/>
        <v>82650.960000000006</v>
      </c>
      <c r="N48" s="158">
        <f t="shared" si="5"/>
        <v>82650.960000000006</v>
      </c>
    </row>
    <row r="49" spans="1:14" x14ac:dyDescent="0.25">
      <c r="A49" s="239">
        <v>39</v>
      </c>
      <c r="B49" s="3" t="s">
        <v>78</v>
      </c>
      <c r="C49" s="4">
        <v>30</v>
      </c>
      <c r="D49" s="4">
        <v>60</v>
      </c>
      <c r="E49" s="4">
        <v>195</v>
      </c>
      <c r="F49" s="248" t="s">
        <v>6</v>
      </c>
      <c r="G49" s="249"/>
      <c r="H49" s="3">
        <v>1</v>
      </c>
      <c r="I49" s="9"/>
      <c r="J49" s="3">
        <f t="shared" si="3"/>
        <v>1</v>
      </c>
      <c r="K49" s="9"/>
      <c r="L49" s="21"/>
      <c r="M49" s="141">
        <f t="shared" si="4"/>
        <v>121094.99999999999</v>
      </c>
      <c r="N49" s="159">
        <f t="shared" si="5"/>
        <v>121094.99999999999</v>
      </c>
    </row>
    <row r="50" spans="1:14" x14ac:dyDescent="0.25">
      <c r="A50" s="239">
        <v>40</v>
      </c>
      <c r="B50" s="5" t="s">
        <v>78</v>
      </c>
      <c r="C50" s="4">
        <v>35</v>
      </c>
      <c r="D50" s="4">
        <v>80</v>
      </c>
      <c r="E50" s="4">
        <v>155</v>
      </c>
      <c r="F50" s="248" t="s">
        <v>6</v>
      </c>
      <c r="G50" s="249"/>
      <c r="H50" s="3">
        <v>1</v>
      </c>
      <c r="I50" s="9"/>
      <c r="J50" s="3">
        <f t="shared" si="3"/>
        <v>1</v>
      </c>
      <c r="K50" s="9"/>
      <c r="L50" s="21"/>
      <c r="M50" s="141">
        <f t="shared" si="4"/>
        <v>149730</v>
      </c>
      <c r="N50" s="159">
        <f t="shared" si="5"/>
        <v>149730</v>
      </c>
    </row>
    <row r="51" spans="1:14" x14ac:dyDescent="0.25">
      <c r="A51" s="239">
        <v>41</v>
      </c>
      <c r="B51" s="3" t="s">
        <v>78</v>
      </c>
      <c r="C51" s="4">
        <v>35</v>
      </c>
      <c r="D51" s="4">
        <v>55</v>
      </c>
      <c r="E51" s="4">
        <v>284</v>
      </c>
      <c r="F51" s="248" t="s">
        <v>6</v>
      </c>
      <c r="G51" s="249"/>
      <c r="H51" s="3">
        <v>1</v>
      </c>
      <c r="I51" s="9"/>
      <c r="J51" s="3">
        <f t="shared" si="3"/>
        <v>1</v>
      </c>
      <c r="K51" s="9"/>
      <c r="L51" s="21"/>
      <c r="M51" s="141">
        <f t="shared" si="4"/>
        <v>188611.5</v>
      </c>
      <c r="N51" s="159">
        <f t="shared" si="5"/>
        <v>188611.5</v>
      </c>
    </row>
    <row r="52" spans="1:14" x14ac:dyDescent="0.25">
      <c r="A52" s="239">
        <v>42</v>
      </c>
      <c r="B52" s="5" t="s">
        <v>78</v>
      </c>
      <c r="C52" s="4">
        <v>25</v>
      </c>
      <c r="D52" s="4">
        <v>55</v>
      </c>
      <c r="E52" s="4">
        <v>80</v>
      </c>
      <c r="F52" s="248" t="s">
        <v>6</v>
      </c>
      <c r="G52" s="249"/>
      <c r="H52" s="236">
        <v>1</v>
      </c>
      <c r="I52" s="9"/>
      <c r="J52" s="236">
        <f t="shared" si="3"/>
        <v>1</v>
      </c>
      <c r="K52" s="9"/>
      <c r="L52" s="21"/>
      <c r="M52" s="141">
        <f t="shared" ref="M52:M55" si="6">(C52*D52*E52)*3/1000000*115000</f>
        <v>37950</v>
      </c>
      <c r="N52" s="159">
        <f t="shared" ref="N52:N55" si="7">M52*J52</f>
        <v>37950</v>
      </c>
    </row>
    <row r="53" spans="1:14" x14ac:dyDescent="0.25">
      <c r="A53" s="239">
        <v>43</v>
      </c>
      <c r="B53" s="236" t="s">
        <v>78</v>
      </c>
      <c r="C53" s="4">
        <v>20</v>
      </c>
      <c r="D53" s="4">
        <v>25</v>
      </c>
      <c r="E53" s="4">
        <v>86</v>
      </c>
      <c r="F53" s="248" t="s">
        <v>6</v>
      </c>
      <c r="G53" s="249"/>
      <c r="H53" s="236">
        <v>1</v>
      </c>
      <c r="I53" s="9"/>
      <c r="J53" s="236">
        <f t="shared" si="3"/>
        <v>1</v>
      </c>
      <c r="K53" s="9"/>
      <c r="L53" s="21"/>
      <c r="M53" s="141">
        <f t="shared" si="6"/>
        <v>14835</v>
      </c>
      <c r="N53" s="159">
        <f t="shared" si="7"/>
        <v>14835</v>
      </c>
    </row>
    <row r="54" spans="1:14" x14ac:dyDescent="0.25">
      <c r="A54" s="239">
        <v>44</v>
      </c>
      <c r="B54" s="236"/>
      <c r="C54" s="4"/>
      <c r="D54" s="4"/>
      <c r="E54" s="4"/>
      <c r="F54" s="248"/>
      <c r="G54" s="249"/>
      <c r="H54" s="236"/>
      <c r="I54" s="9"/>
      <c r="J54" s="236"/>
      <c r="K54" s="9"/>
      <c r="L54" s="21"/>
      <c r="M54" s="141">
        <f t="shared" si="6"/>
        <v>0</v>
      </c>
      <c r="N54" s="159">
        <f t="shared" si="7"/>
        <v>0</v>
      </c>
    </row>
    <row r="55" spans="1:14" x14ac:dyDescent="0.25">
      <c r="A55" s="239">
        <v>45</v>
      </c>
      <c r="B55" s="236"/>
      <c r="C55" s="4"/>
      <c r="D55" s="4"/>
      <c r="E55" s="4"/>
      <c r="F55" s="248"/>
      <c r="G55" s="249"/>
      <c r="H55" s="236"/>
      <c r="I55" s="9"/>
      <c r="J55" s="236"/>
      <c r="K55" s="9"/>
      <c r="L55" s="21"/>
      <c r="M55" s="141">
        <f t="shared" si="6"/>
        <v>0</v>
      </c>
      <c r="N55" s="159">
        <f t="shared" si="7"/>
        <v>0</v>
      </c>
    </row>
    <row r="56" spans="1:14" x14ac:dyDescent="0.25">
      <c r="M56" s="95" t="s">
        <v>158</v>
      </c>
      <c r="N56" s="96">
        <f>SUM(N11:N55)</f>
        <v>6405436.6349999988</v>
      </c>
    </row>
  </sheetData>
  <autoFilter ref="C1:E56"/>
  <mergeCells count="50">
    <mergeCell ref="F51:G51"/>
    <mergeCell ref="F50:G50"/>
    <mergeCell ref="F48:G48"/>
    <mergeCell ref="F49:G49"/>
    <mergeCell ref="F46:G46"/>
    <mergeCell ref="F47:G47"/>
    <mergeCell ref="C10:E10"/>
    <mergeCell ref="C2:E2"/>
    <mergeCell ref="C3:E5"/>
    <mergeCell ref="C6:E6"/>
    <mergeCell ref="F13:G13"/>
    <mergeCell ref="F10:G10"/>
    <mergeCell ref="F23:G23"/>
    <mergeCell ref="F14:G14"/>
    <mergeCell ref="F11:G11"/>
    <mergeCell ref="F12:G12"/>
    <mergeCell ref="F31:G31"/>
    <mergeCell ref="F17:G17"/>
    <mergeCell ref="F18:G18"/>
    <mergeCell ref="F15:G15"/>
    <mergeCell ref="F16:G16"/>
    <mergeCell ref="F24:G24"/>
    <mergeCell ref="F30:G30"/>
    <mergeCell ref="F19:G19"/>
    <mergeCell ref="F20:G20"/>
    <mergeCell ref="F21:G21"/>
    <mergeCell ref="F22:G22"/>
    <mergeCell ref="F32:G32"/>
    <mergeCell ref="F33:G33"/>
    <mergeCell ref="F25:G25"/>
    <mergeCell ref="F26:G26"/>
    <mergeCell ref="F27:G27"/>
    <mergeCell ref="F28:G28"/>
    <mergeCell ref="F29:G29"/>
    <mergeCell ref="F52:G52"/>
    <mergeCell ref="F53:G53"/>
    <mergeCell ref="F54:G54"/>
    <mergeCell ref="F55:G55"/>
    <mergeCell ref="F34:G34"/>
    <mergeCell ref="F44:G44"/>
    <mergeCell ref="F45:G45"/>
    <mergeCell ref="F35:G35"/>
    <mergeCell ref="F36:G36"/>
    <mergeCell ref="F42:G42"/>
    <mergeCell ref="F43:G43"/>
    <mergeCell ref="F37:G37"/>
    <mergeCell ref="F38:G38"/>
    <mergeCell ref="F39:G39"/>
    <mergeCell ref="F40:G40"/>
    <mergeCell ref="F41:G41"/>
  </mergeCells>
  <pageMargins left="0.31496062992125984" right="0.31496062992125984" top="0.74803149606299213" bottom="0.74803149606299213" header="0.31496062992125984" footer="0.31496062992125984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PBrush" shapeId="307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N18"/>
  <sheetViews>
    <sheetView zoomScale="83" zoomScaleNormal="83" workbookViewId="0">
      <selection activeCell="C9" sqref="C9"/>
    </sheetView>
  </sheetViews>
  <sheetFormatPr defaultRowHeight="15" x14ac:dyDescent="0.25"/>
  <cols>
    <col min="1" max="1" width="4.140625" customWidth="1"/>
    <col min="2" max="2" width="16.7109375" customWidth="1"/>
    <col min="3" max="4" width="6.42578125" customWidth="1"/>
    <col min="5" max="5" width="6.28515625" customWidth="1"/>
    <col min="6" max="6" width="10.140625" customWidth="1"/>
    <col min="7" max="7" width="10" customWidth="1"/>
    <col min="8" max="8" width="8.85546875" customWidth="1"/>
    <col min="9" max="9" width="9.28515625" customWidth="1"/>
    <col min="11" max="11" width="24.7109375" customWidth="1"/>
    <col min="12" max="12" width="19.42578125" customWidth="1"/>
    <col min="13" max="14" width="18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47" t="s">
        <v>97</v>
      </c>
      <c r="J2" s="38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27"/>
      <c r="H5" s="39"/>
      <c r="I5" s="39"/>
      <c r="J5" s="39"/>
    </row>
    <row r="6" spans="1:14" ht="15" customHeight="1" x14ac:dyDescent="0.25">
      <c r="A6" s="27"/>
      <c r="B6" s="12"/>
      <c r="C6" s="248"/>
      <c r="D6" s="250"/>
      <c r="E6" s="249"/>
      <c r="F6" s="49"/>
      <c r="G6" s="40"/>
      <c r="H6" s="48"/>
      <c r="I6" s="48"/>
      <c r="J6" s="48"/>
    </row>
    <row r="7" spans="1:14" ht="15" customHeight="1" x14ac:dyDescent="0.25">
      <c r="A7" s="42" t="s">
        <v>47</v>
      </c>
      <c r="B7" s="7"/>
      <c r="C7" t="s">
        <v>106</v>
      </c>
      <c r="F7" s="28"/>
      <c r="G7" s="28"/>
      <c r="H7" s="28"/>
      <c r="I7" s="28"/>
      <c r="J7" s="26"/>
    </row>
    <row r="8" spans="1:14" ht="15" customHeight="1" x14ac:dyDescent="0.25">
      <c r="A8" s="42" t="s">
        <v>63</v>
      </c>
      <c r="B8" s="7"/>
      <c r="C8" s="61" t="s">
        <v>248</v>
      </c>
      <c r="D8" s="62"/>
      <c r="E8" s="62"/>
      <c r="I8" s="8"/>
      <c r="J8" s="35"/>
    </row>
    <row r="9" spans="1:14" ht="15" customHeight="1" x14ac:dyDescent="0.25">
      <c r="A9" s="27" t="s">
        <v>62</v>
      </c>
      <c r="B9" s="37"/>
      <c r="C9" s="11" t="s">
        <v>103</v>
      </c>
      <c r="D9" s="11"/>
      <c r="E9" s="11"/>
      <c r="F9" s="12"/>
      <c r="G9" s="12"/>
      <c r="H9" s="12"/>
      <c r="I9" s="10"/>
      <c r="J9" s="37"/>
    </row>
    <row r="10" spans="1:14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48</v>
      </c>
      <c r="L10" s="1" t="s">
        <v>45</v>
      </c>
      <c r="M10" s="79" t="s">
        <v>156</v>
      </c>
      <c r="N10" s="79" t="s">
        <v>157</v>
      </c>
    </row>
    <row r="11" spans="1:14" ht="14.25" customHeight="1" x14ac:dyDescent="0.25">
      <c r="A11" s="3">
        <v>1</v>
      </c>
      <c r="B11" s="3" t="s">
        <v>9</v>
      </c>
      <c r="C11" s="3">
        <v>35</v>
      </c>
      <c r="D11" s="63">
        <v>38</v>
      </c>
      <c r="E11" s="63">
        <v>54</v>
      </c>
      <c r="F11" s="248" t="s">
        <v>6</v>
      </c>
      <c r="G11" s="249"/>
      <c r="H11" s="3">
        <v>1</v>
      </c>
      <c r="I11" s="3"/>
      <c r="J11" s="3">
        <f t="shared" ref="J11:J14" si="0">H11-I11</f>
        <v>1</v>
      </c>
      <c r="K11" s="2"/>
      <c r="L11" s="19"/>
      <c r="M11" s="78">
        <f>(C11*D11*E11)*7.9/1000000*72500</f>
        <v>41134.905000000006</v>
      </c>
      <c r="N11" s="80">
        <f t="shared" ref="N11:N16" si="1">M11*J11</f>
        <v>41134.905000000006</v>
      </c>
    </row>
    <row r="12" spans="1:14" x14ac:dyDescent="0.25">
      <c r="A12" s="227">
        <v>2</v>
      </c>
      <c r="B12" s="3" t="s">
        <v>9</v>
      </c>
      <c r="C12" s="3">
        <v>30</v>
      </c>
      <c r="D12" s="63">
        <v>35</v>
      </c>
      <c r="E12" s="63">
        <v>60</v>
      </c>
      <c r="F12" s="248" t="s">
        <v>6</v>
      </c>
      <c r="G12" s="249"/>
      <c r="H12" s="3">
        <v>1</v>
      </c>
      <c r="I12" s="3"/>
      <c r="J12" s="3">
        <f t="shared" si="0"/>
        <v>1</v>
      </c>
      <c r="K12" s="2"/>
      <c r="L12" s="19"/>
      <c r="M12" s="78">
        <f t="shared" ref="M12:M15" si="2">(C12*D12*E12)*7.9/1000000*72500</f>
        <v>36083.25</v>
      </c>
      <c r="N12" s="80">
        <f t="shared" si="1"/>
        <v>36083.25</v>
      </c>
    </row>
    <row r="13" spans="1:14" x14ac:dyDescent="0.25">
      <c r="A13" s="236">
        <v>3</v>
      </c>
      <c r="B13" s="3" t="s">
        <v>9</v>
      </c>
      <c r="C13" s="3">
        <v>30</v>
      </c>
      <c r="D13" s="63">
        <v>30</v>
      </c>
      <c r="E13" s="63">
        <v>60</v>
      </c>
      <c r="F13" s="248" t="s">
        <v>6</v>
      </c>
      <c r="G13" s="249"/>
      <c r="H13" s="3">
        <v>1</v>
      </c>
      <c r="I13" s="3"/>
      <c r="J13" s="3">
        <f t="shared" si="0"/>
        <v>1</v>
      </c>
      <c r="K13" s="2"/>
      <c r="L13" s="19"/>
      <c r="M13" s="78">
        <f t="shared" si="2"/>
        <v>30928.5</v>
      </c>
      <c r="N13" s="80">
        <f t="shared" si="1"/>
        <v>30928.5</v>
      </c>
    </row>
    <row r="14" spans="1:14" x14ac:dyDescent="0.25">
      <c r="A14" s="236">
        <v>4</v>
      </c>
      <c r="B14" s="3" t="s">
        <v>9</v>
      </c>
      <c r="C14" s="3">
        <v>34</v>
      </c>
      <c r="D14" s="63">
        <v>45</v>
      </c>
      <c r="E14" s="63">
        <v>45</v>
      </c>
      <c r="F14" s="248" t="s">
        <v>6</v>
      </c>
      <c r="G14" s="249"/>
      <c r="H14" s="3">
        <v>1</v>
      </c>
      <c r="I14" s="3"/>
      <c r="J14" s="3">
        <f t="shared" si="0"/>
        <v>1</v>
      </c>
      <c r="K14" s="2"/>
      <c r="L14" s="19"/>
      <c r="M14" s="78">
        <f t="shared" si="2"/>
        <v>39433.837500000001</v>
      </c>
      <c r="N14" s="80">
        <f t="shared" si="1"/>
        <v>39433.837500000001</v>
      </c>
    </row>
    <row r="15" spans="1:14" x14ac:dyDescent="0.25">
      <c r="A15" s="236">
        <v>5</v>
      </c>
      <c r="B15" s="3" t="s">
        <v>9</v>
      </c>
      <c r="C15" s="1">
        <v>38</v>
      </c>
      <c r="D15" s="24">
        <v>40</v>
      </c>
      <c r="E15" s="24">
        <v>58</v>
      </c>
      <c r="F15" s="272" t="s">
        <v>6</v>
      </c>
      <c r="G15" s="261"/>
      <c r="H15" s="1">
        <v>1</v>
      </c>
      <c r="I15" s="2"/>
      <c r="J15" s="3">
        <f t="shared" ref="J15:J16" si="3">H15-I15</f>
        <v>1</v>
      </c>
      <c r="K15" s="2"/>
      <c r="L15" s="19"/>
      <c r="M15" s="78">
        <f t="shared" si="2"/>
        <v>50493.64</v>
      </c>
      <c r="N15" s="80">
        <f t="shared" si="1"/>
        <v>50493.64</v>
      </c>
    </row>
    <row r="16" spans="1:14" x14ac:dyDescent="0.25">
      <c r="A16" s="236">
        <v>6</v>
      </c>
      <c r="B16" s="1" t="s">
        <v>9</v>
      </c>
      <c r="C16" s="1">
        <v>34</v>
      </c>
      <c r="D16" s="24">
        <v>45</v>
      </c>
      <c r="E16" s="24">
        <v>47</v>
      </c>
      <c r="F16" s="272" t="s">
        <v>6</v>
      </c>
      <c r="G16" s="260"/>
      <c r="H16" s="1">
        <v>1</v>
      </c>
      <c r="I16" s="7"/>
      <c r="J16" s="3">
        <f t="shared" si="3"/>
        <v>1</v>
      </c>
      <c r="K16" s="2"/>
      <c r="L16" s="19"/>
      <c r="M16" s="78">
        <f t="shared" ref="M16" si="4">(C16*D16*E16)*7.9/1000000*72500</f>
        <v>41186.452499999999</v>
      </c>
      <c r="N16" s="80">
        <f t="shared" si="1"/>
        <v>41186.452499999999</v>
      </c>
    </row>
    <row r="17" spans="1:14" x14ac:dyDescent="0.25">
      <c r="A17" s="139">
        <v>7</v>
      </c>
      <c r="B17" s="3" t="s">
        <v>9</v>
      </c>
      <c r="C17" s="3">
        <v>38</v>
      </c>
      <c r="D17" s="63">
        <v>38</v>
      </c>
      <c r="E17" s="63">
        <v>111</v>
      </c>
      <c r="F17" s="262" t="s">
        <v>49</v>
      </c>
      <c r="G17" s="263"/>
      <c r="H17" s="3">
        <v>1</v>
      </c>
      <c r="I17" s="3"/>
      <c r="J17" s="3">
        <f>H17-I17</f>
        <v>1</v>
      </c>
      <c r="K17" s="9"/>
      <c r="L17" s="115"/>
      <c r="M17" s="78">
        <f>(C17*D17*E17)*7.9/1000000*72500</f>
        <v>91802.661000000007</v>
      </c>
      <c r="N17" s="80">
        <f>M17*J17</f>
        <v>91802.661000000007</v>
      </c>
    </row>
    <row r="18" spans="1:14" x14ac:dyDescent="0.25">
      <c r="M18" s="95" t="s">
        <v>158</v>
      </c>
      <c r="N18" s="96">
        <f>SUM(N11:N17)</f>
        <v>331063.24600000004</v>
      </c>
    </row>
  </sheetData>
  <mergeCells count="12">
    <mergeCell ref="F11:G11"/>
    <mergeCell ref="F12:G12"/>
    <mergeCell ref="F17:G17"/>
    <mergeCell ref="F16:G16"/>
    <mergeCell ref="F15:G15"/>
    <mergeCell ref="F13:G13"/>
    <mergeCell ref="F14:G14"/>
    <mergeCell ref="C2:E2"/>
    <mergeCell ref="C3:E5"/>
    <mergeCell ref="C6:E6"/>
    <mergeCell ref="C10:E10"/>
    <mergeCell ref="F10:G10"/>
  </mergeCells>
  <pageMargins left="0.7" right="0.7" top="0.75" bottom="0.75" header="0.3" footer="0.3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5121" r:id="rId4">
          <objectPr defaultSize="0" autoPict="0" r:id="rId5">
            <anchor moveWithCells="1" sizeWithCells="1">
              <from>
                <xdr:col>0</xdr:col>
                <xdr:colOff>47625</xdr:colOff>
                <xdr:row>1</xdr:row>
                <xdr:rowOff>57150</xdr:rowOff>
              </from>
              <to>
                <xdr:col>1</xdr:col>
                <xdr:colOff>1066800</xdr:colOff>
                <xdr:row>5</xdr:row>
                <xdr:rowOff>133350</xdr:rowOff>
              </to>
            </anchor>
          </objectPr>
        </oleObject>
      </mc:Choice>
      <mc:Fallback>
        <oleObject progId="PBrush" shapeId="512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13"/>
  <sheetViews>
    <sheetView zoomScale="82" zoomScaleNormal="82" workbookViewId="0">
      <selection activeCell="C9" sqref="C9"/>
    </sheetView>
  </sheetViews>
  <sheetFormatPr defaultRowHeight="15" x14ac:dyDescent="0.25"/>
  <cols>
    <col min="1" max="1" width="4.140625" customWidth="1"/>
    <col min="2" max="2" width="16.5703125" customWidth="1"/>
    <col min="3" max="5" width="6.28515625" customWidth="1"/>
    <col min="6" max="6" width="10.28515625" customWidth="1"/>
    <col min="7" max="7" width="10" customWidth="1"/>
    <col min="8" max="8" width="9.28515625" customWidth="1"/>
    <col min="9" max="9" width="9.5703125" customWidth="1"/>
    <col min="11" max="11" width="22.7109375" customWidth="1"/>
    <col min="12" max="12" width="21.28515625" customWidth="1"/>
    <col min="13" max="14" width="18.28515625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47" t="s">
        <v>97</v>
      </c>
      <c r="J2" s="38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27"/>
      <c r="H5" s="39"/>
      <c r="I5" s="39"/>
      <c r="J5" s="39"/>
    </row>
    <row r="6" spans="1:14" ht="15" customHeight="1" x14ac:dyDescent="0.25">
      <c r="A6" s="27"/>
      <c r="B6" s="12"/>
      <c r="C6" s="248"/>
      <c r="D6" s="250"/>
      <c r="E6" s="249"/>
      <c r="F6" s="49"/>
      <c r="G6" s="40"/>
      <c r="H6" s="48"/>
      <c r="I6" s="48"/>
      <c r="J6" s="48"/>
    </row>
    <row r="7" spans="1:14" ht="15" customHeight="1" x14ac:dyDescent="0.25">
      <c r="A7" s="25" t="s">
        <v>47</v>
      </c>
      <c r="B7" s="26"/>
      <c r="C7" t="s">
        <v>168</v>
      </c>
      <c r="F7" s="28"/>
      <c r="G7" s="28"/>
      <c r="H7" s="28"/>
      <c r="I7" s="28"/>
      <c r="J7" s="26"/>
    </row>
    <row r="8" spans="1:14" ht="15" customHeight="1" x14ac:dyDescent="0.25">
      <c r="A8" s="42" t="s">
        <v>63</v>
      </c>
      <c r="B8" s="7"/>
      <c r="C8" s="237" t="s">
        <v>248</v>
      </c>
      <c r="D8" s="238"/>
      <c r="E8" s="238"/>
      <c r="F8" s="11"/>
      <c r="I8" s="8"/>
      <c r="J8" s="35"/>
    </row>
    <row r="9" spans="1:14" ht="15" customHeight="1" x14ac:dyDescent="0.25">
      <c r="A9" s="27" t="s">
        <v>62</v>
      </c>
      <c r="B9" s="37"/>
      <c r="C9" t="s">
        <v>103</v>
      </c>
      <c r="F9" s="12"/>
      <c r="G9" s="12"/>
      <c r="H9" s="12"/>
      <c r="I9" s="10"/>
      <c r="J9" s="37"/>
    </row>
    <row r="10" spans="1:14" ht="15" customHeight="1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79" t="s">
        <v>156</v>
      </c>
      <c r="N10" s="79" t="s">
        <v>157</v>
      </c>
    </row>
    <row r="11" spans="1:14" s="154" customFormat="1" ht="15" customHeight="1" x14ac:dyDescent="0.25">
      <c r="A11" s="83">
        <v>1</v>
      </c>
      <c r="B11" s="83" t="s">
        <v>11</v>
      </c>
      <c r="C11" s="153">
        <v>28</v>
      </c>
      <c r="D11" s="164">
        <v>46</v>
      </c>
      <c r="E11" s="164">
        <v>67</v>
      </c>
      <c r="F11" s="273" t="s">
        <v>6</v>
      </c>
      <c r="G11" s="274"/>
      <c r="H11" s="153">
        <v>1</v>
      </c>
      <c r="I11" s="153"/>
      <c r="J11" s="83">
        <f t="shared" ref="J11:J12" si="0">H11-I11</f>
        <v>1</v>
      </c>
      <c r="K11" s="153"/>
      <c r="L11" s="151"/>
      <c r="M11" s="168">
        <f t="shared" ref="M11" si="1">(C11*D11*E11)*7.9/1000000*72500</f>
        <v>49426.034000000007</v>
      </c>
      <c r="N11" s="166">
        <f t="shared" ref="N11:N12" si="2">M11*J11</f>
        <v>49426.034000000007</v>
      </c>
    </row>
    <row r="12" spans="1:14" s="154" customFormat="1" x14ac:dyDescent="0.25">
      <c r="A12" s="83">
        <v>2</v>
      </c>
      <c r="B12" s="83" t="s">
        <v>11</v>
      </c>
      <c r="C12" s="83">
        <v>24</v>
      </c>
      <c r="D12" s="145">
        <v>46</v>
      </c>
      <c r="E12" s="145">
        <v>66</v>
      </c>
      <c r="F12" s="273" t="s">
        <v>6</v>
      </c>
      <c r="G12" s="274"/>
      <c r="H12" s="83">
        <v>1</v>
      </c>
      <c r="I12" s="83"/>
      <c r="J12" s="83">
        <f t="shared" si="0"/>
        <v>1</v>
      </c>
      <c r="K12" s="153"/>
      <c r="L12" s="169"/>
      <c r="M12" s="168">
        <f t="shared" ref="M12" si="3">(C12*D12*E12)*7.9/1000000*72164</f>
        <v>41539.445798399996</v>
      </c>
      <c r="N12" s="166">
        <f t="shared" si="2"/>
        <v>41539.445798399996</v>
      </c>
    </row>
    <row r="13" spans="1:14" x14ac:dyDescent="0.25">
      <c r="M13" s="93" t="s">
        <v>158</v>
      </c>
      <c r="N13" s="82">
        <f>SUM(N11:N12)</f>
        <v>90965.479798400003</v>
      </c>
    </row>
  </sheetData>
  <mergeCells count="7">
    <mergeCell ref="F11:G11"/>
    <mergeCell ref="F12:G12"/>
    <mergeCell ref="C2:E2"/>
    <mergeCell ref="C3:E5"/>
    <mergeCell ref="C6:E6"/>
    <mergeCell ref="C10:E10"/>
    <mergeCell ref="F10:G10"/>
  </mergeCells>
  <pageMargins left="0.31496062992125984" right="0.31496062992125984" top="0.74803149606299213" bottom="0.74803149606299213" header="0.31496062992125984" footer="0.31496062992125984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38913" r:id="rId4">
          <objectPr defaultSize="0" autoPict="0" r:id="rId5">
            <anchor moveWithCells="1" sizeWithCells="1">
              <from>
                <xdr:col>0</xdr:col>
                <xdr:colOff>66675</xdr:colOff>
                <xdr:row>1</xdr:row>
                <xdr:rowOff>104775</xdr:rowOff>
              </from>
              <to>
                <xdr:col>1</xdr:col>
                <xdr:colOff>1009650</xdr:colOff>
                <xdr:row>5</xdr:row>
                <xdr:rowOff>114300</xdr:rowOff>
              </to>
            </anchor>
          </objectPr>
        </oleObject>
      </mc:Choice>
      <mc:Fallback>
        <oleObject progId="PBrush" shapeId="38913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N24"/>
  <sheetViews>
    <sheetView zoomScale="82" zoomScaleNormal="82" workbookViewId="0">
      <selection activeCell="C9" sqref="C9"/>
    </sheetView>
  </sheetViews>
  <sheetFormatPr defaultRowHeight="15" x14ac:dyDescent="0.25"/>
  <cols>
    <col min="1" max="1" width="4.140625" customWidth="1"/>
    <col min="2" max="2" width="16.5703125" customWidth="1"/>
    <col min="3" max="5" width="6.28515625" customWidth="1"/>
    <col min="6" max="6" width="10.28515625" customWidth="1"/>
    <col min="7" max="7" width="10.140625" customWidth="1"/>
    <col min="8" max="8" width="9.28515625" customWidth="1"/>
    <col min="9" max="9" width="9.5703125" customWidth="1"/>
    <col min="11" max="11" width="22.7109375" customWidth="1"/>
    <col min="12" max="12" width="21.28515625" customWidth="1"/>
    <col min="13" max="14" width="18.28515625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47" t="s">
        <v>97</v>
      </c>
      <c r="J2" s="38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27"/>
      <c r="H5" s="39"/>
      <c r="I5" s="39"/>
      <c r="J5" s="39"/>
    </row>
    <row r="6" spans="1:14" ht="15" customHeight="1" x14ac:dyDescent="0.25">
      <c r="A6" s="27"/>
      <c r="B6" s="12"/>
      <c r="C6" s="248"/>
      <c r="D6" s="250"/>
      <c r="E6" s="249"/>
      <c r="F6" s="49"/>
      <c r="G6" s="40"/>
      <c r="H6" s="48"/>
      <c r="I6" s="48"/>
      <c r="J6" s="48"/>
    </row>
    <row r="7" spans="1:14" ht="15" customHeight="1" x14ac:dyDescent="0.25">
      <c r="A7" s="25" t="s">
        <v>47</v>
      </c>
      <c r="B7" s="26"/>
      <c r="C7" t="s">
        <v>107</v>
      </c>
      <c r="F7" s="28"/>
      <c r="G7" s="28"/>
      <c r="H7" s="28"/>
      <c r="I7" s="28"/>
      <c r="J7" s="26"/>
    </row>
    <row r="8" spans="1:14" ht="15" customHeight="1" x14ac:dyDescent="0.25">
      <c r="A8" s="42" t="s">
        <v>63</v>
      </c>
      <c r="B8" s="7"/>
      <c r="C8" s="61" t="s">
        <v>248</v>
      </c>
      <c r="D8" s="62"/>
      <c r="E8" s="62"/>
      <c r="F8" s="11"/>
      <c r="I8" s="8"/>
      <c r="J8" s="35"/>
    </row>
    <row r="9" spans="1:14" ht="15" customHeight="1" x14ac:dyDescent="0.25">
      <c r="A9" s="27" t="s">
        <v>62</v>
      </c>
      <c r="B9" s="37"/>
      <c r="C9" t="s">
        <v>103</v>
      </c>
      <c r="F9" s="12"/>
      <c r="G9" s="12"/>
      <c r="H9" s="12"/>
      <c r="I9" s="10"/>
      <c r="J9" s="37"/>
    </row>
    <row r="10" spans="1:14" ht="15" customHeight="1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79" t="s">
        <v>156</v>
      </c>
      <c r="N10" s="79" t="s">
        <v>157</v>
      </c>
    </row>
    <row r="11" spans="1:14" ht="15" customHeight="1" x14ac:dyDescent="0.25">
      <c r="A11" s="138">
        <v>1</v>
      </c>
      <c r="B11" s="3" t="s">
        <v>12</v>
      </c>
      <c r="C11" s="3">
        <v>29</v>
      </c>
      <c r="D11" s="63">
        <v>37</v>
      </c>
      <c r="E11" s="63">
        <v>66</v>
      </c>
      <c r="F11" s="262" t="s">
        <v>60</v>
      </c>
      <c r="G11" s="263"/>
      <c r="H11" s="3">
        <v>1</v>
      </c>
      <c r="I11" s="3"/>
      <c r="J11" s="3">
        <f t="shared" ref="J11:J23" si="0">H11-I11</f>
        <v>1</v>
      </c>
      <c r="K11" s="14"/>
      <c r="L11" s="115"/>
      <c r="M11" s="78">
        <f t="shared" ref="M11:M22" si="1">(C11*D11*E11)*7.9/1000000*72164</f>
        <v>40373.0302008</v>
      </c>
      <c r="N11" s="80">
        <f t="shared" ref="N11:N23" si="2">M11*J11</f>
        <v>40373.0302008</v>
      </c>
    </row>
    <row r="12" spans="1:14" ht="24.75" customHeight="1" x14ac:dyDescent="0.25">
      <c r="A12" s="138">
        <v>2</v>
      </c>
      <c r="B12" s="3" t="s">
        <v>66</v>
      </c>
      <c r="C12" s="3">
        <v>24</v>
      </c>
      <c r="D12" s="63">
        <v>32</v>
      </c>
      <c r="E12" s="63">
        <v>45</v>
      </c>
      <c r="F12" s="262" t="s">
        <v>67</v>
      </c>
      <c r="G12" s="263"/>
      <c r="H12" s="3">
        <v>1</v>
      </c>
      <c r="I12" s="3"/>
      <c r="J12" s="3">
        <f t="shared" si="0"/>
        <v>1</v>
      </c>
      <c r="K12" s="165"/>
      <c r="L12" s="115"/>
      <c r="M12" s="78">
        <f t="shared" si="1"/>
        <v>19702.503936000001</v>
      </c>
      <c r="N12" s="80">
        <f t="shared" si="2"/>
        <v>19702.503936000001</v>
      </c>
    </row>
    <row r="13" spans="1:14" ht="15" customHeight="1" x14ac:dyDescent="0.25">
      <c r="A13" s="138">
        <v>3</v>
      </c>
      <c r="B13" s="3" t="s">
        <v>12</v>
      </c>
      <c r="C13" s="3">
        <v>30</v>
      </c>
      <c r="D13" s="63">
        <v>38</v>
      </c>
      <c r="E13" s="63">
        <v>65</v>
      </c>
      <c r="F13" s="262" t="s">
        <v>61</v>
      </c>
      <c r="G13" s="263"/>
      <c r="H13" s="3">
        <v>2</v>
      </c>
      <c r="I13" s="3"/>
      <c r="J13" s="3">
        <f t="shared" si="0"/>
        <v>2</v>
      </c>
      <c r="K13" s="9"/>
      <c r="L13" s="115"/>
      <c r="M13" s="78">
        <f t="shared" si="1"/>
        <v>42244.083959999996</v>
      </c>
      <c r="N13" s="80">
        <f t="shared" si="2"/>
        <v>84488.167919999993</v>
      </c>
    </row>
    <row r="14" spans="1:14" ht="15" customHeight="1" x14ac:dyDescent="0.25">
      <c r="A14" s="138">
        <v>4</v>
      </c>
      <c r="B14" s="3" t="s">
        <v>12</v>
      </c>
      <c r="C14" s="3">
        <v>32</v>
      </c>
      <c r="D14" s="63">
        <v>40</v>
      </c>
      <c r="E14" s="63">
        <v>47</v>
      </c>
      <c r="F14" s="262" t="s">
        <v>59</v>
      </c>
      <c r="G14" s="263"/>
      <c r="H14" s="3">
        <v>1</v>
      </c>
      <c r="I14" s="3"/>
      <c r="J14" s="3">
        <f t="shared" si="0"/>
        <v>1</v>
      </c>
      <c r="K14" s="9"/>
      <c r="L14" s="115"/>
      <c r="M14" s="78">
        <f t="shared" si="1"/>
        <v>34296.951295999999</v>
      </c>
      <c r="N14" s="80">
        <f t="shared" si="2"/>
        <v>34296.951295999999</v>
      </c>
    </row>
    <row r="15" spans="1:14" ht="15" customHeight="1" x14ac:dyDescent="0.25">
      <c r="A15" s="138">
        <v>5</v>
      </c>
      <c r="B15" s="3" t="s">
        <v>12</v>
      </c>
      <c r="C15" s="3">
        <v>32</v>
      </c>
      <c r="D15" s="63">
        <v>45</v>
      </c>
      <c r="E15" s="63">
        <v>40</v>
      </c>
      <c r="F15" s="262" t="s">
        <v>59</v>
      </c>
      <c r="G15" s="263"/>
      <c r="H15" s="3">
        <v>1</v>
      </c>
      <c r="I15" s="3"/>
      <c r="J15" s="3">
        <f t="shared" si="0"/>
        <v>1</v>
      </c>
      <c r="K15" s="9"/>
      <c r="L15" s="115"/>
      <c r="M15" s="78">
        <f t="shared" si="1"/>
        <v>32837.506560000002</v>
      </c>
      <c r="N15" s="80">
        <f t="shared" si="2"/>
        <v>32837.506560000002</v>
      </c>
    </row>
    <row r="16" spans="1:14" ht="15" customHeight="1" x14ac:dyDescent="0.25">
      <c r="A16" s="138">
        <v>6</v>
      </c>
      <c r="B16" s="3" t="s">
        <v>12</v>
      </c>
      <c r="C16" s="3">
        <v>40</v>
      </c>
      <c r="D16" s="63">
        <v>46</v>
      </c>
      <c r="E16" s="63">
        <v>32</v>
      </c>
      <c r="F16" s="262" t="s">
        <v>59</v>
      </c>
      <c r="G16" s="263"/>
      <c r="H16" s="3">
        <v>1</v>
      </c>
      <c r="I16" s="3"/>
      <c r="J16" s="3">
        <f t="shared" si="0"/>
        <v>1</v>
      </c>
      <c r="K16" s="9"/>
      <c r="L16" s="115"/>
      <c r="M16" s="78">
        <f t="shared" si="1"/>
        <v>33567.228928000004</v>
      </c>
      <c r="N16" s="80">
        <f t="shared" si="2"/>
        <v>33567.228928000004</v>
      </c>
    </row>
    <row r="17" spans="1:14" x14ac:dyDescent="0.25">
      <c r="A17" s="2">
        <v>7</v>
      </c>
      <c r="B17" s="3" t="s">
        <v>12</v>
      </c>
      <c r="C17" s="3">
        <v>28</v>
      </c>
      <c r="D17" s="3">
        <v>35</v>
      </c>
      <c r="E17" s="3">
        <v>92</v>
      </c>
      <c r="F17" s="262" t="s">
        <v>6</v>
      </c>
      <c r="G17" s="263"/>
      <c r="H17" s="3">
        <v>1</v>
      </c>
      <c r="I17" s="3"/>
      <c r="J17" s="3">
        <f t="shared" si="0"/>
        <v>1</v>
      </c>
      <c r="K17" s="9"/>
      <c r="L17" s="21"/>
      <c r="M17" s="78">
        <f t="shared" si="1"/>
        <v>51399.819296000001</v>
      </c>
      <c r="N17" s="80">
        <f t="shared" si="2"/>
        <v>51399.819296000001</v>
      </c>
    </row>
    <row r="18" spans="1:14" x14ac:dyDescent="0.25">
      <c r="A18" s="2">
        <v>8</v>
      </c>
      <c r="B18" s="3" t="s">
        <v>12</v>
      </c>
      <c r="C18" s="3">
        <v>20</v>
      </c>
      <c r="D18" s="3">
        <v>23</v>
      </c>
      <c r="E18" s="3">
        <v>47</v>
      </c>
      <c r="F18" s="262" t="s">
        <v>6</v>
      </c>
      <c r="G18" s="263"/>
      <c r="H18" s="3">
        <v>1</v>
      </c>
      <c r="I18" s="3"/>
      <c r="J18" s="3">
        <f t="shared" si="0"/>
        <v>1</v>
      </c>
      <c r="K18" s="9"/>
      <c r="L18" s="21"/>
      <c r="M18" s="78">
        <f t="shared" si="1"/>
        <v>12325.466872000001</v>
      </c>
      <c r="N18" s="80">
        <f t="shared" si="2"/>
        <v>12325.466872000001</v>
      </c>
    </row>
    <row r="19" spans="1:14" x14ac:dyDescent="0.25">
      <c r="A19" s="2">
        <v>9</v>
      </c>
      <c r="B19" s="3" t="s">
        <v>12</v>
      </c>
      <c r="C19" s="3">
        <v>20</v>
      </c>
      <c r="D19" s="3">
        <v>24</v>
      </c>
      <c r="E19" s="3">
        <v>47</v>
      </c>
      <c r="F19" s="262" t="s">
        <v>6</v>
      </c>
      <c r="G19" s="263"/>
      <c r="H19" s="3">
        <v>1</v>
      </c>
      <c r="I19" s="3"/>
      <c r="J19" s="3">
        <f t="shared" si="0"/>
        <v>1</v>
      </c>
      <c r="K19" s="9"/>
      <c r="L19" s="21"/>
      <c r="M19" s="78">
        <f t="shared" si="1"/>
        <v>12861.356736</v>
      </c>
      <c r="N19" s="80">
        <f t="shared" si="2"/>
        <v>12861.356736</v>
      </c>
    </row>
    <row r="20" spans="1:14" x14ac:dyDescent="0.25">
      <c r="A20" s="2">
        <v>10</v>
      </c>
      <c r="B20" s="3" t="s">
        <v>12</v>
      </c>
      <c r="C20" s="3">
        <v>20</v>
      </c>
      <c r="D20" s="3">
        <v>33</v>
      </c>
      <c r="E20" s="3">
        <v>43</v>
      </c>
      <c r="F20" s="262" t="s">
        <v>6</v>
      </c>
      <c r="G20" s="263"/>
      <c r="H20" s="3">
        <v>1</v>
      </c>
      <c r="I20" s="3"/>
      <c r="J20" s="3">
        <f t="shared" si="0"/>
        <v>1</v>
      </c>
      <c r="K20" s="9"/>
      <c r="L20" s="21"/>
      <c r="M20" s="78">
        <f t="shared" si="1"/>
        <v>16179.313128000002</v>
      </c>
      <c r="N20" s="80">
        <f t="shared" si="2"/>
        <v>16179.313128000002</v>
      </c>
    </row>
    <row r="21" spans="1:14" ht="22.5" customHeight="1" x14ac:dyDescent="0.25">
      <c r="A21" s="2">
        <v>11</v>
      </c>
      <c r="B21" s="3" t="s">
        <v>12</v>
      </c>
      <c r="C21" s="3">
        <v>59</v>
      </c>
      <c r="D21" s="3">
        <v>82</v>
      </c>
      <c r="E21" s="3">
        <v>241</v>
      </c>
      <c r="F21" s="268" t="s">
        <v>234</v>
      </c>
      <c r="G21" s="269"/>
      <c r="H21" s="3">
        <v>2</v>
      </c>
      <c r="I21" s="3"/>
      <c r="J21" s="3">
        <f t="shared" si="0"/>
        <v>2</v>
      </c>
      <c r="K21" s="9"/>
      <c r="L21" s="21"/>
      <c r="M21" s="157">
        <f t="shared" si="1"/>
        <v>664707.52558480005</v>
      </c>
      <c r="N21" s="158">
        <f t="shared" si="2"/>
        <v>1329415.0511696001</v>
      </c>
    </row>
    <row r="22" spans="1:14" s="85" customFormat="1" ht="26.25" customHeight="1" x14ac:dyDescent="0.25">
      <c r="A22" s="2">
        <v>12</v>
      </c>
      <c r="B22" s="83" t="s">
        <v>12</v>
      </c>
      <c r="C22" s="83">
        <v>45</v>
      </c>
      <c r="D22" s="83">
        <v>58</v>
      </c>
      <c r="E22" s="83">
        <v>114</v>
      </c>
      <c r="F22" s="268" t="s">
        <v>239</v>
      </c>
      <c r="G22" s="269"/>
      <c r="H22" s="83">
        <v>1</v>
      </c>
      <c r="I22" s="83"/>
      <c r="J22" s="83">
        <f t="shared" si="0"/>
        <v>1</v>
      </c>
      <c r="K22" s="83"/>
      <c r="L22" s="151"/>
      <c r="M22" s="155">
        <f t="shared" si="1"/>
        <v>169626.24482400002</v>
      </c>
      <c r="N22" s="156">
        <f t="shared" si="2"/>
        <v>169626.24482400002</v>
      </c>
    </row>
    <row r="23" spans="1:14" s="85" customFormat="1" ht="14.25" customHeight="1" x14ac:dyDescent="0.25">
      <c r="A23" s="2">
        <v>13</v>
      </c>
      <c r="B23" s="83" t="s">
        <v>240</v>
      </c>
      <c r="C23" s="2">
        <v>41.5</v>
      </c>
      <c r="D23" s="2">
        <v>121</v>
      </c>
      <c r="E23" s="2">
        <v>136</v>
      </c>
      <c r="F23" s="272" t="s">
        <v>6</v>
      </c>
      <c r="G23" s="261"/>
      <c r="H23" s="3">
        <v>1</v>
      </c>
      <c r="I23" s="2"/>
      <c r="J23" s="3">
        <f t="shared" si="0"/>
        <v>1</v>
      </c>
      <c r="K23" s="2"/>
      <c r="L23" s="2"/>
      <c r="M23" s="155">
        <f t="shared" ref="M23" si="3">(C23*D23*E23)*7.9/1000000*72164</f>
        <v>389331.96753440006</v>
      </c>
      <c r="N23" s="156">
        <f t="shared" si="2"/>
        <v>389331.96753440006</v>
      </c>
    </row>
    <row r="24" spans="1:14" x14ac:dyDescent="0.25">
      <c r="M24" s="93" t="s">
        <v>158</v>
      </c>
      <c r="N24" s="82">
        <f>SUM(N11:N23)</f>
        <v>2226404.6084008003</v>
      </c>
    </row>
  </sheetData>
  <autoFilter ref="C1:E47"/>
  <mergeCells count="18">
    <mergeCell ref="C2:E2"/>
    <mergeCell ref="C3:E5"/>
    <mergeCell ref="C6:E6"/>
    <mergeCell ref="C10:E10"/>
    <mergeCell ref="F10:G10"/>
    <mergeCell ref="F11:G11"/>
    <mergeCell ref="F12:G12"/>
    <mergeCell ref="F13:G13"/>
    <mergeCell ref="F14:G14"/>
    <mergeCell ref="F15:G15"/>
    <mergeCell ref="F23:G23"/>
    <mergeCell ref="F21:G21"/>
    <mergeCell ref="F22:G22"/>
    <mergeCell ref="F16:G16"/>
    <mergeCell ref="F19:G19"/>
    <mergeCell ref="F20:G20"/>
    <mergeCell ref="F17:G17"/>
    <mergeCell ref="F18:G18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6145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66675</xdr:rowOff>
              </from>
              <to>
                <xdr:col>1</xdr:col>
                <xdr:colOff>1066800</xdr:colOff>
                <xdr:row>5</xdr:row>
                <xdr:rowOff>152400</xdr:rowOff>
              </to>
            </anchor>
          </objectPr>
        </oleObject>
      </mc:Choice>
      <mc:Fallback>
        <oleObject progId="PBrush" shapeId="614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N24"/>
  <sheetViews>
    <sheetView zoomScale="84" zoomScaleNormal="84" workbookViewId="0">
      <selection activeCell="C9" sqref="C9"/>
    </sheetView>
  </sheetViews>
  <sheetFormatPr defaultRowHeight="15" x14ac:dyDescent="0.25"/>
  <cols>
    <col min="1" max="1" width="4.42578125" customWidth="1"/>
    <col min="2" max="2" width="16.5703125" customWidth="1"/>
    <col min="3" max="5" width="6.28515625" customWidth="1"/>
    <col min="6" max="6" width="10.28515625" customWidth="1"/>
    <col min="7" max="8" width="10" customWidth="1"/>
    <col min="9" max="9" width="9.140625" customWidth="1"/>
    <col min="11" max="11" width="20.28515625" customWidth="1"/>
    <col min="12" max="12" width="18.28515625" customWidth="1"/>
    <col min="13" max="14" width="19" customWidth="1"/>
  </cols>
  <sheetData>
    <row r="1" spans="1:14" ht="15" customHeight="1" x14ac:dyDescent="0.25">
      <c r="H1" s="11" t="s">
        <v>93</v>
      </c>
    </row>
    <row r="2" spans="1:14" ht="15" customHeight="1" x14ac:dyDescent="0.25">
      <c r="A2" s="32"/>
      <c r="B2" s="28"/>
      <c r="C2" s="248" t="s">
        <v>94</v>
      </c>
      <c r="D2" s="250"/>
      <c r="E2" s="249"/>
      <c r="F2" s="7" t="s">
        <v>95</v>
      </c>
      <c r="G2" s="2"/>
      <c r="H2" s="3" t="s">
        <v>96</v>
      </c>
      <c r="I2" s="47" t="s">
        <v>97</v>
      </c>
      <c r="J2" s="38" t="s">
        <v>98</v>
      </c>
    </row>
    <row r="3" spans="1:14" ht="15" customHeight="1" x14ac:dyDescent="0.25">
      <c r="A3" s="33"/>
      <c r="B3" s="67"/>
      <c r="C3" s="251" t="s">
        <v>99</v>
      </c>
      <c r="D3" s="252"/>
      <c r="E3" s="253"/>
      <c r="F3" s="68" t="s">
        <v>100</v>
      </c>
      <c r="G3" s="45">
        <v>43257</v>
      </c>
      <c r="H3" s="22"/>
      <c r="I3" s="22"/>
      <c r="J3" s="22"/>
    </row>
    <row r="4" spans="1:14" ht="15" customHeight="1" x14ac:dyDescent="0.25">
      <c r="A4" s="33"/>
      <c r="B4" s="67"/>
      <c r="C4" s="254"/>
      <c r="D4" s="255"/>
      <c r="E4" s="256"/>
      <c r="F4" s="68" t="s">
        <v>101</v>
      </c>
      <c r="G4" s="44">
        <v>0</v>
      </c>
      <c r="H4" s="23"/>
      <c r="I4" s="23"/>
      <c r="J4" s="23"/>
    </row>
    <row r="5" spans="1:14" ht="15" customHeight="1" x14ac:dyDescent="0.25">
      <c r="A5" s="34"/>
      <c r="C5" s="257"/>
      <c r="D5" s="258"/>
      <c r="E5" s="259"/>
      <c r="F5" s="37"/>
      <c r="G5" s="27"/>
      <c r="H5" s="39"/>
      <c r="I5" s="39"/>
      <c r="J5" s="39"/>
    </row>
    <row r="6" spans="1:14" ht="15" customHeight="1" x14ac:dyDescent="0.25">
      <c r="A6" s="27"/>
      <c r="B6" s="12"/>
      <c r="C6" s="248"/>
      <c r="D6" s="250"/>
      <c r="E6" s="249"/>
      <c r="F6" s="49"/>
      <c r="G6" s="40"/>
      <c r="H6" s="48"/>
      <c r="I6" s="48"/>
      <c r="J6" s="48"/>
    </row>
    <row r="7" spans="1:14" ht="15" customHeight="1" x14ac:dyDescent="0.25">
      <c r="A7" s="25" t="s">
        <v>47</v>
      </c>
      <c r="B7" s="26"/>
      <c r="C7" t="s">
        <v>108</v>
      </c>
      <c r="F7" s="28"/>
      <c r="G7" s="28"/>
      <c r="H7" s="28"/>
      <c r="I7" s="28"/>
      <c r="J7" s="26"/>
    </row>
    <row r="8" spans="1:14" ht="15" customHeight="1" x14ac:dyDescent="0.25">
      <c r="A8" s="42" t="s">
        <v>63</v>
      </c>
      <c r="B8" s="51"/>
      <c r="C8" s="62" t="s">
        <v>248</v>
      </c>
      <c r="D8" s="62"/>
      <c r="E8" s="62"/>
      <c r="F8" s="11"/>
      <c r="I8" s="8"/>
      <c r="J8" s="30"/>
    </row>
    <row r="9" spans="1:14" ht="15" customHeight="1" x14ac:dyDescent="0.25">
      <c r="A9" s="27" t="s">
        <v>62</v>
      </c>
      <c r="B9" s="50"/>
      <c r="C9" t="s">
        <v>103</v>
      </c>
      <c r="F9" s="12"/>
      <c r="G9" s="12"/>
      <c r="H9" s="12"/>
      <c r="I9" s="10"/>
      <c r="J9" s="31"/>
    </row>
    <row r="10" spans="1:14" ht="15" customHeight="1" x14ac:dyDescent="0.25">
      <c r="A10" s="1" t="s">
        <v>38</v>
      </c>
      <c r="B10" s="24" t="s">
        <v>47</v>
      </c>
      <c r="C10" s="248" t="s">
        <v>2</v>
      </c>
      <c r="D10" s="250"/>
      <c r="E10" s="249"/>
      <c r="F10" s="260" t="s">
        <v>0</v>
      </c>
      <c r="G10" s="261"/>
      <c r="H10" s="1" t="s">
        <v>1</v>
      </c>
      <c r="I10" s="1" t="s">
        <v>42</v>
      </c>
      <c r="J10" s="1" t="s">
        <v>41</v>
      </c>
      <c r="K10" s="1" t="s">
        <v>44</v>
      </c>
      <c r="L10" s="1" t="s">
        <v>45</v>
      </c>
      <c r="M10" s="79" t="s">
        <v>156</v>
      </c>
      <c r="N10" s="79" t="s">
        <v>157</v>
      </c>
    </row>
    <row r="11" spans="1:14" ht="15" customHeight="1" x14ac:dyDescent="0.25">
      <c r="A11" s="2">
        <v>1</v>
      </c>
      <c r="B11" s="3" t="s">
        <v>13</v>
      </c>
      <c r="C11" s="4">
        <v>50</v>
      </c>
      <c r="D11" s="65">
        <v>55</v>
      </c>
      <c r="E11" s="65">
        <v>75</v>
      </c>
      <c r="F11" s="266" t="s">
        <v>6</v>
      </c>
      <c r="G11" s="267"/>
      <c r="H11" s="3">
        <v>1</v>
      </c>
      <c r="I11" s="3"/>
      <c r="J11" s="3">
        <f t="shared" ref="J11:J14" si="0">H11-I11</f>
        <v>1</v>
      </c>
      <c r="K11" s="2"/>
      <c r="L11" s="18"/>
      <c r="M11" s="78">
        <f t="shared" ref="M11:M14" si="1">(C11*D11*E11)*7.9/1000000*38000</f>
        <v>61916.25</v>
      </c>
      <c r="N11" s="80">
        <f>M11*J11</f>
        <v>61916.25</v>
      </c>
    </row>
    <row r="12" spans="1:14" x14ac:dyDescent="0.25">
      <c r="A12" s="2">
        <v>2</v>
      </c>
      <c r="B12" s="3" t="s">
        <v>13</v>
      </c>
      <c r="C12" s="3">
        <v>40</v>
      </c>
      <c r="D12" s="63">
        <v>45</v>
      </c>
      <c r="E12" s="63">
        <v>70</v>
      </c>
      <c r="F12" s="266" t="s">
        <v>6</v>
      </c>
      <c r="G12" s="267"/>
      <c r="H12" s="3">
        <v>1</v>
      </c>
      <c r="I12" s="3"/>
      <c r="J12" s="3">
        <f t="shared" si="0"/>
        <v>1</v>
      </c>
      <c r="K12" s="2"/>
      <c r="L12" s="18"/>
      <c r="M12" s="78">
        <f t="shared" si="1"/>
        <v>37825.199999999997</v>
      </c>
      <c r="N12" s="80">
        <f t="shared" ref="N12:N15" si="2">M12*J12</f>
        <v>37825.199999999997</v>
      </c>
    </row>
    <row r="13" spans="1:14" x14ac:dyDescent="0.25">
      <c r="A13" s="2">
        <v>3</v>
      </c>
      <c r="B13" s="3" t="s">
        <v>13</v>
      </c>
      <c r="C13" s="3">
        <v>40</v>
      </c>
      <c r="D13" s="63">
        <v>47</v>
      </c>
      <c r="E13" s="63">
        <v>54</v>
      </c>
      <c r="F13" s="266" t="s">
        <v>6</v>
      </c>
      <c r="G13" s="267"/>
      <c r="H13" s="3">
        <v>1</v>
      </c>
      <c r="I13" s="3"/>
      <c r="J13" s="3">
        <f t="shared" si="0"/>
        <v>1</v>
      </c>
      <c r="K13" s="2"/>
      <c r="L13" s="18"/>
      <c r="M13" s="78">
        <f t="shared" si="1"/>
        <v>30476.304000000004</v>
      </c>
      <c r="N13" s="80">
        <f t="shared" si="2"/>
        <v>30476.304000000004</v>
      </c>
    </row>
    <row r="14" spans="1:14" x14ac:dyDescent="0.25">
      <c r="A14" s="2">
        <v>4</v>
      </c>
      <c r="B14" s="3" t="s">
        <v>13</v>
      </c>
      <c r="C14" s="3">
        <v>35</v>
      </c>
      <c r="D14" s="63">
        <v>41</v>
      </c>
      <c r="E14" s="63">
        <v>65</v>
      </c>
      <c r="F14" s="266" t="s">
        <v>6</v>
      </c>
      <c r="G14" s="267"/>
      <c r="H14" s="3">
        <v>1</v>
      </c>
      <c r="I14" s="3"/>
      <c r="J14" s="3">
        <f t="shared" si="0"/>
        <v>1</v>
      </c>
      <c r="K14" s="2"/>
      <c r="L14" s="18"/>
      <c r="M14" s="78">
        <f t="shared" si="1"/>
        <v>28001.155000000002</v>
      </c>
      <c r="N14" s="80">
        <f t="shared" si="2"/>
        <v>28001.155000000002</v>
      </c>
    </row>
    <row r="15" spans="1:14" x14ac:dyDescent="0.25">
      <c r="A15" s="2">
        <v>5</v>
      </c>
      <c r="B15" s="3" t="s">
        <v>13</v>
      </c>
      <c r="C15" s="3">
        <v>57</v>
      </c>
      <c r="D15" s="63">
        <v>52</v>
      </c>
      <c r="E15" s="63">
        <v>458</v>
      </c>
      <c r="F15" s="248" t="s">
        <v>123</v>
      </c>
      <c r="G15" s="249"/>
      <c r="H15" s="3">
        <v>1</v>
      </c>
      <c r="I15" s="3"/>
      <c r="J15" s="3">
        <f t="shared" ref="J15" si="3">H15-I15</f>
        <v>1</v>
      </c>
      <c r="K15" s="2"/>
      <c r="L15" s="18"/>
      <c r="M15" s="78">
        <f t="shared" ref="M15" si="4">(C15*D15*E15)*7.9/1000000*38000</f>
        <v>407525.10240000003</v>
      </c>
      <c r="N15" s="80">
        <f t="shared" si="2"/>
        <v>407525.10240000003</v>
      </c>
    </row>
    <row r="16" spans="1:14" x14ac:dyDescent="0.25">
      <c r="A16" s="138">
        <v>6</v>
      </c>
      <c r="B16" s="3" t="s">
        <v>206</v>
      </c>
      <c r="C16" s="4">
        <v>12.3</v>
      </c>
      <c r="D16" s="65">
        <v>125.3</v>
      </c>
      <c r="E16" s="65">
        <v>161.5</v>
      </c>
      <c r="F16" s="248" t="s">
        <v>124</v>
      </c>
      <c r="G16" s="249"/>
      <c r="H16" s="3">
        <v>1</v>
      </c>
      <c r="I16" s="3"/>
      <c r="J16" s="3">
        <f t="shared" ref="J16:J20" si="5">H16-I16</f>
        <v>1</v>
      </c>
      <c r="K16" s="9"/>
      <c r="L16" s="21"/>
      <c r="M16" s="78">
        <f t="shared" ref="M16:M23" si="6">(C16*D16*E16)*7.9/1000000*38000</f>
        <v>74720.435937000002</v>
      </c>
      <c r="N16" s="80">
        <f t="shared" ref="N16:N23" si="7">M16*J16</f>
        <v>74720.435937000002</v>
      </c>
    </row>
    <row r="17" spans="1:14" x14ac:dyDescent="0.25">
      <c r="A17" s="138">
        <v>7</v>
      </c>
      <c r="B17" s="3" t="s">
        <v>206</v>
      </c>
      <c r="C17" s="3">
        <v>37.700000000000003</v>
      </c>
      <c r="D17" s="63">
        <v>55.3</v>
      </c>
      <c r="E17" s="63">
        <v>190.1</v>
      </c>
      <c r="F17" s="262" t="s">
        <v>113</v>
      </c>
      <c r="G17" s="263"/>
      <c r="H17" s="3">
        <v>1</v>
      </c>
      <c r="I17" s="3"/>
      <c r="J17" s="3">
        <f t="shared" si="5"/>
        <v>1</v>
      </c>
      <c r="K17" s="9"/>
      <c r="L17" s="114"/>
      <c r="M17" s="78">
        <f t="shared" si="6"/>
        <v>118975.97877620001</v>
      </c>
      <c r="N17" s="80">
        <f t="shared" si="7"/>
        <v>118975.97877620001</v>
      </c>
    </row>
    <row r="18" spans="1:14" x14ac:dyDescent="0.25">
      <c r="A18" s="138">
        <v>8</v>
      </c>
      <c r="B18" s="3" t="s">
        <v>206</v>
      </c>
      <c r="C18" s="3">
        <v>37.700000000000003</v>
      </c>
      <c r="D18" s="63">
        <v>55.3</v>
      </c>
      <c r="E18" s="63">
        <v>190.1</v>
      </c>
      <c r="F18" s="262" t="s">
        <v>113</v>
      </c>
      <c r="G18" s="263"/>
      <c r="H18" s="3">
        <v>1</v>
      </c>
      <c r="I18" s="3"/>
      <c r="J18" s="3">
        <f t="shared" si="5"/>
        <v>1</v>
      </c>
      <c r="K18" s="9"/>
      <c r="L18" s="114"/>
      <c r="M18" s="78">
        <f t="shared" si="6"/>
        <v>118975.97877620001</v>
      </c>
      <c r="N18" s="80">
        <f t="shared" si="7"/>
        <v>118975.97877620001</v>
      </c>
    </row>
    <row r="19" spans="1:14" x14ac:dyDescent="0.25">
      <c r="A19" s="138">
        <v>9</v>
      </c>
      <c r="B19" s="3" t="s">
        <v>206</v>
      </c>
      <c r="C19" s="3">
        <v>37.700000000000003</v>
      </c>
      <c r="D19" s="63">
        <v>55.3</v>
      </c>
      <c r="E19" s="63">
        <v>190.1</v>
      </c>
      <c r="F19" s="262" t="s">
        <v>113</v>
      </c>
      <c r="G19" s="263"/>
      <c r="H19" s="3">
        <v>1</v>
      </c>
      <c r="I19" s="3"/>
      <c r="J19" s="3">
        <f t="shared" si="5"/>
        <v>1</v>
      </c>
      <c r="K19" s="9"/>
      <c r="L19" s="114"/>
      <c r="M19" s="78">
        <f t="shared" si="6"/>
        <v>118975.97877620001</v>
      </c>
      <c r="N19" s="80">
        <f t="shared" si="7"/>
        <v>118975.97877620001</v>
      </c>
    </row>
    <row r="20" spans="1:14" x14ac:dyDescent="0.25">
      <c r="A20" s="138">
        <v>10</v>
      </c>
      <c r="B20" s="3" t="s">
        <v>206</v>
      </c>
      <c r="C20" s="3">
        <v>37.700000000000003</v>
      </c>
      <c r="D20" s="63">
        <v>55.3</v>
      </c>
      <c r="E20" s="63">
        <v>189.9</v>
      </c>
      <c r="F20" s="262" t="s">
        <v>113</v>
      </c>
      <c r="G20" s="263"/>
      <c r="H20" s="3">
        <v>1</v>
      </c>
      <c r="I20" s="3"/>
      <c r="J20" s="3">
        <f t="shared" si="5"/>
        <v>1</v>
      </c>
      <c r="K20" s="9"/>
      <c r="L20" s="114"/>
      <c r="M20" s="78">
        <f t="shared" si="6"/>
        <v>118850.8067838</v>
      </c>
      <c r="N20" s="80">
        <f t="shared" si="7"/>
        <v>118850.8067838</v>
      </c>
    </row>
    <row r="21" spans="1:14" ht="15" customHeight="1" x14ac:dyDescent="0.25">
      <c r="A21" s="2">
        <v>11</v>
      </c>
      <c r="B21" s="3" t="s">
        <v>217</v>
      </c>
      <c r="C21" s="3">
        <v>13</v>
      </c>
      <c r="D21" s="3">
        <v>80</v>
      </c>
      <c r="E21" s="3">
        <v>84</v>
      </c>
      <c r="F21" s="262" t="s">
        <v>6</v>
      </c>
      <c r="G21" s="263"/>
      <c r="H21" s="3">
        <v>1</v>
      </c>
      <c r="I21" s="3"/>
      <c r="J21" s="3">
        <f t="shared" ref="J21:J23" si="8">H21-I21</f>
        <v>1</v>
      </c>
      <c r="K21" s="9"/>
      <c r="L21" s="19"/>
      <c r="M21" s="78">
        <f t="shared" si="6"/>
        <v>26225.471999999998</v>
      </c>
      <c r="N21" s="80">
        <f t="shared" si="7"/>
        <v>26225.471999999998</v>
      </c>
    </row>
    <row r="22" spans="1:14" ht="15" customHeight="1" x14ac:dyDescent="0.25">
      <c r="A22" s="2">
        <v>12</v>
      </c>
      <c r="B22" s="3" t="s">
        <v>21</v>
      </c>
      <c r="C22" s="3">
        <v>48</v>
      </c>
      <c r="D22" s="3">
        <v>52</v>
      </c>
      <c r="E22" s="3">
        <v>120</v>
      </c>
      <c r="F22" s="262" t="s">
        <v>6</v>
      </c>
      <c r="G22" s="263"/>
      <c r="H22" s="3">
        <v>1</v>
      </c>
      <c r="I22" s="3"/>
      <c r="J22" s="3">
        <f t="shared" si="8"/>
        <v>1</v>
      </c>
      <c r="K22" s="14"/>
      <c r="L22" s="19"/>
      <c r="M22" s="78">
        <f t="shared" si="6"/>
        <v>89915.903999999995</v>
      </c>
      <c r="N22" s="80">
        <f t="shared" si="7"/>
        <v>89915.903999999995</v>
      </c>
    </row>
    <row r="23" spans="1:14" ht="15" customHeight="1" x14ac:dyDescent="0.25">
      <c r="A23" s="2">
        <v>13</v>
      </c>
      <c r="B23" s="3" t="s">
        <v>21</v>
      </c>
      <c r="C23" s="3">
        <v>45</v>
      </c>
      <c r="D23" s="3">
        <v>50</v>
      </c>
      <c r="E23" s="3">
        <v>122</v>
      </c>
      <c r="F23" s="262" t="s">
        <v>6</v>
      </c>
      <c r="G23" s="263"/>
      <c r="H23" s="3">
        <v>1</v>
      </c>
      <c r="I23" s="3"/>
      <c r="J23" s="3">
        <f t="shared" si="8"/>
        <v>1</v>
      </c>
      <c r="K23" s="14"/>
      <c r="L23" s="19"/>
      <c r="M23" s="78">
        <f t="shared" si="6"/>
        <v>82404.900000000009</v>
      </c>
      <c r="N23" s="80">
        <f t="shared" si="7"/>
        <v>82404.900000000009</v>
      </c>
    </row>
    <row r="24" spans="1:14" x14ac:dyDescent="0.25">
      <c r="M24" s="93" t="s">
        <v>158</v>
      </c>
      <c r="N24" s="82">
        <f>SUM(N11:N23)</f>
        <v>1314789.4664493999</v>
      </c>
    </row>
  </sheetData>
  <mergeCells count="18">
    <mergeCell ref="F17:G17"/>
    <mergeCell ref="F18:G18"/>
    <mergeCell ref="F16:G16"/>
    <mergeCell ref="C10:E10"/>
    <mergeCell ref="C2:E2"/>
    <mergeCell ref="C3:E5"/>
    <mergeCell ref="C6:E6"/>
    <mergeCell ref="F15:G15"/>
    <mergeCell ref="F10:G10"/>
    <mergeCell ref="F11:G11"/>
    <mergeCell ref="F12:G12"/>
    <mergeCell ref="F13:G13"/>
    <mergeCell ref="F14:G14"/>
    <mergeCell ref="F21:G21"/>
    <mergeCell ref="F19:G19"/>
    <mergeCell ref="F20:G20"/>
    <mergeCell ref="F22:G22"/>
    <mergeCell ref="F23:G23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PBrush" shapeId="7169" r:id="rId4">
          <objectPr defaultSize="0" autoPict="0" r:id="rId5">
            <anchor moveWithCells="1" sizeWithCells="1">
              <from>
                <xdr:col>0</xdr:col>
                <xdr:colOff>47625</xdr:colOff>
                <xdr:row>1</xdr:row>
                <xdr:rowOff>57150</xdr:rowOff>
              </from>
              <to>
                <xdr:col>1</xdr:col>
                <xdr:colOff>1057275</xdr:colOff>
                <xdr:row>5</xdr:row>
                <xdr:rowOff>133350</xdr:rowOff>
              </to>
            </anchor>
          </objectPr>
        </oleObject>
      </mc:Choice>
      <mc:Fallback>
        <oleObject progId="PBrush" shapeId="716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#NAK80&amp;DC11</vt:lpstr>
      <vt:lpstr>Sheet2</vt:lpstr>
      <vt:lpstr>Sheet3</vt:lpstr>
      <vt:lpstr>Al 5083</vt:lpstr>
      <vt:lpstr>Al 6061</vt:lpstr>
      <vt:lpstr>A618</vt:lpstr>
      <vt:lpstr>A718 &amp; P20</vt:lpstr>
      <vt:lpstr>PX4</vt:lpstr>
      <vt:lpstr>EB2311 &amp; EB2316</vt:lpstr>
      <vt:lpstr>No Name</vt:lpstr>
      <vt:lpstr>CENA 1</vt:lpstr>
      <vt:lpstr>ROUND OTHER</vt:lpstr>
      <vt:lpstr>ROUND EB2311 &amp; EB2316</vt:lpstr>
      <vt:lpstr>ROUND VCL</vt:lpstr>
      <vt:lpstr>ROUND VCN</vt:lpstr>
      <vt:lpstr>VCN</vt:lpstr>
      <vt:lpstr>MATERIAL PESANAN</vt:lpstr>
      <vt:lpstr>TEMBAGA</vt:lpstr>
      <vt:lpstr>S45C Rev</vt:lpstr>
      <vt:lpstr>S45C (ROUND) &amp; HEXAGON</vt:lpstr>
      <vt:lpstr>DJARUM</vt:lpstr>
      <vt:lpstr>Sisa Material Dj</vt:lpstr>
      <vt:lpstr>Other Pesanan</vt:lpstr>
      <vt:lpstr>ROY ALLOY </vt:lpstr>
      <vt:lpstr>'#NAK80&amp;DC11'!Print_Area</vt:lpstr>
      <vt:lpstr>'A618'!Print_Area</vt:lpstr>
      <vt:lpstr>'A718 &amp; P20'!Print_Area</vt:lpstr>
      <vt:lpstr>'Al 5083'!Print_Area</vt:lpstr>
      <vt:lpstr>'Al 6061'!Print_Area</vt:lpstr>
      <vt:lpstr>'CENA 1'!Print_Area</vt:lpstr>
      <vt:lpstr>DJARUM!Print_Area</vt:lpstr>
      <vt:lpstr>'EB2311 &amp; EB2316'!Print_Area</vt:lpstr>
      <vt:lpstr>'MATERIAL PESANAN'!Print_Area</vt:lpstr>
      <vt:lpstr>'No Name'!Print_Area</vt:lpstr>
      <vt:lpstr>'Other Pesanan'!Print_Area</vt:lpstr>
      <vt:lpstr>'PX4'!Print_Area</vt:lpstr>
      <vt:lpstr>'ROUND EB2311 &amp; EB2316'!Print_Area</vt:lpstr>
      <vt:lpstr>'ROUND OTHER'!Print_Area</vt:lpstr>
      <vt:lpstr>'ROUND VCL'!Print_Area</vt:lpstr>
      <vt:lpstr>'ROUND VCN'!Print_Area</vt:lpstr>
      <vt:lpstr>'ROY ALLOY '!Print_Area</vt:lpstr>
      <vt:lpstr>'S45C (ROUND) &amp; HEXAGON'!Print_Area</vt:lpstr>
      <vt:lpstr>'S45C Rev'!Print_Area</vt:lpstr>
      <vt:lpstr>'Sisa Material Dj'!Print_Area</vt:lpstr>
      <vt:lpstr>TEMBAGA!Print_Area</vt:lpstr>
      <vt:lpstr>VCN!Print_Area</vt:lpstr>
    </vt:vector>
  </TitlesOfParts>
  <Company>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Warehouse</cp:lastModifiedBy>
  <cp:lastPrinted>2024-01-03T06:04:25Z</cp:lastPrinted>
  <dcterms:created xsi:type="dcterms:W3CDTF">2016-03-07T03:45:05Z</dcterms:created>
  <dcterms:modified xsi:type="dcterms:W3CDTF">2024-03-01T09:01:39Z</dcterms:modified>
</cp:coreProperties>
</file>