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endra\Desktop\"/>
    </mc:Choice>
  </mc:AlternateContent>
  <xr:revisionPtr revIDLastSave="0" documentId="13_ncr:1_{91059C6F-EAA2-4A7C-A5B0-24DEC22F2A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Karyawan" sheetId="3" r:id="rId1"/>
    <sheet name="PPh21" sheetId="2" r:id="rId2"/>
    <sheet name="DaftarTarifEfektif" sheetId="1" r:id="rId3"/>
  </sheets>
  <definedNames>
    <definedName name="JenisPTKP">DaftarTarifEfektif!$H$4:$H$11</definedName>
    <definedName name="LapisanPPh21">DaftarTarifEfektif!$M$4:$Q$9</definedName>
    <definedName name="MasterKaryawan">MasterKaryawan!$A$7:$I$1005</definedName>
    <definedName name="PTKP">DaftarTarifEfektif!$H$4:$J$11</definedName>
    <definedName name="TER">DaftarTarifEfektif!$H$4:$I$11</definedName>
    <definedName name="TERA">DaftarTarifEfektif!$B$4:$E$47</definedName>
    <definedName name="TERB">DaftarTarifEfektif!$B$48:$E$87</definedName>
    <definedName name="TERC">DaftarTarifEfektif!$B$88:$E$128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5" i="2" l="1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E105" i="2" l="1"/>
  <c r="D105" i="2"/>
  <c r="E104" i="2"/>
  <c r="D104" i="2"/>
  <c r="E97" i="2"/>
  <c r="D97" i="2"/>
  <c r="AA97" i="2"/>
  <c r="AA104" i="2" l="1"/>
  <c r="Q104" i="2"/>
  <c r="P104" i="2"/>
  <c r="AA105" i="2"/>
  <c r="Q105" i="2"/>
  <c r="P105" i="2"/>
  <c r="AD105" i="2"/>
  <c r="AB105" i="2"/>
  <c r="Z105" i="2"/>
  <c r="AB104" i="2"/>
  <c r="Z104" i="2"/>
  <c r="AD104" i="2"/>
  <c r="AB97" i="2"/>
  <c r="X97" i="2"/>
  <c r="R97" i="2"/>
  <c r="Y97" i="2"/>
  <c r="AG97" i="2"/>
  <c r="Z97" i="2"/>
  <c r="AD97" i="2"/>
  <c r="AG98" i="2"/>
  <c r="AD96" i="2"/>
  <c r="AB95" i="2"/>
  <c r="AB94" i="2"/>
  <c r="AG93" i="2"/>
  <c r="AB92" i="2"/>
  <c r="Y91" i="2"/>
  <c r="AG90" i="2"/>
  <c r="AG89" i="2"/>
  <c r="AD88" i="2"/>
  <c r="AB87" i="2"/>
  <c r="AG86" i="2"/>
  <c r="AB85" i="2"/>
  <c r="Z84" i="2"/>
  <c r="AG83" i="2"/>
  <c r="AG82" i="2"/>
  <c r="AD81" i="2"/>
  <c r="AD80" i="2"/>
  <c r="AB78" i="2"/>
  <c r="AD77" i="2"/>
  <c r="X76" i="2"/>
  <c r="AG75" i="2"/>
  <c r="AG74" i="2"/>
  <c r="AD73" i="2"/>
  <c r="X72" i="2"/>
  <c r="AA70" i="2"/>
  <c r="AA69" i="2"/>
  <c r="X68" i="2"/>
  <c r="AG67" i="2"/>
  <c r="AG66" i="2"/>
  <c r="AG65" i="2"/>
  <c r="Z64" i="2"/>
  <c r="Y63" i="2"/>
  <c r="AG62" i="2"/>
  <c r="AG61" i="2"/>
  <c r="Z60" i="2"/>
  <c r="Y59" i="2"/>
  <c r="X58" i="2"/>
  <c r="AG57" i="2"/>
  <c r="Z56" i="2"/>
  <c r="AG55" i="2"/>
  <c r="X54" i="2"/>
  <c r="AD53" i="2"/>
  <c r="Z52" i="2"/>
  <c r="Y51" i="2"/>
  <c r="Y50" i="2"/>
  <c r="Y49" i="2"/>
  <c r="Y48" i="2"/>
  <c r="AA47" i="2"/>
  <c r="Z46" i="2"/>
  <c r="AG45" i="2"/>
  <c r="AB44" i="2"/>
  <c r="AA43" i="2"/>
  <c r="Z42" i="2"/>
  <c r="Y41" i="2"/>
  <c r="Y40" i="2"/>
  <c r="X38" i="2"/>
  <c r="AG37" i="2"/>
  <c r="AB36" i="2"/>
  <c r="AA35" i="2"/>
  <c r="AA34" i="2"/>
  <c r="AA33" i="2"/>
  <c r="AG32" i="2"/>
  <c r="AA31" i="2"/>
  <c r="AB30" i="2"/>
  <c r="Y29" i="2"/>
  <c r="AG28" i="2"/>
  <c r="AD27" i="2"/>
  <c r="AB26" i="2"/>
  <c r="AA25" i="2"/>
  <c r="AG24" i="2"/>
  <c r="AA23" i="2"/>
  <c r="AA22" i="2"/>
  <c r="Y21" i="2"/>
  <c r="AG20" i="2"/>
  <c r="AG19" i="2"/>
  <c r="AD18" i="2"/>
  <c r="AB17" i="2"/>
  <c r="AG16" i="2"/>
  <c r="AG15" i="2"/>
  <c r="P99" i="2" l="1"/>
  <c r="Q99" i="2"/>
  <c r="Q101" i="2"/>
  <c r="P101" i="2"/>
  <c r="AB102" i="2"/>
  <c r="Q102" i="2"/>
  <c r="P102" i="2"/>
  <c r="Q103" i="2"/>
  <c r="P103" i="2"/>
  <c r="AB100" i="2"/>
  <c r="P100" i="2"/>
  <c r="Q100" i="2"/>
  <c r="AC97" i="2"/>
  <c r="AE97" i="2" s="1"/>
  <c r="AG33" i="2"/>
  <c r="AA65" i="2"/>
  <c r="AD25" i="2"/>
  <c r="AD33" i="2"/>
  <c r="Y80" i="2"/>
  <c r="AG80" i="2"/>
  <c r="AG87" i="2"/>
  <c r="Z50" i="2"/>
  <c r="X88" i="2"/>
  <c r="AB42" i="2"/>
  <c r="AA52" i="2"/>
  <c r="AG94" i="2"/>
  <c r="Y58" i="2"/>
  <c r="AA57" i="2"/>
  <c r="X95" i="2"/>
  <c r="X36" i="2"/>
  <c r="AA42" i="2"/>
  <c r="Z65" i="2"/>
  <c r="Y90" i="2"/>
  <c r="AB16" i="2"/>
  <c r="AD44" i="2"/>
  <c r="AD72" i="2"/>
  <c r="AB25" i="2"/>
  <c r="AD49" i="2"/>
  <c r="X73" i="2"/>
  <c r="X98" i="2"/>
  <c r="AG27" i="2"/>
  <c r="AG18" i="2"/>
  <c r="Y27" i="2"/>
  <c r="AB33" i="2"/>
  <c r="AG35" i="2"/>
  <c r="AD41" i="2"/>
  <c r="X44" i="2"/>
  <c r="AB49" i="2"/>
  <c r="AD51" i="2"/>
  <c r="Z57" i="2"/>
  <c r="AB59" i="2"/>
  <c r="Y65" i="2"/>
  <c r="Y67" i="2"/>
  <c r="X75" i="2"/>
  <c r="X80" i="2"/>
  <c r="Y82" i="2"/>
  <c r="AD87" i="2"/>
  <c r="X90" i="2"/>
  <c r="AD94" i="2"/>
  <c r="AG96" i="2"/>
  <c r="Z82" i="2"/>
  <c r="AD36" i="2"/>
  <c r="AG44" i="2"/>
  <c r="AA67" i="2"/>
  <c r="Z75" i="2"/>
  <c r="X83" i="2"/>
  <c r="Z90" i="2"/>
  <c r="Y98" i="2"/>
  <c r="X17" i="2"/>
  <c r="Z19" i="2"/>
  <c r="AG25" i="2"/>
  <c r="Y28" i="2"/>
  <c r="AB34" i="2"/>
  <c r="AG36" i="2"/>
  <c r="AD42" i="2"/>
  <c r="Y45" i="2"/>
  <c r="AA50" i="2"/>
  <c r="AD52" i="2"/>
  <c r="Z58" i="2"/>
  <c r="AB60" i="2"/>
  <c r="X66" i="2"/>
  <c r="Y68" i="2"/>
  <c r="Y73" i="2"/>
  <c r="AA75" i="2"/>
  <c r="X81" i="2"/>
  <c r="Y83" i="2"/>
  <c r="Y88" i="2"/>
  <c r="AA90" i="2"/>
  <c r="Y95" i="2"/>
  <c r="Z98" i="2"/>
  <c r="AD17" i="2"/>
  <c r="X20" i="2"/>
  <c r="X26" i="2"/>
  <c r="Z28" i="2"/>
  <c r="AD34" i="2"/>
  <c r="AB40" i="2"/>
  <c r="AG42" i="2"/>
  <c r="AB50" i="2"/>
  <c r="AG52" i="2"/>
  <c r="AA58" i="2"/>
  <c r="AD60" i="2"/>
  <c r="Y66" i="2"/>
  <c r="Z68" i="2"/>
  <c r="AG73" i="2"/>
  <c r="Y76" i="2"/>
  <c r="Y81" i="2"/>
  <c r="Z83" i="2"/>
  <c r="AG88" i="2"/>
  <c r="AA91" i="2"/>
  <c r="AD95" i="2"/>
  <c r="Z67" i="2"/>
  <c r="Y75" i="2"/>
  <c r="Y19" i="2"/>
  <c r="X28" i="2"/>
  <c r="AA60" i="2"/>
  <c r="AG17" i="2"/>
  <c r="Y20" i="2"/>
  <c r="AD26" i="2"/>
  <c r="AA29" i="2"/>
  <c r="AG34" i="2"/>
  <c r="Z41" i="2"/>
  <c r="AB43" i="2"/>
  <c r="Z51" i="2"/>
  <c r="AB58" i="2"/>
  <c r="AG60" i="2"/>
  <c r="Z66" i="2"/>
  <c r="AA68" i="2"/>
  <c r="X74" i="2"/>
  <c r="Z76" i="2"/>
  <c r="Z81" i="2"/>
  <c r="AA83" i="2"/>
  <c r="X89" i="2"/>
  <c r="AD93" i="2"/>
  <c r="AG95" i="2"/>
  <c r="Z102" i="2"/>
  <c r="X19" i="2"/>
  <c r="AD59" i="2"/>
  <c r="AB52" i="2"/>
  <c r="X18" i="2"/>
  <c r="Z20" i="2"/>
  <c r="AG26" i="2"/>
  <c r="AD31" i="2"/>
  <c r="AB35" i="2"/>
  <c r="AA41" i="2"/>
  <c r="AD43" i="2"/>
  <c r="Z49" i="2"/>
  <c r="AA51" i="2"/>
  <c r="X57" i="2"/>
  <c r="Z59" i="2"/>
  <c r="AA66" i="2"/>
  <c r="AB68" i="2"/>
  <c r="Y74" i="2"/>
  <c r="AA76" i="2"/>
  <c r="AG81" i="2"/>
  <c r="Y89" i="2"/>
  <c r="X96" i="2"/>
  <c r="AA102" i="2"/>
  <c r="Y18" i="2"/>
  <c r="AA20" i="2"/>
  <c r="X27" i="2"/>
  <c r="AA32" i="2"/>
  <c r="AD35" i="2"/>
  <c r="AB41" i="2"/>
  <c r="AG43" i="2"/>
  <c r="AA49" i="2"/>
  <c r="AB51" i="2"/>
  <c r="Y57" i="2"/>
  <c r="AA59" i="2"/>
  <c r="X65" i="2"/>
  <c r="X67" i="2"/>
  <c r="AD69" i="2"/>
  <c r="Z74" i="2"/>
  <c r="AB76" i="2"/>
  <c r="X82" i="2"/>
  <c r="X87" i="2"/>
  <c r="Z89" i="2"/>
  <c r="X94" i="2"/>
  <c r="Y96" i="2"/>
  <c r="AG39" i="2"/>
  <c r="AD39" i="2"/>
  <c r="AB39" i="2"/>
  <c r="AD63" i="2"/>
  <c r="AB63" i="2"/>
  <c r="AA63" i="2"/>
  <c r="Z63" i="2"/>
  <c r="AB61" i="2"/>
  <c r="AG63" i="2"/>
  <c r="Z77" i="2"/>
  <c r="AA85" i="2"/>
  <c r="Z24" i="2"/>
  <c r="Y24" i="2"/>
  <c r="X24" i="2"/>
  <c r="X48" i="2"/>
  <c r="AG48" i="2"/>
  <c r="AD48" i="2"/>
  <c r="AB72" i="2"/>
  <c r="AA72" i="2"/>
  <c r="Z72" i="2"/>
  <c r="Y72" i="2"/>
  <c r="AB79" i="2"/>
  <c r="AA79" i="2"/>
  <c r="Z79" i="2"/>
  <c r="Y79" i="2"/>
  <c r="AA86" i="2"/>
  <c r="Z86" i="2"/>
  <c r="Y86" i="2"/>
  <c r="X86" i="2"/>
  <c r="Z21" i="2"/>
  <c r="Z30" i="2"/>
  <c r="AB32" i="2"/>
  <c r="Y39" i="2"/>
  <c r="X46" i="2"/>
  <c r="Z48" i="2"/>
  <c r="AG54" i="2"/>
  <c r="AD61" i="2"/>
  <c r="X64" i="2"/>
  <c r="AB70" i="2"/>
  <c r="AG72" i="2"/>
  <c r="AA77" i="2"/>
  <c r="Z100" i="2"/>
  <c r="AA21" i="2"/>
  <c r="AB23" i="2"/>
  <c r="AA30" i="2"/>
  <c r="AD32" i="2"/>
  <c r="X37" i="2"/>
  <c r="Z39" i="2"/>
  <c r="Y46" i="2"/>
  <c r="AA48" i="2"/>
  <c r="X55" i="2"/>
  <c r="Y64" i="2"/>
  <c r="AD70" i="2"/>
  <c r="AB77" i="2"/>
  <c r="AA100" i="2"/>
  <c r="AB21" i="2"/>
  <c r="AD23" i="2"/>
  <c r="Y37" i="2"/>
  <c r="AA39" i="2"/>
  <c r="AB48" i="2"/>
  <c r="Y55" i="2"/>
  <c r="X62" i="2"/>
  <c r="AG70" i="2"/>
  <c r="X79" i="2"/>
  <c r="AA92" i="2"/>
  <c r="AG46" i="2"/>
  <c r="AD46" i="2"/>
  <c r="AB46" i="2"/>
  <c r="AA46" i="2"/>
  <c r="AD22" i="2"/>
  <c r="Y15" i="2"/>
  <c r="X15" i="2"/>
  <c r="AG47" i="2"/>
  <c r="AD47" i="2"/>
  <c r="AB47" i="2"/>
  <c r="AA71" i="2"/>
  <c r="Z71" i="2"/>
  <c r="AA16" i="2"/>
  <c r="Z16" i="2"/>
  <c r="Y16" i="2"/>
  <c r="X16" i="2"/>
  <c r="Z32" i="2"/>
  <c r="Y32" i="2"/>
  <c r="X32" i="2"/>
  <c r="AG56" i="2"/>
  <c r="AD56" i="2"/>
  <c r="AB56" i="2"/>
  <c r="AA56" i="2"/>
  <c r="AB101" i="2"/>
  <c r="AA101" i="2"/>
  <c r="Z101" i="2"/>
  <c r="AD16" i="2"/>
  <c r="Z15" i="2"/>
  <c r="Z22" i="2"/>
  <c r="AA24" i="2"/>
  <c r="X29" i="2"/>
  <c r="Z31" i="2"/>
  <c r="X47" i="2"/>
  <c r="AB53" i="2"/>
  <c r="AD62" i="2"/>
  <c r="Z69" i="2"/>
  <c r="AB71" i="2"/>
  <c r="AA78" i="2"/>
  <c r="AD79" i="2"/>
  <c r="Y84" i="2"/>
  <c r="X30" i="2"/>
  <c r="AG30" i="2"/>
  <c r="AD30" i="2"/>
  <c r="AB54" i="2"/>
  <c r="AA54" i="2"/>
  <c r="Z54" i="2"/>
  <c r="Y54" i="2"/>
  <c r="Z70" i="2"/>
  <c r="Y70" i="2"/>
  <c r="X70" i="2"/>
  <c r="Y85" i="2"/>
  <c r="AD85" i="2"/>
  <c r="X85" i="2"/>
  <c r="AG85" i="2"/>
  <c r="AG78" i="2"/>
  <c r="Z85" i="2"/>
  <c r="Y23" i="2"/>
  <c r="X23" i="2"/>
  <c r="AG23" i="2"/>
  <c r="AD55" i="2"/>
  <c r="AB55" i="2"/>
  <c r="AA55" i="2"/>
  <c r="Z55" i="2"/>
  <c r="Z92" i="2"/>
  <c r="Y92" i="2"/>
  <c r="X92" i="2"/>
  <c r="AG92" i="2"/>
  <c r="Z23" i="2"/>
  <c r="Y30" i="2"/>
  <c r="X39" i="2"/>
  <c r="AD54" i="2"/>
  <c r="X40" i="2"/>
  <c r="AG40" i="2"/>
  <c r="AD40" i="2"/>
  <c r="AG64" i="2"/>
  <c r="AD64" i="2"/>
  <c r="AB64" i="2"/>
  <c r="AA64" i="2"/>
  <c r="AA93" i="2"/>
  <c r="Z93" i="2"/>
  <c r="Y93" i="2"/>
  <c r="X93" i="2"/>
  <c r="AA15" i="2"/>
  <c r="AB24" i="2"/>
  <c r="Z40" i="2"/>
  <c r="Y47" i="2"/>
  <c r="X56" i="2"/>
  <c r="AG79" i="2"/>
  <c r="AB86" i="2"/>
  <c r="AD92" i="2"/>
  <c r="Y22" i="2"/>
  <c r="X22" i="2"/>
  <c r="AG22" i="2"/>
  <c r="AG38" i="2"/>
  <c r="AD38" i="2"/>
  <c r="AB38" i="2"/>
  <c r="AA38" i="2"/>
  <c r="AB62" i="2"/>
  <c r="AA62" i="2"/>
  <c r="Z62" i="2"/>
  <c r="Y62" i="2"/>
  <c r="Z78" i="2"/>
  <c r="Y78" i="2"/>
  <c r="X78" i="2"/>
  <c r="AB99" i="2"/>
  <c r="AA99" i="2"/>
  <c r="Z99" i="2"/>
  <c r="Z38" i="2"/>
  <c r="Y31" i="2"/>
  <c r="X31" i="2"/>
  <c r="AG31" i="2"/>
  <c r="X21" i="2"/>
  <c r="AG21" i="2"/>
  <c r="AD21" i="2"/>
  <c r="AG29" i="2"/>
  <c r="AD29" i="2"/>
  <c r="AB29" i="2"/>
  <c r="AD37" i="2"/>
  <c r="AB37" i="2"/>
  <c r="AA37" i="2"/>
  <c r="Z37" i="2"/>
  <c r="AD45" i="2"/>
  <c r="AB45" i="2"/>
  <c r="AA45" i="2"/>
  <c r="Z45" i="2"/>
  <c r="AA53" i="2"/>
  <c r="Z53" i="2"/>
  <c r="Y53" i="2"/>
  <c r="X53" i="2"/>
  <c r="AA61" i="2"/>
  <c r="Z61" i="2"/>
  <c r="Y61" i="2"/>
  <c r="X61" i="2"/>
  <c r="Y69" i="2"/>
  <c r="X69" i="2"/>
  <c r="AG69" i="2"/>
  <c r="Y77" i="2"/>
  <c r="X77" i="2"/>
  <c r="AG77" i="2"/>
  <c r="X84" i="2"/>
  <c r="AG84" i="2"/>
  <c r="AD84" i="2"/>
  <c r="AB84" i="2"/>
  <c r="X91" i="2"/>
  <c r="AG91" i="2"/>
  <c r="AD91" i="2"/>
  <c r="AB91" i="2"/>
  <c r="AB15" i="2"/>
  <c r="AB22" i="2"/>
  <c r="AD24" i="2"/>
  <c r="Z29" i="2"/>
  <c r="AB31" i="2"/>
  <c r="Y38" i="2"/>
  <c r="AA40" i="2"/>
  <c r="X45" i="2"/>
  <c r="Z47" i="2"/>
  <c r="AG53" i="2"/>
  <c r="Y56" i="2"/>
  <c r="X63" i="2"/>
  <c r="AB69" i="2"/>
  <c r="AD78" i="2"/>
  <c r="AA84" i="2"/>
  <c r="AD86" i="2"/>
  <c r="Z91" i="2"/>
  <c r="AB93" i="2"/>
  <c r="Y17" i="2"/>
  <c r="Z18" i="2"/>
  <c r="AA19" i="2"/>
  <c r="AB20" i="2"/>
  <c r="X25" i="2"/>
  <c r="Y26" i="2"/>
  <c r="Z27" i="2"/>
  <c r="AA28" i="2"/>
  <c r="X33" i="2"/>
  <c r="X34" i="2"/>
  <c r="X35" i="2"/>
  <c r="Y36" i="2"/>
  <c r="AG41" i="2"/>
  <c r="X43" i="2"/>
  <c r="Y44" i="2"/>
  <c r="AD50" i="2"/>
  <c r="AG51" i="2"/>
  <c r="AB57" i="2"/>
  <c r="AD58" i="2"/>
  <c r="AG59" i="2"/>
  <c r="AB65" i="2"/>
  <c r="AB66" i="2"/>
  <c r="AB67" i="2"/>
  <c r="AD68" i="2"/>
  <c r="Z73" i="2"/>
  <c r="AA74" i="2"/>
  <c r="AB75" i="2"/>
  <c r="AD76" i="2"/>
  <c r="Z80" i="2"/>
  <c r="AA81" i="2"/>
  <c r="AA82" i="2"/>
  <c r="AB83" i="2"/>
  <c r="Y87" i="2"/>
  <c r="Z88" i="2"/>
  <c r="AA89" i="2"/>
  <c r="AB90" i="2"/>
  <c r="Y94" i="2"/>
  <c r="Z95" i="2"/>
  <c r="Z96" i="2"/>
  <c r="AA98" i="2"/>
  <c r="Z103" i="2"/>
  <c r="Z17" i="2"/>
  <c r="AA18" i="2"/>
  <c r="AB19" i="2"/>
  <c r="AD20" i="2"/>
  <c r="Y25" i="2"/>
  <c r="Z26" i="2"/>
  <c r="AA27" i="2"/>
  <c r="AB28" i="2"/>
  <c r="Y33" i="2"/>
  <c r="Y34" i="2"/>
  <c r="Y35" i="2"/>
  <c r="Z36" i="2"/>
  <c r="X42" i="2"/>
  <c r="Y43" i="2"/>
  <c r="Z44" i="2"/>
  <c r="AG49" i="2"/>
  <c r="AG50" i="2"/>
  <c r="X52" i="2"/>
  <c r="AD57" i="2"/>
  <c r="AG58" i="2"/>
  <c r="X60" i="2"/>
  <c r="AD65" i="2"/>
  <c r="AD67" i="2"/>
  <c r="AG68" i="2"/>
  <c r="AA73" i="2"/>
  <c r="AB74" i="2"/>
  <c r="AD75" i="2"/>
  <c r="AG76" i="2"/>
  <c r="AA80" i="2"/>
  <c r="AB81" i="2"/>
  <c r="AB82" i="2"/>
  <c r="AD83" i="2"/>
  <c r="Z87" i="2"/>
  <c r="AA88" i="2"/>
  <c r="AB89" i="2"/>
  <c r="AD90" i="2"/>
  <c r="Z94" i="2"/>
  <c r="AA95" i="2"/>
  <c r="AA96" i="2"/>
  <c r="AB98" i="2"/>
  <c r="AA103" i="2"/>
  <c r="AA17" i="2"/>
  <c r="AB18" i="2"/>
  <c r="AD19" i="2"/>
  <c r="Z25" i="2"/>
  <c r="AA26" i="2"/>
  <c r="AB27" i="2"/>
  <c r="AD28" i="2"/>
  <c r="Z33" i="2"/>
  <c r="Z34" i="2"/>
  <c r="Z35" i="2"/>
  <c r="AA36" i="2"/>
  <c r="X41" i="2"/>
  <c r="Y42" i="2"/>
  <c r="Z43" i="2"/>
  <c r="AA44" i="2"/>
  <c r="X49" i="2"/>
  <c r="X50" i="2"/>
  <c r="X51" i="2"/>
  <c r="Y52" i="2"/>
  <c r="X59" i="2"/>
  <c r="Y60" i="2"/>
  <c r="AD66" i="2"/>
  <c r="AB73" i="2"/>
  <c r="AD74" i="2"/>
  <c r="AB80" i="2"/>
  <c r="AD82" i="2"/>
  <c r="AA87" i="2"/>
  <c r="AB88" i="2"/>
  <c r="AD89" i="2"/>
  <c r="AA94" i="2"/>
  <c r="AB96" i="2"/>
  <c r="AD98" i="2"/>
  <c r="AB103" i="2"/>
  <c r="E103" i="2"/>
  <c r="AD103" i="2" s="1"/>
  <c r="E102" i="2"/>
  <c r="AD102" i="2" s="1"/>
  <c r="E101" i="2"/>
  <c r="AD101" i="2" s="1"/>
  <c r="E100" i="2"/>
  <c r="AD100" i="2" s="1"/>
  <c r="E99" i="2"/>
  <c r="AD99" i="2" s="1"/>
  <c r="E98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AD71" i="2" s="1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AD15" i="2" s="1"/>
  <c r="D15" i="2"/>
  <c r="D103" i="2"/>
  <c r="D102" i="2"/>
  <c r="D101" i="2"/>
  <c r="D100" i="2"/>
  <c r="D99" i="2"/>
  <c r="D98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AF97" i="2" l="1"/>
  <c r="AH97" i="2" s="1"/>
  <c r="AC41" i="2"/>
  <c r="AE41" i="2" s="1"/>
  <c r="AC92" i="2"/>
  <c r="AE92" i="2" s="1"/>
  <c r="AC76" i="2"/>
  <c r="AE76" i="2" s="1"/>
  <c r="AC19" i="2"/>
  <c r="AE19" i="2" s="1"/>
  <c r="AC65" i="2"/>
  <c r="AE65" i="2" s="1"/>
  <c r="AC63" i="2"/>
  <c r="AE63" i="2" s="1"/>
  <c r="AC25" i="2"/>
  <c r="AE25" i="2" s="1"/>
  <c r="AC86" i="2"/>
  <c r="AE86" i="2" s="1"/>
  <c r="AC49" i="2"/>
  <c r="AE49" i="2" s="1"/>
  <c r="AC74" i="2"/>
  <c r="AE74" i="2" s="1"/>
  <c r="AC57" i="2"/>
  <c r="AE57" i="2" s="1"/>
  <c r="AC91" i="2"/>
  <c r="AE91" i="2" s="1"/>
  <c r="AC21" i="2"/>
  <c r="AE21" i="2" s="1"/>
  <c r="AC78" i="2"/>
  <c r="AE78" i="2" s="1"/>
  <c r="AC93" i="2"/>
  <c r="AE93" i="2" s="1"/>
  <c r="AC54" i="2"/>
  <c r="AE54" i="2" s="1"/>
  <c r="AC81" i="2"/>
  <c r="AE81" i="2" s="1"/>
  <c r="AC45" i="2"/>
  <c r="AE45" i="2" s="1"/>
  <c r="AC35" i="2"/>
  <c r="AE35" i="2" s="1"/>
  <c r="AC68" i="2"/>
  <c r="AE68" i="2" s="1"/>
  <c r="AC67" i="2"/>
  <c r="AE67" i="2" s="1"/>
  <c r="AC94" i="2"/>
  <c r="AE94" i="2" s="1"/>
  <c r="AC51" i="2"/>
  <c r="AE51" i="2" s="1"/>
  <c r="AC58" i="2"/>
  <c r="AE58" i="2" s="1"/>
  <c r="AC20" i="2"/>
  <c r="AE20" i="2" s="1"/>
  <c r="AC83" i="2"/>
  <c r="AE83" i="2" s="1"/>
  <c r="AC82" i="2"/>
  <c r="AE82" i="2" s="1"/>
  <c r="AC27" i="2"/>
  <c r="AE27" i="2" s="1"/>
  <c r="AC47" i="2"/>
  <c r="AE47" i="2" s="1"/>
  <c r="AC79" i="2"/>
  <c r="AE79" i="2" s="1"/>
  <c r="AC59" i="2"/>
  <c r="AE59" i="2" s="1"/>
  <c r="AC60" i="2"/>
  <c r="AE60" i="2" s="1"/>
  <c r="AC42" i="2"/>
  <c r="AE42" i="2" s="1"/>
  <c r="AC95" i="2"/>
  <c r="AE95" i="2" s="1"/>
  <c r="AC66" i="2"/>
  <c r="AE66" i="2" s="1"/>
  <c r="AC61" i="2"/>
  <c r="AE61" i="2" s="1"/>
  <c r="AC40" i="2"/>
  <c r="AE40" i="2" s="1"/>
  <c r="AC29" i="2"/>
  <c r="AE29" i="2" s="1"/>
  <c r="AC16" i="2"/>
  <c r="AE16" i="2" s="1"/>
  <c r="AC87" i="2"/>
  <c r="AE87" i="2" s="1"/>
  <c r="AC98" i="2"/>
  <c r="AE98" i="2" s="1"/>
  <c r="AC28" i="2"/>
  <c r="AE28" i="2" s="1"/>
  <c r="AC44" i="2"/>
  <c r="AE44" i="2" s="1"/>
  <c r="AC31" i="2"/>
  <c r="AE31" i="2" s="1"/>
  <c r="AC80" i="2"/>
  <c r="AE80" i="2" s="1"/>
  <c r="AC37" i="2"/>
  <c r="AE37" i="2" s="1"/>
  <c r="AC30" i="2"/>
  <c r="AE30" i="2" s="1"/>
  <c r="AC73" i="2"/>
  <c r="AE73" i="2" s="1"/>
  <c r="AC90" i="2"/>
  <c r="AE90" i="2" s="1"/>
  <c r="AC77" i="2"/>
  <c r="AE77" i="2" s="1"/>
  <c r="AC96" i="2"/>
  <c r="AE96" i="2" s="1"/>
  <c r="AC50" i="2"/>
  <c r="AE50" i="2" s="1"/>
  <c r="AC52" i="2"/>
  <c r="AE52" i="2" s="1"/>
  <c r="AC18" i="2"/>
  <c r="AE18" i="2" s="1"/>
  <c r="AC89" i="2"/>
  <c r="AE89" i="2" s="1"/>
  <c r="AC75" i="2"/>
  <c r="AE75" i="2" s="1"/>
  <c r="AC38" i="2"/>
  <c r="AE38" i="2" s="1"/>
  <c r="AC23" i="2"/>
  <c r="AE23" i="2" s="1"/>
  <c r="AC70" i="2"/>
  <c r="AE70" i="2" s="1"/>
  <c r="AC56" i="2"/>
  <c r="AE56" i="2" s="1"/>
  <c r="AC72" i="2"/>
  <c r="AE72" i="2" s="1"/>
  <c r="AC26" i="2"/>
  <c r="AE26" i="2" s="1"/>
  <c r="AC22" i="2"/>
  <c r="AE22" i="2" s="1"/>
  <c r="AC55" i="2"/>
  <c r="AE55" i="2" s="1"/>
  <c r="AC88" i="2"/>
  <c r="AE88" i="2" s="1"/>
  <c r="AC43" i="2"/>
  <c r="AE43" i="2" s="1"/>
  <c r="AC53" i="2"/>
  <c r="AE53" i="2" s="1"/>
  <c r="AC46" i="2"/>
  <c r="AE46" i="2" s="1"/>
  <c r="AC36" i="2"/>
  <c r="AE36" i="2" s="1"/>
  <c r="AC62" i="2"/>
  <c r="AE62" i="2" s="1"/>
  <c r="AC32" i="2"/>
  <c r="AE32" i="2" s="1"/>
  <c r="AC64" i="2"/>
  <c r="AE64" i="2" s="1"/>
  <c r="AC48" i="2"/>
  <c r="AE48" i="2" s="1"/>
  <c r="AC17" i="2"/>
  <c r="AE17" i="2" s="1"/>
  <c r="AC34" i="2"/>
  <c r="AE34" i="2" s="1"/>
  <c r="AC39" i="2"/>
  <c r="AE39" i="2" s="1"/>
  <c r="AC33" i="2"/>
  <c r="AE33" i="2" s="1"/>
  <c r="AC84" i="2"/>
  <c r="AE84" i="2" s="1"/>
  <c r="AC69" i="2"/>
  <c r="AE69" i="2" s="1"/>
  <c r="AC24" i="2"/>
  <c r="AE24" i="2" s="1"/>
  <c r="AC85" i="2"/>
  <c r="AE85" i="2" s="1"/>
  <c r="AH14" i="2"/>
  <c r="AF62" i="2" l="1"/>
  <c r="AH62" i="2" s="1"/>
  <c r="AF37" i="2"/>
  <c r="AH37" i="2" s="1"/>
  <c r="AF63" i="2"/>
  <c r="AH63" i="2" s="1"/>
  <c r="AF36" i="2"/>
  <c r="AH36" i="2" s="1"/>
  <c r="AF72" i="2"/>
  <c r="AH72" i="2" s="1"/>
  <c r="AF52" i="2"/>
  <c r="AH52" i="2" s="1"/>
  <c r="AF80" i="2"/>
  <c r="AH80" i="2" s="1"/>
  <c r="AF40" i="2"/>
  <c r="AH40" i="2" s="1"/>
  <c r="AF47" i="2"/>
  <c r="AH47" i="2" s="1"/>
  <c r="AF67" i="2"/>
  <c r="AH67" i="2" s="1"/>
  <c r="AF21" i="2"/>
  <c r="AH21" i="2" s="1"/>
  <c r="AF65" i="2"/>
  <c r="AH65" i="2" s="1"/>
  <c r="AF39" i="2"/>
  <c r="AH39" i="2" s="1"/>
  <c r="AF46" i="2"/>
  <c r="AH46" i="2" s="1"/>
  <c r="AF56" i="2"/>
  <c r="AH56" i="2" s="1"/>
  <c r="AF50" i="2"/>
  <c r="AH50" i="2" s="1"/>
  <c r="AF31" i="2"/>
  <c r="AH31" i="2" s="1"/>
  <c r="AF61" i="2"/>
  <c r="AH61" i="2" s="1"/>
  <c r="AF27" i="2"/>
  <c r="AH27" i="2" s="1"/>
  <c r="AF68" i="2"/>
  <c r="AH68" i="2" s="1"/>
  <c r="AF91" i="2"/>
  <c r="AH91" i="2" s="1"/>
  <c r="AF19" i="2"/>
  <c r="AH19" i="2" s="1"/>
  <c r="AF84" i="2"/>
  <c r="AH84" i="2" s="1"/>
  <c r="AF29" i="2"/>
  <c r="AH29" i="2" s="1"/>
  <c r="AF78" i="2"/>
  <c r="AH78" i="2" s="1"/>
  <c r="AF53" i="2"/>
  <c r="AH53" i="2" s="1"/>
  <c r="AF44" i="2"/>
  <c r="AH44" i="2" s="1"/>
  <c r="AF35" i="2"/>
  <c r="AH35" i="2" s="1"/>
  <c r="AF17" i="2"/>
  <c r="AH17" i="2" s="1"/>
  <c r="AF77" i="2"/>
  <c r="AH77" i="2" s="1"/>
  <c r="AF83" i="2"/>
  <c r="AH83" i="2" s="1"/>
  <c r="AF92" i="2"/>
  <c r="AH92" i="2" s="1"/>
  <c r="AF85" i="2"/>
  <c r="AH85" i="2" s="1"/>
  <c r="AF48" i="2"/>
  <c r="AH48" i="2" s="1"/>
  <c r="AF88" i="2"/>
  <c r="AH88" i="2" s="1"/>
  <c r="AF38" i="2"/>
  <c r="AH38" i="2" s="1"/>
  <c r="AF90" i="2"/>
  <c r="AH90" i="2" s="1"/>
  <c r="AF98" i="2"/>
  <c r="AH98" i="2" s="1"/>
  <c r="AF42" i="2"/>
  <c r="AH42" i="2" s="1"/>
  <c r="AF20" i="2"/>
  <c r="AH20" i="2" s="1"/>
  <c r="AF81" i="2"/>
  <c r="AH81" i="2" s="1"/>
  <c r="AF49" i="2"/>
  <c r="AH49" i="2" s="1"/>
  <c r="AF41" i="2"/>
  <c r="AH41" i="2" s="1"/>
  <c r="AF18" i="2"/>
  <c r="AH18" i="2" s="1"/>
  <c r="AF94" i="2"/>
  <c r="AH94" i="2" s="1"/>
  <c r="AF34" i="2"/>
  <c r="AH34" i="2" s="1"/>
  <c r="AF96" i="2"/>
  <c r="AH96" i="2" s="1"/>
  <c r="AF82" i="2"/>
  <c r="AH82" i="2" s="1"/>
  <c r="AF57" i="2"/>
  <c r="AH57" i="2" s="1"/>
  <c r="AF23" i="2"/>
  <c r="AH23" i="2" s="1"/>
  <c r="AF95" i="2"/>
  <c r="AH95" i="2" s="1"/>
  <c r="AF74" i="2"/>
  <c r="AH74" i="2" s="1"/>
  <c r="AF64" i="2"/>
  <c r="AH64" i="2" s="1"/>
  <c r="AF75" i="2"/>
  <c r="AH75" i="2" s="1"/>
  <c r="AF87" i="2"/>
  <c r="AH87" i="2" s="1"/>
  <c r="AF60" i="2"/>
  <c r="AH60" i="2" s="1"/>
  <c r="AF58" i="2"/>
  <c r="AH58" i="2" s="1"/>
  <c r="AF54" i="2"/>
  <c r="AH54" i="2" s="1"/>
  <c r="AF86" i="2"/>
  <c r="AH86" i="2" s="1"/>
  <c r="AF26" i="2"/>
  <c r="AH26" i="2" s="1"/>
  <c r="AF79" i="2"/>
  <c r="AH79" i="2" s="1"/>
  <c r="AF33" i="2"/>
  <c r="AH33" i="2" s="1"/>
  <c r="AF70" i="2"/>
  <c r="AH70" i="2" s="1"/>
  <c r="AF66" i="2"/>
  <c r="AH66" i="2" s="1"/>
  <c r="AF76" i="2"/>
  <c r="AH76" i="2" s="1"/>
  <c r="AF43" i="2"/>
  <c r="AH43" i="2" s="1"/>
  <c r="AF28" i="2"/>
  <c r="AH28" i="2" s="1"/>
  <c r="AF45" i="2"/>
  <c r="AH45" i="2" s="1"/>
  <c r="AF24" i="2"/>
  <c r="AH24" i="2" s="1"/>
  <c r="AF55" i="2"/>
  <c r="AH55" i="2" s="1"/>
  <c r="AF73" i="2"/>
  <c r="AH73" i="2" s="1"/>
  <c r="AF69" i="2"/>
  <c r="AH69" i="2" s="1"/>
  <c r="AF32" i="2"/>
  <c r="AH32" i="2" s="1"/>
  <c r="AF22" i="2"/>
  <c r="AH22" i="2" s="1"/>
  <c r="AF89" i="2"/>
  <c r="AH89" i="2" s="1"/>
  <c r="AF30" i="2"/>
  <c r="AH30" i="2" s="1"/>
  <c r="AF16" i="2"/>
  <c r="AH16" i="2" s="1"/>
  <c r="AF59" i="2"/>
  <c r="AH59" i="2" s="1"/>
  <c r="AF51" i="2"/>
  <c r="AH51" i="2" s="1"/>
  <c r="AF93" i="2"/>
  <c r="AH93" i="2" s="1"/>
  <c r="AF25" i="2"/>
  <c r="AH25" i="2" s="1"/>
  <c r="AG14" i="2"/>
  <c r="AF14" i="2"/>
  <c r="AE14" i="2"/>
  <c r="AC14" i="2"/>
  <c r="AB14" i="2"/>
  <c r="AA14" i="2"/>
  <c r="Z14" i="2"/>
  <c r="Y14" i="2"/>
  <c r="X14" i="2"/>
  <c r="R96" i="2" l="1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7" i="2"/>
  <c r="R76" i="2"/>
  <c r="R75" i="2"/>
  <c r="R74" i="2"/>
  <c r="R73" i="2"/>
  <c r="R72" i="2"/>
  <c r="R70" i="2"/>
  <c r="R69" i="2"/>
  <c r="R68" i="2"/>
  <c r="R67" i="2"/>
  <c r="R66" i="2"/>
  <c r="R65" i="2"/>
  <c r="R64" i="2"/>
  <c r="R62" i="2"/>
  <c r="R61" i="2"/>
  <c r="R60" i="2"/>
  <c r="R59" i="2"/>
  <c r="R58" i="2"/>
  <c r="R57" i="2"/>
  <c r="R56" i="2"/>
  <c r="R54" i="2"/>
  <c r="R53" i="2"/>
  <c r="R52" i="2"/>
  <c r="R51" i="2"/>
  <c r="R50" i="2"/>
  <c r="R49" i="2"/>
  <c r="R48" i="2"/>
  <c r="R46" i="2"/>
  <c r="R45" i="2"/>
  <c r="R44" i="2"/>
  <c r="R43" i="2"/>
  <c r="R42" i="2"/>
  <c r="R41" i="2"/>
  <c r="R40" i="2"/>
  <c r="R38" i="2"/>
  <c r="R37" i="2"/>
  <c r="R36" i="2"/>
  <c r="R35" i="2"/>
  <c r="R34" i="2"/>
  <c r="R33" i="2"/>
  <c r="R32" i="2"/>
  <c r="R30" i="2"/>
  <c r="R29" i="2"/>
  <c r="R28" i="2"/>
  <c r="R27" i="2"/>
  <c r="R26" i="2"/>
  <c r="R25" i="2"/>
  <c r="R24" i="2"/>
  <c r="R22" i="2"/>
  <c r="R21" i="2"/>
  <c r="R20" i="2"/>
  <c r="R19" i="2"/>
  <c r="R18" i="2"/>
  <c r="R17" i="2"/>
  <c r="R16" i="2"/>
  <c r="M9" i="1" l="1"/>
  <c r="M8" i="1" l="1"/>
  <c r="M7" i="1"/>
  <c r="M6" i="1"/>
  <c r="M5" i="1"/>
  <c r="P7" i="1"/>
  <c r="P5" i="1"/>
  <c r="P4" i="1"/>
  <c r="J11" i="1"/>
  <c r="J10" i="1"/>
  <c r="J9" i="1"/>
  <c r="J6" i="1"/>
  <c r="J8" i="1"/>
  <c r="J7" i="1"/>
  <c r="J5" i="1"/>
  <c r="J4" i="1"/>
  <c r="P6" i="1" l="1"/>
  <c r="Q5" i="1"/>
  <c r="Q8" i="1" l="1"/>
  <c r="Q7" i="1"/>
  <c r="Q6" i="1"/>
  <c r="B89" i="1" l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6" i="1"/>
  <c r="B5" i="1"/>
  <c r="R78" i="2" l="1"/>
  <c r="R98" i="2" l="1"/>
  <c r="R31" i="2" l="1"/>
  <c r="R39" i="2"/>
  <c r="R47" i="2"/>
  <c r="R55" i="2"/>
  <c r="R63" i="2"/>
  <c r="R15" i="2" l="1"/>
  <c r="AC15" i="2" l="1"/>
  <c r="AE15" i="2" s="1"/>
  <c r="R23" i="2"/>
  <c r="AF15" i="2" l="1"/>
  <c r="AH15" i="2" s="1"/>
  <c r="P71" i="2" l="1"/>
  <c r="Q71" i="2"/>
  <c r="N15" i="2"/>
  <c r="O15" i="2"/>
  <c r="P15" i="2"/>
  <c r="Q15" i="2"/>
  <c r="V15" i="2"/>
  <c r="W15" i="2"/>
  <c r="AI15" i="2"/>
  <c r="N16" i="2"/>
  <c r="O16" i="2"/>
  <c r="P16" i="2"/>
  <c r="Q16" i="2"/>
  <c r="V16" i="2"/>
  <c r="W16" i="2"/>
  <c r="AI16" i="2"/>
  <c r="N17" i="2"/>
  <c r="O17" i="2"/>
  <c r="P17" i="2"/>
  <c r="Q17" i="2"/>
  <c r="V17" i="2"/>
  <c r="W17" i="2"/>
  <c r="AI17" i="2"/>
  <c r="N18" i="2"/>
  <c r="O18" i="2"/>
  <c r="P18" i="2"/>
  <c r="Q18" i="2"/>
  <c r="V18" i="2"/>
  <c r="W18" i="2"/>
  <c r="AI18" i="2"/>
  <c r="N19" i="2"/>
  <c r="O19" i="2"/>
  <c r="P19" i="2"/>
  <c r="Q19" i="2"/>
  <c r="V19" i="2"/>
  <c r="W19" i="2"/>
  <c r="AI19" i="2"/>
  <c r="N20" i="2"/>
  <c r="O20" i="2"/>
  <c r="P20" i="2"/>
  <c r="Q20" i="2"/>
  <c r="V20" i="2"/>
  <c r="W20" i="2"/>
  <c r="AI20" i="2"/>
  <c r="N21" i="2"/>
  <c r="O21" i="2"/>
  <c r="P21" i="2"/>
  <c r="Q21" i="2"/>
  <c r="V21" i="2"/>
  <c r="W21" i="2"/>
  <c r="AI21" i="2"/>
  <c r="N22" i="2"/>
  <c r="O22" i="2"/>
  <c r="P22" i="2"/>
  <c r="Q22" i="2"/>
  <c r="V22" i="2"/>
  <c r="W22" i="2"/>
  <c r="AI22" i="2"/>
  <c r="N23" i="2"/>
  <c r="O23" i="2"/>
  <c r="P23" i="2"/>
  <c r="Q23" i="2"/>
  <c r="V23" i="2"/>
  <c r="W23" i="2"/>
  <c r="AI23" i="2"/>
  <c r="N24" i="2"/>
  <c r="O24" i="2"/>
  <c r="P24" i="2"/>
  <c r="Q24" i="2"/>
  <c r="V24" i="2"/>
  <c r="W24" i="2"/>
  <c r="AI24" i="2"/>
  <c r="N25" i="2"/>
  <c r="O25" i="2"/>
  <c r="P25" i="2"/>
  <c r="Q25" i="2"/>
  <c r="V25" i="2"/>
  <c r="W25" i="2"/>
  <c r="AI25" i="2"/>
  <c r="N26" i="2"/>
  <c r="O26" i="2"/>
  <c r="P26" i="2"/>
  <c r="Q26" i="2"/>
  <c r="V26" i="2"/>
  <c r="W26" i="2"/>
  <c r="AI26" i="2"/>
  <c r="N27" i="2"/>
  <c r="O27" i="2"/>
  <c r="P27" i="2"/>
  <c r="Q27" i="2"/>
  <c r="V27" i="2"/>
  <c r="W27" i="2"/>
  <c r="AI27" i="2"/>
  <c r="N28" i="2"/>
  <c r="O28" i="2"/>
  <c r="P28" i="2"/>
  <c r="Q28" i="2"/>
  <c r="V28" i="2"/>
  <c r="W28" i="2"/>
  <c r="AI28" i="2"/>
  <c r="N29" i="2"/>
  <c r="O29" i="2"/>
  <c r="P29" i="2"/>
  <c r="Q29" i="2"/>
  <c r="V29" i="2"/>
  <c r="W29" i="2"/>
  <c r="AI29" i="2"/>
  <c r="N30" i="2"/>
  <c r="O30" i="2"/>
  <c r="P30" i="2"/>
  <c r="Q30" i="2"/>
  <c r="V30" i="2"/>
  <c r="W30" i="2"/>
  <c r="AI30" i="2"/>
  <c r="N31" i="2"/>
  <c r="O31" i="2"/>
  <c r="P31" i="2"/>
  <c r="Q31" i="2"/>
  <c r="V31" i="2"/>
  <c r="W31" i="2"/>
  <c r="AI31" i="2"/>
  <c r="N32" i="2"/>
  <c r="O32" i="2"/>
  <c r="P32" i="2"/>
  <c r="Q32" i="2"/>
  <c r="V32" i="2"/>
  <c r="W32" i="2"/>
  <c r="AI32" i="2"/>
  <c r="N33" i="2"/>
  <c r="O33" i="2"/>
  <c r="P33" i="2"/>
  <c r="Q33" i="2"/>
  <c r="V33" i="2"/>
  <c r="W33" i="2"/>
  <c r="AI33" i="2"/>
  <c r="N34" i="2"/>
  <c r="O34" i="2"/>
  <c r="P34" i="2"/>
  <c r="Q34" i="2"/>
  <c r="V34" i="2"/>
  <c r="W34" i="2"/>
  <c r="AI34" i="2"/>
  <c r="N35" i="2"/>
  <c r="O35" i="2"/>
  <c r="P35" i="2"/>
  <c r="Q35" i="2"/>
  <c r="V35" i="2"/>
  <c r="W35" i="2"/>
  <c r="AI35" i="2"/>
  <c r="N36" i="2"/>
  <c r="O36" i="2"/>
  <c r="P36" i="2"/>
  <c r="Q36" i="2"/>
  <c r="V36" i="2"/>
  <c r="W36" i="2"/>
  <c r="AI36" i="2"/>
  <c r="N37" i="2"/>
  <c r="O37" i="2"/>
  <c r="P37" i="2"/>
  <c r="Q37" i="2"/>
  <c r="V37" i="2"/>
  <c r="W37" i="2"/>
  <c r="AI37" i="2"/>
  <c r="N38" i="2"/>
  <c r="O38" i="2"/>
  <c r="P38" i="2"/>
  <c r="Q38" i="2"/>
  <c r="V38" i="2"/>
  <c r="W38" i="2"/>
  <c r="AI38" i="2"/>
  <c r="N39" i="2"/>
  <c r="O39" i="2"/>
  <c r="P39" i="2"/>
  <c r="Q39" i="2"/>
  <c r="V39" i="2"/>
  <c r="W39" i="2"/>
  <c r="AI39" i="2"/>
  <c r="N40" i="2"/>
  <c r="O40" i="2"/>
  <c r="P40" i="2"/>
  <c r="Q40" i="2"/>
  <c r="V40" i="2"/>
  <c r="W40" i="2"/>
  <c r="AI40" i="2"/>
  <c r="N41" i="2"/>
  <c r="O41" i="2"/>
  <c r="P41" i="2"/>
  <c r="Q41" i="2"/>
  <c r="V41" i="2"/>
  <c r="W41" i="2"/>
  <c r="AI41" i="2"/>
  <c r="N42" i="2"/>
  <c r="O42" i="2"/>
  <c r="P42" i="2"/>
  <c r="Q42" i="2"/>
  <c r="V42" i="2"/>
  <c r="W42" i="2"/>
  <c r="AI42" i="2"/>
  <c r="N43" i="2"/>
  <c r="O43" i="2"/>
  <c r="P43" i="2"/>
  <c r="Q43" i="2"/>
  <c r="V43" i="2"/>
  <c r="W43" i="2"/>
  <c r="AI43" i="2"/>
  <c r="N44" i="2"/>
  <c r="O44" i="2"/>
  <c r="P44" i="2"/>
  <c r="Q44" i="2"/>
  <c r="V44" i="2"/>
  <c r="W44" i="2"/>
  <c r="AI44" i="2"/>
  <c r="N45" i="2"/>
  <c r="O45" i="2"/>
  <c r="P45" i="2"/>
  <c r="Q45" i="2"/>
  <c r="V45" i="2"/>
  <c r="W45" i="2"/>
  <c r="AI45" i="2"/>
  <c r="N46" i="2"/>
  <c r="O46" i="2"/>
  <c r="P46" i="2"/>
  <c r="Q46" i="2"/>
  <c r="V46" i="2"/>
  <c r="W46" i="2"/>
  <c r="AI46" i="2"/>
  <c r="N47" i="2"/>
  <c r="O47" i="2"/>
  <c r="P47" i="2"/>
  <c r="Q47" i="2"/>
  <c r="V47" i="2"/>
  <c r="W47" i="2"/>
  <c r="AI47" i="2"/>
  <c r="N48" i="2"/>
  <c r="O48" i="2"/>
  <c r="P48" i="2"/>
  <c r="Q48" i="2"/>
  <c r="V48" i="2"/>
  <c r="W48" i="2"/>
  <c r="AI48" i="2"/>
  <c r="N49" i="2"/>
  <c r="O49" i="2"/>
  <c r="P49" i="2"/>
  <c r="Q49" i="2"/>
  <c r="V49" i="2"/>
  <c r="W49" i="2"/>
  <c r="AI49" i="2"/>
  <c r="N50" i="2"/>
  <c r="O50" i="2"/>
  <c r="P50" i="2"/>
  <c r="Q50" i="2"/>
  <c r="V50" i="2"/>
  <c r="W50" i="2"/>
  <c r="AI50" i="2"/>
  <c r="N51" i="2"/>
  <c r="O51" i="2"/>
  <c r="P51" i="2"/>
  <c r="Q51" i="2"/>
  <c r="V51" i="2"/>
  <c r="W51" i="2"/>
  <c r="AI51" i="2"/>
  <c r="N52" i="2"/>
  <c r="O52" i="2"/>
  <c r="P52" i="2"/>
  <c r="Q52" i="2"/>
  <c r="V52" i="2"/>
  <c r="W52" i="2"/>
  <c r="AI52" i="2"/>
  <c r="N53" i="2"/>
  <c r="O53" i="2"/>
  <c r="P53" i="2"/>
  <c r="Q53" i="2"/>
  <c r="V53" i="2"/>
  <c r="W53" i="2"/>
  <c r="AI53" i="2"/>
  <c r="N54" i="2"/>
  <c r="O54" i="2"/>
  <c r="P54" i="2"/>
  <c r="Q54" i="2"/>
  <c r="V54" i="2"/>
  <c r="W54" i="2"/>
  <c r="AI54" i="2"/>
  <c r="N55" i="2"/>
  <c r="O55" i="2"/>
  <c r="P55" i="2"/>
  <c r="Q55" i="2"/>
  <c r="V55" i="2"/>
  <c r="W55" i="2"/>
  <c r="AI55" i="2"/>
  <c r="N56" i="2"/>
  <c r="O56" i="2"/>
  <c r="P56" i="2"/>
  <c r="Q56" i="2"/>
  <c r="V56" i="2"/>
  <c r="W56" i="2"/>
  <c r="AI56" i="2"/>
  <c r="N57" i="2"/>
  <c r="O57" i="2"/>
  <c r="P57" i="2"/>
  <c r="Q57" i="2"/>
  <c r="V57" i="2"/>
  <c r="W57" i="2"/>
  <c r="AI57" i="2"/>
  <c r="N58" i="2"/>
  <c r="O58" i="2"/>
  <c r="P58" i="2"/>
  <c r="Q58" i="2"/>
  <c r="V58" i="2"/>
  <c r="W58" i="2"/>
  <c r="AI58" i="2"/>
  <c r="N59" i="2"/>
  <c r="O59" i="2"/>
  <c r="P59" i="2"/>
  <c r="Q59" i="2"/>
  <c r="V59" i="2"/>
  <c r="W59" i="2"/>
  <c r="AI59" i="2"/>
  <c r="N60" i="2"/>
  <c r="O60" i="2"/>
  <c r="P60" i="2"/>
  <c r="Q60" i="2"/>
  <c r="V60" i="2"/>
  <c r="W60" i="2"/>
  <c r="AI60" i="2"/>
  <c r="N61" i="2"/>
  <c r="O61" i="2"/>
  <c r="P61" i="2"/>
  <c r="Q61" i="2"/>
  <c r="V61" i="2"/>
  <c r="W61" i="2"/>
  <c r="AI61" i="2"/>
  <c r="N62" i="2"/>
  <c r="O62" i="2"/>
  <c r="P62" i="2"/>
  <c r="Q62" i="2"/>
  <c r="V62" i="2"/>
  <c r="W62" i="2"/>
  <c r="AI62" i="2"/>
  <c r="N63" i="2"/>
  <c r="O63" i="2"/>
  <c r="P63" i="2"/>
  <c r="Q63" i="2"/>
  <c r="V63" i="2"/>
  <c r="W63" i="2"/>
  <c r="AI63" i="2"/>
  <c r="N64" i="2"/>
  <c r="O64" i="2"/>
  <c r="P64" i="2"/>
  <c r="Q64" i="2"/>
  <c r="V64" i="2"/>
  <c r="W64" i="2"/>
  <c r="AI64" i="2"/>
  <c r="N65" i="2"/>
  <c r="O65" i="2"/>
  <c r="P65" i="2"/>
  <c r="Q65" i="2"/>
  <c r="V65" i="2"/>
  <c r="W65" i="2"/>
  <c r="AI65" i="2"/>
  <c r="N66" i="2"/>
  <c r="O66" i="2"/>
  <c r="P66" i="2"/>
  <c r="Q66" i="2"/>
  <c r="V66" i="2"/>
  <c r="W66" i="2"/>
  <c r="AI66" i="2"/>
  <c r="N67" i="2"/>
  <c r="O67" i="2"/>
  <c r="P67" i="2"/>
  <c r="Q67" i="2"/>
  <c r="V67" i="2"/>
  <c r="W67" i="2"/>
  <c r="AI67" i="2"/>
  <c r="N68" i="2"/>
  <c r="O68" i="2"/>
  <c r="P68" i="2"/>
  <c r="Q68" i="2"/>
  <c r="V68" i="2"/>
  <c r="W68" i="2"/>
  <c r="AI68" i="2"/>
  <c r="N69" i="2"/>
  <c r="O69" i="2"/>
  <c r="P69" i="2"/>
  <c r="Q69" i="2"/>
  <c r="V69" i="2"/>
  <c r="W69" i="2"/>
  <c r="AI69" i="2"/>
  <c r="N70" i="2"/>
  <c r="O70" i="2"/>
  <c r="P70" i="2"/>
  <c r="Q70" i="2"/>
  <c r="V70" i="2"/>
  <c r="W70" i="2"/>
  <c r="AI70" i="2"/>
  <c r="N71" i="2"/>
  <c r="O71" i="2"/>
  <c r="R71" i="2"/>
  <c r="V71" i="2"/>
  <c r="W71" i="2"/>
  <c r="X71" i="2"/>
  <c r="Y71" i="2"/>
  <c r="AC71" i="2"/>
  <c r="AE71" i="2"/>
  <c r="AF71" i="2"/>
  <c r="AG71" i="2"/>
  <c r="AH71" i="2"/>
  <c r="AI71" i="2"/>
  <c r="N72" i="2"/>
  <c r="O72" i="2"/>
  <c r="P72" i="2"/>
  <c r="Q72" i="2"/>
  <c r="V72" i="2"/>
  <c r="W72" i="2"/>
  <c r="AI72" i="2"/>
  <c r="N73" i="2"/>
  <c r="O73" i="2"/>
  <c r="P73" i="2"/>
  <c r="Q73" i="2"/>
  <c r="V73" i="2"/>
  <c r="W73" i="2"/>
  <c r="AI73" i="2"/>
  <c r="N74" i="2"/>
  <c r="O74" i="2"/>
  <c r="P74" i="2"/>
  <c r="Q74" i="2"/>
  <c r="V74" i="2"/>
  <c r="W74" i="2"/>
  <c r="AI74" i="2"/>
  <c r="N75" i="2"/>
  <c r="O75" i="2"/>
  <c r="P75" i="2"/>
  <c r="Q75" i="2"/>
  <c r="V75" i="2"/>
  <c r="W75" i="2"/>
  <c r="AI75" i="2"/>
  <c r="N76" i="2"/>
  <c r="O76" i="2"/>
  <c r="P76" i="2"/>
  <c r="Q76" i="2"/>
  <c r="V76" i="2"/>
  <c r="W76" i="2"/>
  <c r="AI76" i="2"/>
  <c r="N77" i="2"/>
  <c r="O77" i="2"/>
  <c r="P77" i="2"/>
  <c r="Q77" i="2"/>
  <c r="V77" i="2"/>
  <c r="W77" i="2"/>
  <c r="AI77" i="2"/>
  <c r="N78" i="2"/>
  <c r="O78" i="2"/>
  <c r="P78" i="2"/>
  <c r="Q78" i="2"/>
  <c r="V78" i="2"/>
  <c r="W78" i="2"/>
  <c r="AI78" i="2"/>
  <c r="N79" i="2"/>
  <c r="O79" i="2"/>
  <c r="P79" i="2"/>
  <c r="Q79" i="2"/>
  <c r="V79" i="2"/>
  <c r="W79" i="2"/>
  <c r="AI79" i="2"/>
  <c r="N80" i="2"/>
  <c r="O80" i="2"/>
  <c r="P80" i="2"/>
  <c r="Q80" i="2"/>
  <c r="V80" i="2"/>
  <c r="W80" i="2"/>
  <c r="AI80" i="2"/>
  <c r="N81" i="2"/>
  <c r="O81" i="2"/>
  <c r="P81" i="2"/>
  <c r="Q81" i="2"/>
  <c r="V81" i="2"/>
  <c r="W81" i="2"/>
  <c r="AI81" i="2"/>
  <c r="N82" i="2"/>
  <c r="O82" i="2"/>
  <c r="P82" i="2"/>
  <c r="Q82" i="2"/>
  <c r="V82" i="2"/>
  <c r="W82" i="2"/>
  <c r="AI82" i="2"/>
  <c r="N83" i="2"/>
  <c r="O83" i="2"/>
  <c r="P83" i="2"/>
  <c r="Q83" i="2"/>
  <c r="V83" i="2"/>
  <c r="W83" i="2"/>
  <c r="AI83" i="2"/>
  <c r="N84" i="2"/>
  <c r="O84" i="2"/>
  <c r="P84" i="2"/>
  <c r="Q84" i="2"/>
  <c r="V84" i="2"/>
  <c r="W84" i="2"/>
  <c r="AI84" i="2"/>
  <c r="N85" i="2"/>
  <c r="O85" i="2"/>
  <c r="P85" i="2"/>
  <c r="Q85" i="2"/>
  <c r="V85" i="2"/>
  <c r="W85" i="2"/>
  <c r="AI85" i="2"/>
  <c r="N86" i="2"/>
  <c r="O86" i="2"/>
  <c r="P86" i="2"/>
  <c r="Q86" i="2"/>
  <c r="V86" i="2"/>
  <c r="W86" i="2"/>
  <c r="AI86" i="2"/>
  <c r="N87" i="2"/>
  <c r="O87" i="2"/>
  <c r="P87" i="2"/>
  <c r="Q87" i="2"/>
  <c r="V87" i="2"/>
  <c r="W87" i="2"/>
  <c r="AI87" i="2"/>
  <c r="N88" i="2"/>
  <c r="O88" i="2"/>
  <c r="P88" i="2"/>
  <c r="Q88" i="2"/>
  <c r="V88" i="2"/>
  <c r="W88" i="2"/>
  <c r="AI88" i="2"/>
  <c r="N89" i="2"/>
  <c r="O89" i="2"/>
  <c r="P89" i="2"/>
  <c r="Q89" i="2"/>
  <c r="V89" i="2"/>
  <c r="W89" i="2"/>
  <c r="AI89" i="2"/>
  <c r="N90" i="2"/>
  <c r="O90" i="2"/>
  <c r="P90" i="2"/>
  <c r="Q90" i="2"/>
  <c r="V90" i="2"/>
  <c r="W90" i="2"/>
  <c r="AI90" i="2"/>
  <c r="N91" i="2"/>
  <c r="O91" i="2"/>
  <c r="P91" i="2"/>
  <c r="Q91" i="2"/>
  <c r="V91" i="2"/>
  <c r="W91" i="2"/>
  <c r="AI91" i="2"/>
  <c r="N92" i="2"/>
  <c r="O92" i="2"/>
  <c r="P92" i="2"/>
  <c r="Q92" i="2"/>
  <c r="V92" i="2"/>
  <c r="W92" i="2"/>
  <c r="AI92" i="2"/>
  <c r="N93" i="2"/>
  <c r="O93" i="2"/>
  <c r="P93" i="2"/>
  <c r="Q93" i="2"/>
  <c r="V93" i="2"/>
  <c r="W93" i="2"/>
  <c r="AI93" i="2"/>
  <c r="N94" i="2"/>
  <c r="O94" i="2"/>
  <c r="P94" i="2"/>
  <c r="Q94" i="2"/>
  <c r="V94" i="2"/>
  <c r="W94" i="2"/>
  <c r="AI94" i="2"/>
  <c r="N95" i="2"/>
  <c r="O95" i="2"/>
  <c r="P95" i="2"/>
  <c r="Q95" i="2"/>
  <c r="V95" i="2"/>
  <c r="W95" i="2"/>
  <c r="AI95" i="2"/>
  <c r="N96" i="2"/>
  <c r="O96" i="2"/>
  <c r="P96" i="2"/>
  <c r="Q96" i="2"/>
  <c r="V96" i="2"/>
  <c r="W96" i="2"/>
  <c r="AI96" i="2"/>
  <c r="N97" i="2"/>
  <c r="O97" i="2"/>
  <c r="P97" i="2"/>
  <c r="Q97" i="2"/>
  <c r="V97" i="2"/>
  <c r="W97" i="2"/>
  <c r="AI97" i="2"/>
  <c r="N98" i="2"/>
  <c r="O98" i="2"/>
  <c r="P98" i="2"/>
  <c r="Q98" i="2"/>
  <c r="V98" i="2"/>
  <c r="W98" i="2"/>
  <c r="AI98" i="2"/>
  <c r="N99" i="2"/>
  <c r="O99" i="2"/>
  <c r="R99" i="2"/>
  <c r="V99" i="2"/>
  <c r="W99" i="2"/>
  <c r="X99" i="2"/>
  <c r="Y99" i="2"/>
  <c r="AC99" i="2"/>
  <c r="AE99" i="2"/>
  <c r="AF99" i="2"/>
  <c r="AG99" i="2"/>
  <c r="AH99" i="2"/>
  <c r="AI99" i="2"/>
  <c r="N100" i="2"/>
  <c r="O100" i="2"/>
  <c r="R100" i="2"/>
  <c r="V100" i="2"/>
  <c r="W100" i="2"/>
  <c r="X100" i="2"/>
  <c r="Y100" i="2"/>
  <c r="AC100" i="2"/>
  <c r="AE100" i="2"/>
  <c r="AF100" i="2"/>
  <c r="AG100" i="2"/>
  <c r="AH100" i="2"/>
  <c r="AI100" i="2"/>
  <c r="N101" i="2"/>
  <c r="O101" i="2"/>
  <c r="R101" i="2"/>
  <c r="V101" i="2"/>
  <c r="W101" i="2"/>
  <c r="X101" i="2"/>
  <c r="Y101" i="2"/>
  <c r="AC101" i="2"/>
  <c r="AE101" i="2"/>
  <c r="AF101" i="2"/>
  <c r="AG101" i="2"/>
  <c r="AH101" i="2"/>
  <c r="AI101" i="2"/>
  <c r="N102" i="2"/>
  <c r="O102" i="2"/>
  <c r="R102" i="2"/>
  <c r="V102" i="2"/>
  <c r="W102" i="2"/>
  <c r="X102" i="2"/>
  <c r="Y102" i="2"/>
  <c r="AC102" i="2"/>
  <c r="AE102" i="2"/>
  <c r="AF102" i="2"/>
  <c r="AG102" i="2"/>
  <c r="AH102" i="2"/>
  <c r="AI102" i="2"/>
  <c r="N103" i="2"/>
  <c r="O103" i="2"/>
  <c r="R103" i="2"/>
  <c r="V103" i="2"/>
  <c r="W103" i="2"/>
  <c r="X103" i="2"/>
  <c r="Y103" i="2"/>
  <c r="AC103" i="2"/>
  <c r="AE103" i="2"/>
  <c r="AF103" i="2"/>
  <c r="AG103" i="2"/>
  <c r="AH103" i="2"/>
  <c r="AI103" i="2"/>
  <c r="N104" i="2"/>
  <c r="O104" i="2"/>
  <c r="R104" i="2"/>
  <c r="V104" i="2"/>
  <c r="W104" i="2"/>
  <c r="X104" i="2"/>
  <c r="Y104" i="2"/>
  <c r="AC104" i="2"/>
  <c r="AE104" i="2"/>
  <c r="AF104" i="2"/>
  <c r="AG104" i="2"/>
  <c r="AH104" i="2"/>
  <c r="AI104" i="2"/>
  <c r="N105" i="2"/>
  <c r="O105" i="2"/>
  <c r="R105" i="2"/>
  <c r="V105" i="2"/>
  <c r="W105" i="2"/>
  <c r="X105" i="2"/>
  <c r="Y105" i="2"/>
  <c r="AC105" i="2"/>
  <c r="AE105" i="2"/>
  <c r="AF105" i="2"/>
  <c r="AG105" i="2"/>
  <c r="AH105" i="2"/>
  <c r="AI10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hendra</author>
  </authors>
  <commentList>
    <comment ref="N8" authorId="0" shapeId="0" xr:uid="{24281236-51DB-4BD5-9A48-4EBCE38F31C2}">
      <text>
        <r>
          <rPr>
            <b/>
            <sz val="9"/>
            <color indexed="81"/>
            <rFont val="Tahoma"/>
            <family val="2"/>
          </rPr>
          <t>hendra: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<sst xmlns="http://schemas.openxmlformats.org/spreadsheetml/2006/main" count="478" uniqueCount="117">
  <si>
    <t>Jenis TER</t>
  </si>
  <si>
    <t>Penghasilan Bruto</t>
  </si>
  <si>
    <t>TER</t>
  </si>
  <si>
    <t>Deskripsi</t>
  </si>
  <si>
    <t>TER A</t>
  </si>
  <si>
    <t>TK/0</t>
  </si>
  <si>
    <t>TK/1</t>
  </si>
  <si>
    <t>K/0</t>
  </si>
  <si>
    <t>TER B</t>
  </si>
  <si>
    <t>TER C</t>
  </si>
  <si>
    <t>TK/2</t>
  </si>
  <si>
    <t>TK/3</t>
  </si>
  <si>
    <t>K/1</t>
  </si>
  <si>
    <t>K/2</t>
  </si>
  <si>
    <t>K/3</t>
  </si>
  <si>
    <t>s.d</t>
  </si>
  <si>
    <t>NIK</t>
  </si>
  <si>
    <t>Nama</t>
  </si>
  <si>
    <t>PTKP</t>
  </si>
  <si>
    <t>Index</t>
  </si>
  <si>
    <t>Take Home Pay</t>
  </si>
  <si>
    <t>Mahasiswa Universitas Pelita Harapan Medan</t>
  </si>
  <si>
    <t>By: Felicia Fortuna (Accounger)</t>
  </si>
  <si>
    <t>Berdasarkan Lampiran PP Nomor 58 Tahun 2023 tentang Tarif Pemotongan PPh 21 menggunakan Tarif Efektif (TER)</t>
  </si>
  <si>
    <t>Bulan</t>
  </si>
  <si>
    <t>Sebagai Perwujudan Ilmu yang telah dipelajari</t>
  </si>
  <si>
    <t>Tahun</t>
  </si>
  <si>
    <t>Zakat</t>
  </si>
  <si>
    <t>Iuran Pensiun (Dibayar Karyawan)</t>
  </si>
  <si>
    <t>Iuran JHT (Dibayar Karyawan)</t>
  </si>
  <si>
    <t>Lapisan</t>
  </si>
  <si>
    <t>I</t>
  </si>
  <si>
    <t>II</t>
  </si>
  <si>
    <t>III</t>
  </si>
  <si>
    <t>IV</t>
  </si>
  <si>
    <t>V</t>
  </si>
  <si>
    <t>PKP dari</t>
  </si>
  <si>
    <t>PKP sd</t>
  </si>
  <si>
    <t>Tarif</t>
  </si>
  <si>
    <t>PPh Lapisan</t>
  </si>
  <si>
    <t>Kumulatif PPh Lapisan Sebelumnya</t>
  </si>
  <si>
    <t>Dummy</t>
  </si>
  <si>
    <t>Tunjangan PPh</t>
  </si>
  <si>
    <t>Needs Iterate</t>
  </si>
  <si>
    <t>Tarif Efektif Bulanan (TER)</t>
  </si>
  <si>
    <t>Tidak</t>
  </si>
  <si>
    <t>Pemutusan Hubungan Kerja (PHK)</t>
  </si>
  <si>
    <t>Perhitungan PPh Bukan Masa Pajak Terakhir (Januari s/d November) dan Belum PHK</t>
  </si>
  <si>
    <t>Perhitungan PPh Masa Pajak Terakhir (Bulan Desember) atau PHK pata Tahun Berjalan</t>
  </si>
  <si>
    <t>Biaya Jabatan (Pasal 10 ayat 2)</t>
  </si>
  <si>
    <t>PTKP Setahun (Pasal 19)</t>
  </si>
  <si>
    <t>Gaji Pokok (Pasal 5 ayat 3)</t>
  </si>
  <si>
    <t>Tunjangan (Pasal 5 ayat 3)</t>
  </si>
  <si>
    <t>THR  (Pasal 5 ayat 3)</t>
  </si>
  <si>
    <t>Insentif  (Pasal 5 ayat 3)</t>
  </si>
  <si>
    <t>Bonus  (Pasal 5 ayat 3)</t>
  </si>
  <si>
    <t>Lembur  (Pasal 5 ayat 3)</t>
  </si>
  <si>
    <t>Premi JKK &amp; JKM (Dibayar pemberi kerja)</t>
  </si>
  <si>
    <t>Penghasilan Bruto (Pasal 5 ayat 3)</t>
  </si>
  <si>
    <t>PPh (Jan - Nov) dan belum PHK Pasal 15 ayat 1a</t>
  </si>
  <si>
    <t>PPh (Desember) atau PHK pada Tahun Berjalan (Pasal 15 ayat 1b)</t>
  </si>
  <si>
    <t>NIK (tanpa format/tanda baca)</t>
  </si>
  <si>
    <t>Nama (Sesuai KTP)</t>
  </si>
  <si>
    <t>Alamat (Sesuai KTP)</t>
  </si>
  <si>
    <t>NPWP (tanpa format/tanda baca)</t>
  </si>
  <si>
    <t>Kode PTKP</t>
  </si>
  <si>
    <t>Menggunakan Gross Up?</t>
  </si>
  <si>
    <t>1234567890123450</t>
  </si>
  <si>
    <t>Test 1</t>
  </si>
  <si>
    <t>Jl. Test 1 No xxx</t>
  </si>
  <si>
    <t>12345678912345</t>
  </si>
  <si>
    <t>1234567890123451</t>
  </si>
  <si>
    <t>Jl. Test 2 No xxx</t>
  </si>
  <si>
    <t>Jl. Test 3 No xxx</t>
  </si>
  <si>
    <t>Jl. Test 4 No xxx</t>
  </si>
  <si>
    <t>Jl. Test 5 No xxx</t>
  </si>
  <si>
    <t>Jl. Test 6 No xxx</t>
  </si>
  <si>
    <t>Jl. Test 7 No xxx</t>
  </si>
  <si>
    <t>Jl. Test 8 No xxx</t>
  </si>
  <si>
    <t>12345678912346</t>
  </si>
  <si>
    <t>1234567890123452</t>
  </si>
  <si>
    <t>1234567890123453</t>
  </si>
  <si>
    <t>1234567890123454</t>
  </si>
  <si>
    <t>1234567890123455</t>
  </si>
  <si>
    <t>1234567890123456</t>
  </si>
  <si>
    <t>1234567890123457</t>
  </si>
  <si>
    <t>Test 2</t>
  </si>
  <si>
    <t>Test 3</t>
  </si>
  <si>
    <t>Test 4</t>
  </si>
  <si>
    <t>Test 5</t>
  </si>
  <si>
    <t>Test 6</t>
  </si>
  <si>
    <t>Test 7</t>
  </si>
  <si>
    <t>Test 8</t>
  </si>
  <si>
    <t>12345678912347</t>
  </si>
  <si>
    <t>12345678912348</t>
  </si>
  <si>
    <t>12345678912349</t>
  </si>
  <si>
    <t>12345678912350</t>
  </si>
  <si>
    <t>12345678912351</t>
  </si>
  <si>
    <t>Master Data Karyawan Tetap</t>
  </si>
  <si>
    <t>Pada Sheet ini disiapkan data karyawan tetap yang nantinya akan digunakan secara berulang pada Sheet PPh21 setiap bulannya</t>
  </si>
  <si>
    <t>Tgl. Mulai Bekerja (d-M-y)</t>
  </si>
  <si>
    <t>Tgl. Berhenti Kerja (d-M-y)</t>
  </si>
  <si>
    <t>Perhitungan Take Home Pay Metode Gross-Up Karyawan Tetap</t>
  </si>
  <si>
    <t>Jan-Nov (menggunakan Tarif Efektif Rata-Rata) Des/PHK (Menggunakan Tarif Pasal 17)</t>
  </si>
  <si>
    <t>Cara Pemakaian:</t>
  </si>
  <si>
    <t>Isikan Angka Bulan, Nik, Duplikasi Kolom C s/d AH dari baris sebelumnya</t>
  </si>
  <si>
    <t>Sesuaikan Gaji Pokok, Tunjangan, THR, Insentif, Bonus, Lembur, Premi JKK &amp; JKM, Iuran Pensiun, Iuran JHT, Zakat</t>
  </si>
  <si>
    <t>Kosongkan kalau belum PHK</t>
  </si>
  <si>
    <t>Kolom yang lain otomatis dihitung oleh Formula yang diduplikasi dari baris sebelumnya</t>
  </si>
  <si>
    <t>Untuk bulan-bulan berikutnya terus diisikan dibawah sesuai dengan periode pengajian</t>
  </si>
  <si>
    <t>Ya</t>
  </si>
  <si>
    <t xml:space="preserve"> Tarif Menurut( UU Nomor 36 Tahun 2008 Pasal 21 ayat 5a) &amp; (PER16-PJ-2016 Pasal 20 ayat 1 dan 2)</t>
  </si>
  <si>
    <t>000000000000000</t>
  </si>
  <si>
    <t>Kosongkan kalau belum memiliki NPWP</t>
  </si>
  <si>
    <t xml:space="preserve">1. Tambahkan setiap ada penambahan karyawan, </t>
  </si>
  <si>
    <t>2. Perubahan Kode PTKP hanya pada Masa Pajak Awal</t>
  </si>
  <si>
    <t>Memiliki NPWP Sejak (Mempengaruhi Tarif PPh 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</si>
</sst>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1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Border="1" applyAlignment="1">
      <alignment horizontal="center"/>
    </xf>
    <xf numFmtId="9" fontId="0" fillId="0" borderId="3" xfId="0" applyNumberFormat="1" applyBorder="1"/>
    <xf numFmtId="10" fontId="0" fillId="0" borderId="3" xfId="0" applyNumberFormat="1" applyBorder="1"/>
    <xf numFmtId="9" fontId="0" fillId="0" borderId="4" xfId="0" applyNumberFormat="1" applyBorder="1"/>
    <xf numFmtId="0" fontId="4" fillId="2" borderId="7" xfId="0" applyFont="1" applyFill="1" applyBorder="1"/>
    <xf numFmtId="0" fontId="4" fillId="2" borderId="1" xfId="0" applyFont="1" applyFill="1" applyBorder="1"/>
    <xf numFmtId="0" fontId="0" fillId="0" borderId="8" xfId="0" applyBorder="1"/>
    <xf numFmtId="0" fontId="0" fillId="0" borderId="9" xfId="0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3" xfId="0" applyBorder="1"/>
    <xf numFmtId="0" fontId="0" fillId="0" borderId="4" xfId="0" applyBorder="1"/>
    <xf numFmtId="164" fontId="0" fillId="0" borderId="2" xfId="1" applyNumberFormat="1" applyFont="1" applyBorder="1" applyAlignment="1"/>
    <xf numFmtId="164" fontId="0" fillId="0" borderId="3" xfId="1" applyNumberFormat="1" applyFont="1" applyBorder="1" applyAlignment="1"/>
    <xf numFmtId="0" fontId="0" fillId="0" borderId="0" xfId="0" quotePrefix="1"/>
    <xf numFmtId="0" fontId="4" fillId="0" borderId="0" xfId="0" applyFont="1"/>
    <xf numFmtId="3" fontId="0" fillId="0" borderId="0" xfId="0" applyNumberFormat="1"/>
    <xf numFmtId="41" fontId="0" fillId="0" borderId="4" xfId="0" applyNumberFormat="1" applyBorder="1"/>
    <xf numFmtId="11" fontId="0" fillId="0" borderId="0" xfId="0" applyNumberFormat="1"/>
    <xf numFmtId="41" fontId="0" fillId="0" borderId="3" xfId="0" applyNumberFormat="1" applyBorder="1"/>
    <xf numFmtId="41" fontId="0" fillId="0" borderId="8" xfId="0" applyNumberFormat="1" applyBorder="1"/>
    <xf numFmtId="41" fontId="0" fillId="0" borderId="9" xfId="0" applyNumberFormat="1" applyBorder="1"/>
    <xf numFmtId="9" fontId="0" fillId="0" borderId="8" xfId="0" applyNumberFormat="1" applyBorder="1"/>
    <xf numFmtId="0" fontId="0" fillId="0" borderId="9" xfId="0" applyFill="1" applyBorder="1"/>
    <xf numFmtId="0" fontId="4" fillId="3" borderId="0" xfId="0" quotePrefix="1" applyFont="1" applyFill="1" applyAlignment="1">
      <alignment horizontal="center"/>
    </xf>
    <xf numFmtId="0" fontId="0" fillId="3" borderId="0" xfId="0" quotePrefix="1" applyFill="1"/>
    <xf numFmtId="0" fontId="0" fillId="3" borderId="0" xfId="0" applyFill="1"/>
    <xf numFmtId="3" fontId="0" fillId="3" borderId="0" xfId="0" applyNumberFormat="1" applyFill="1"/>
    <xf numFmtId="3" fontId="6" fillId="3" borderId="0" xfId="0" applyNumberFormat="1" applyFont="1" applyFill="1"/>
    <xf numFmtId="10" fontId="0" fillId="3" borderId="0" xfId="2" applyNumberFormat="1" applyFont="1" applyFill="1"/>
    <xf numFmtId="15" fontId="0" fillId="0" borderId="0" xfId="0" applyNumberFormat="1"/>
    <xf numFmtId="14" fontId="0" fillId="0" borderId="0" xfId="0" applyNumberFormat="1"/>
    <xf numFmtId="3" fontId="0" fillId="0" borderId="0" xfId="0" applyNumberFormat="1" applyFill="1"/>
    <xf numFmtId="0" fontId="4" fillId="0" borderId="0" xfId="0" quotePrefix="1" applyFont="1" applyFill="1" applyAlignment="1">
      <alignment horizontal="center"/>
    </xf>
    <xf numFmtId="0" fontId="0" fillId="0" borderId="0" xfId="0" quotePrefix="1" applyFill="1"/>
    <xf numFmtId="0" fontId="0" fillId="0" borderId="0" xfId="0" applyFill="1" applyAlignment="1">
      <alignment horizontal="center"/>
    </xf>
    <xf numFmtId="0" fontId="0" fillId="0" borderId="0" xfId="0" applyFill="1"/>
    <xf numFmtId="3" fontId="6" fillId="0" borderId="0" xfId="0" applyNumberFormat="1" applyFont="1" applyFill="1"/>
    <xf numFmtId="10" fontId="0" fillId="0" borderId="0" xfId="2" applyNumberFormat="1" applyFont="1" applyFill="1"/>
    <xf numFmtId="3" fontId="2" fillId="0" borderId="0" xfId="0" applyNumberFormat="1" applyFont="1" applyFill="1"/>
    <xf numFmtId="0" fontId="0" fillId="3" borderId="0" xfId="0" applyFill="1" applyAlignment="1">
      <alignment horizontal="center"/>
    </xf>
    <xf numFmtId="0" fontId="10" fillId="0" borderId="0" xfId="0" applyFont="1"/>
    <xf numFmtId="0" fontId="11" fillId="0" borderId="0" xfId="0" applyFont="1"/>
    <xf numFmtId="0" fontId="1" fillId="0" borderId="0" xfId="0" applyFon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7" fillId="4" borderId="0" xfId="0" applyFont="1" applyFill="1" applyAlignment="1">
      <alignment horizontal="center" vertical="top" wrapText="1"/>
    </xf>
    <xf numFmtId="0" fontId="4" fillId="5" borderId="0" xfId="0" quotePrefix="1" applyFont="1" applyFill="1"/>
    <xf numFmtId="0" fontId="4" fillId="6" borderId="0" xfId="0" applyFont="1" applyFill="1" applyAlignment="1">
      <alignment horizontal="center" vertical="top" wrapText="1"/>
    </xf>
    <xf numFmtId="0" fontId="0" fillId="7" borderId="0" xfId="0" applyFill="1" applyAlignment="1">
      <alignment wrapText="1"/>
    </xf>
    <xf numFmtId="9" fontId="0" fillId="3" borderId="0" xfId="2" applyFont="1" applyFill="1"/>
    <xf numFmtId="9" fontId="0" fillId="0" borderId="0" xfId="2" applyFont="1" applyFill="1"/>
    <xf numFmtId="15" fontId="0" fillId="3" borderId="0" xfId="2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C0114-74A9-4549-9139-F8FA83125055}">
  <dimension ref="A1:I14"/>
  <sheetViews>
    <sheetView tabSelected="1" workbookViewId="0">
      <selection activeCell="G7" sqref="G7"/>
    </sheetView>
  </sheetViews>
  <sheetFormatPr defaultRowHeight="15" x14ac:dyDescent="0.25"/>
  <cols>
    <col min="1" max="1" width="20.85546875" customWidth="1"/>
    <col min="2" max="2" width="27.5703125" customWidth="1"/>
    <col min="3" max="3" width="27.140625" customWidth="1"/>
    <col min="4" max="4" width="19.140625" customWidth="1"/>
    <col min="5" max="5" width="10.42578125" bestFit="1" customWidth="1"/>
    <col min="6" max="6" width="23" bestFit="1" customWidth="1"/>
    <col min="7" max="7" width="23" customWidth="1"/>
    <col min="8" max="8" width="16.85546875" bestFit="1" customWidth="1"/>
    <col min="9" max="9" width="18.42578125" customWidth="1"/>
  </cols>
  <sheetData>
    <row r="1" spans="1:9" s="44" customFormat="1" ht="21" x14ac:dyDescent="0.35">
      <c r="A1" s="44" t="s">
        <v>98</v>
      </c>
    </row>
    <row r="2" spans="1:9" s="44" customFormat="1" ht="19.5" customHeight="1" x14ac:dyDescent="0.35">
      <c r="A2" s="46" t="s">
        <v>99</v>
      </c>
    </row>
    <row r="3" spans="1:9" s="44" customFormat="1" ht="19.5" customHeight="1" x14ac:dyDescent="0.35">
      <c r="A3" s="45" t="s">
        <v>114</v>
      </c>
    </row>
    <row r="4" spans="1:9" s="45" customFormat="1" ht="15.75" x14ac:dyDescent="0.25">
      <c r="A4" s="45" t="s">
        <v>115</v>
      </c>
    </row>
    <row r="5" spans="1:9" ht="30" x14ac:dyDescent="0.25">
      <c r="G5" s="52" t="s">
        <v>113</v>
      </c>
      <c r="I5" s="52" t="s">
        <v>107</v>
      </c>
    </row>
    <row r="6" spans="1:9" ht="45" x14ac:dyDescent="0.25">
      <c r="A6" s="51" t="s">
        <v>61</v>
      </c>
      <c r="B6" s="51" t="s">
        <v>62</v>
      </c>
      <c r="C6" s="51" t="s">
        <v>63</v>
      </c>
      <c r="D6" s="51" t="s">
        <v>64</v>
      </c>
      <c r="E6" s="51" t="s">
        <v>65</v>
      </c>
      <c r="F6" s="51" t="s">
        <v>66</v>
      </c>
      <c r="G6" s="48" t="s">
        <v>116</v>
      </c>
      <c r="H6" s="51" t="s">
        <v>100</v>
      </c>
      <c r="I6" s="51" t="s">
        <v>101</v>
      </c>
    </row>
    <row r="7" spans="1:9" x14ac:dyDescent="0.25">
      <c r="A7" s="17" t="s">
        <v>67</v>
      </c>
      <c r="B7" t="s">
        <v>68</v>
      </c>
      <c r="C7" t="s">
        <v>69</v>
      </c>
      <c r="D7" s="17" t="s">
        <v>70</v>
      </c>
      <c r="E7" t="s">
        <v>5</v>
      </c>
      <c r="F7" t="s">
        <v>45</v>
      </c>
      <c r="G7" s="55">
        <v>45292</v>
      </c>
      <c r="H7" s="33">
        <v>36892</v>
      </c>
      <c r="I7" s="33">
        <v>45535</v>
      </c>
    </row>
    <row r="8" spans="1:9" x14ac:dyDescent="0.25">
      <c r="A8" s="17" t="s">
        <v>71</v>
      </c>
      <c r="B8" t="s">
        <v>86</v>
      </c>
      <c r="C8" t="s">
        <v>72</v>
      </c>
      <c r="D8" s="17" t="s">
        <v>79</v>
      </c>
      <c r="E8" t="s">
        <v>6</v>
      </c>
      <c r="F8" t="s">
        <v>45</v>
      </c>
      <c r="G8" s="55">
        <v>45292</v>
      </c>
      <c r="H8" s="33">
        <v>37257</v>
      </c>
    </row>
    <row r="9" spans="1:9" x14ac:dyDescent="0.25">
      <c r="A9" s="17" t="s">
        <v>80</v>
      </c>
      <c r="B9" t="s">
        <v>87</v>
      </c>
      <c r="C9" t="s">
        <v>73</v>
      </c>
      <c r="D9" s="17" t="s">
        <v>93</v>
      </c>
      <c r="E9" t="s">
        <v>10</v>
      </c>
      <c r="F9" t="s">
        <v>45</v>
      </c>
      <c r="G9" s="55">
        <v>45292</v>
      </c>
      <c r="H9" s="33">
        <v>37622</v>
      </c>
    </row>
    <row r="10" spans="1:9" x14ac:dyDescent="0.25">
      <c r="A10" s="17" t="s">
        <v>81</v>
      </c>
      <c r="B10" t="s">
        <v>88</v>
      </c>
      <c r="C10" t="s">
        <v>74</v>
      </c>
      <c r="D10" s="17" t="s">
        <v>94</v>
      </c>
      <c r="E10" t="s">
        <v>11</v>
      </c>
      <c r="F10" t="s">
        <v>45</v>
      </c>
      <c r="G10" s="55">
        <v>45292</v>
      </c>
      <c r="H10" s="33">
        <v>37987</v>
      </c>
    </row>
    <row r="11" spans="1:9" x14ac:dyDescent="0.25">
      <c r="A11" s="17" t="s">
        <v>82</v>
      </c>
      <c r="B11" t="s">
        <v>89</v>
      </c>
      <c r="C11" t="s">
        <v>75</v>
      </c>
      <c r="D11" s="17" t="s">
        <v>95</v>
      </c>
      <c r="E11" t="s">
        <v>7</v>
      </c>
      <c r="F11" t="s">
        <v>45</v>
      </c>
      <c r="G11" s="55">
        <v>45292</v>
      </c>
      <c r="H11" s="33">
        <v>38353</v>
      </c>
    </row>
    <row r="12" spans="1:9" x14ac:dyDescent="0.25">
      <c r="A12" s="17" t="s">
        <v>83</v>
      </c>
      <c r="B12" t="s">
        <v>90</v>
      </c>
      <c r="C12" t="s">
        <v>76</v>
      </c>
      <c r="D12" s="17" t="s">
        <v>96</v>
      </c>
      <c r="E12" t="s">
        <v>12</v>
      </c>
      <c r="F12" t="s">
        <v>45</v>
      </c>
      <c r="G12" s="55">
        <v>45292</v>
      </c>
      <c r="H12" s="33">
        <v>38718</v>
      </c>
    </row>
    <row r="13" spans="1:9" x14ac:dyDescent="0.25">
      <c r="A13" s="17" t="s">
        <v>84</v>
      </c>
      <c r="B13" t="s">
        <v>91</v>
      </c>
      <c r="C13" t="s">
        <v>77</v>
      </c>
      <c r="D13" s="17" t="s">
        <v>97</v>
      </c>
      <c r="E13" t="s">
        <v>13</v>
      </c>
      <c r="F13" t="s">
        <v>110</v>
      </c>
      <c r="G13" s="55">
        <v>45292</v>
      </c>
      <c r="H13" s="33">
        <v>39083</v>
      </c>
    </row>
    <row r="14" spans="1:9" x14ac:dyDescent="0.25">
      <c r="A14" s="17" t="s">
        <v>85</v>
      </c>
      <c r="B14" t="s">
        <v>92</v>
      </c>
      <c r="C14" t="s">
        <v>78</v>
      </c>
      <c r="D14" s="17" t="s">
        <v>112</v>
      </c>
      <c r="E14" t="s">
        <v>14</v>
      </c>
      <c r="F14" t="s">
        <v>110</v>
      </c>
      <c r="G14" s="53"/>
      <c r="H14" s="33">
        <v>39448</v>
      </c>
    </row>
  </sheetData>
  <dataValidations disablePrompts="1" count="2">
    <dataValidation type="list" allowBlank="1" showInputMessage="1" showErrorMessage="1" sqref="E7:E14" xr:uid="{72B47A1D-2BD7-4C87-B036-DBEC836CC67E}">
      <formula1>JenisPTKP</formula1>
    </dataValidation>
    <dataValidation type="list" allowBlank="1" showInputMessage="1" showErrorMessage="1" sqref="F7:F14" xr:uid="{432FB278-D456-43F1-932A-B5E74B1FD9DE}">
      <formula1>"Ya, Tidak"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15A7-E6C3-44EF-9FF8-3ED308E11119}">
  <dimension ref="A1:AI109"/>
  <sheetViews>
    <sheetView workbookViewId="0">
      <pane xSplit="5" ySplit="14" topLeftCell="F15" activePane="bottomRight" state="frozen"/>
      <selection pane="topRight" activeCell="E1" sqref="E1"/>
      <selection pane="bottomLeft" activeCell="A10" sqref="A10"/>
      <selection pane="bottomRight" activeCell="N99" sqref="N99:N105"/>
    </sheetView>
  </sheetViews>
  <sheetFormatPr defaultRowHeight="15" x14ac:dyDescent="0.25"/>
  <cols>
    <col min="1" max="1" width="7.28515625" customWidth="1"/>
    <col min="2" max="2" width="17.28515625" bestFit="1" customWidth="1"/>
    <col min="3" max="3" width="15.42578125" customWidth="1"/>
    <col min="4" max="4" width="20.28515625" customWidth="1"/>
    <col min="5" max="5" width="5.42578125" bestFit="1" customWidth="1"/>
    <col min="6" max="6" width="21" customWidth="1"/>
    <col min="7" max="7" width="11" customWidth="1"/>
    <col min="8" max="8" width="11.85546875" bestFit="1" customWidth="1"/>
    <col min="9" max="9" width="11.7109375" bestFit="1" customWidth="1"/>
    <col min="10" max="12" width="11.7109375" customWidth="1"/>
    <col min="13" max="13" width="17.28515625" bestFit="1" customWidth="1"/>
    <col min="14" max="14" width="11.7109375" customWidth="1"/>
    <col min="15" max="15" width="13.42578125" customWidth="1"/>
    <col min="16" max="16" width="14" customWidth="1"/>
    <col min="17" max="17" width="13.5703125" customWidth="1"/>
    <col min="18" max="18" width="14.42578125" customWidth="1"/>
    <col min="19" max="21" width="12" customWidth="1"/>
    <col min="22" max="22" width="14.5703125" bestFit="1" customWidth="1"/>
    <col min="23" max="23" width="14.5703125" customWidth="1"/>
    <col min="24" max="24" width="14.28515625" customWidth="1"/>
    <col min="25" max="25" width="13" customWidth="1"/>
    <col min="26" max="26" width="12.5703125" customWidth="1"/>
    <col min="27" max="27" width="13.140625" customWidth="1"/>
    <col min="28" max="28" width="13.5703125" customWidth="1"/>
    <col min="29" max="29" width="13.42578125" customWidth="1"/>
    <col min="30" max="31" width="15.140625" customWidth="1"/>
    <col min="32" max="32" width="14.28515625" customWidth="1"/>
    <col min="33" max="34" width="14.140625" customWidth="1"/>
    <col min="35" max="35" width="14.85546875" customWidth="1"/>
  </cols>
  <sheetData>
    <row r="1" spans="1:35" ht="21" x14ac:dyDescent="0.35">
      <c r="A1" s="44" t="s">
        <v>102</v>
      </c>
    </row>
    <row r="2" spans="1:35" ht="21" x14ac:dyDescent="0.35">
      <c r="A2" s="44" t="s">
        <v>103</v>
      </c>
    </row>
    <row r="3" spans="1:35" x14ac:dyDescent="0.25">
      <c r="A3" s="18" t="s">
        <v>22</v>
      </c>
    </row>
    <row r="4" spans="1:35" x14ac:dyDescent="0.25">
      <c r="A4" s="18" t="s">
        <v>21</v>
      </c>
    </row>
    <row r="5" spans="1:35" x14ac:dyDescent="0.25">
      <c r="A5" s="18" t="s">
        <v>25</v>
      </c>
    </row>
    <row r="6" spans="1:35" x14ac:dyDescent="0.25">
      <c r="A6" s="18"/>
    </row>
    <row r="7" spans="1:35" x14ac:dyDescent="0.25">
      <c r="A7" s="18" t="s">
        <v>104</v>
      </c>
    </row>
    <row r="8" spans="1:35" x14ac:dyDescent="0.25">
      <c r="A8" s="18" t="s">
        <v>105</v>
      </c>
    </row>
    <row r="9" spans="1:35" x14ac:dyDescent="0.25">
      <c r="A9" s="18" t="s">
        <v>106</v>
      </c>
    </row>
    <row r="10" spans="1:35" x14ac:dyDescent="0.25">
      <c r="A10" s="18" t="s">
        <v>108</v>
      </c>
    </row>
    <row r="11" spans="1:35" x14ac:dyDescent="0.25">
      <c r="A11" s="18" t="s">
        <v>109</v>
      </c>
    </row>
    <row r="12" spans="1:35" x14ac:dyDescent="0.25">
      <c r="A12" s="18"/>
      <c r="L12" s="34"/>
      <c r="R12" s="19"/>
    </row>
    <row r="13" spans="1:35" x14ac:dyDescent="0.25">
      <c r="A13" s="18" t="s">
        <v>26</v>
      </c>
      <c r="B13" s="50">
        <v>2024</v>
      </c>
      <c r="C13" s="18"/>
      <c r="O13" s="57" t="s">
        <v>47</v>
      </c>
      <c r="P13" s="57"/>
      <c r="Q13" s="57"/>
      <c r="X13" s="56" t="s">
        <v>48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</row>
    <row r="14" spans="1:35" ht="90" x14ac:dyDescent="0.25">
      <c r="A14" s="48" t="s">
        <v>24</v>
      </c>
      <c r="B14" s="48" t="s">
        <v>16</v>
      </c>
      <c r="C14" s="48" t="s">
        <v>46</v>
      </c>
      <c r="D14" s="48" t="s">
        <v>17</v>
      </c>
      <c r="E14" s="48" t="s">
        <v>18</v>
      </c>
      <c r="F14" s="48" t="s">
        <v>111</v>
      </c>
      <c r="G14" s="48" t="s">
        <v>51</v>
      </c>
      <c r="H14" s="48" t="s">
        <v>52</v>
      </c>
      <c r="I14" s="48" t="s">
        <v>53</v>
      </c>
      <c r="J14" s="48" t="s">
        <v>54</v>
      </c>
      <c r="K14" s="48" t="s">
        <v>55</v>
      </c>
      <c r="L14" s="48" t="s">
        <v>56</v>
      </c>
      <c r="M14" s="48" t="s">
        <v>57</v>
      </c>
      <c r="N14" s="48" t="s">
        <v>42</v>
      </c>
      <c r="O14" s="48" t="s">
        <v>58</v>
      </c>
      <c r="P14" s="48" t="s">
        <v>44</v>
      </c>
      <c r="Q14" s="49" t="s">
        <v>59</v>
      </c>
      <c r="R14" s="49" t="s">
        <v>60</v>
      </c>
      <c r="S14" s="49" t="s">
        <v>28</v>
      </c>
      <c r="T14" s="49" t="s">
        <v>29</v>
      </c>
      <c r="U14" s="49" t="s">
        <v>27</v>
      </c>
      <c r="V14" s="48" t="s">
        <v>20</v>
      </c>
      <c r="W14" s="48" t="s">
        <v>49</v>
      </c>
      <c r="X14" s="48" t="str">
        <f>"Total Penghasilan Bruto Tahun " &amp;C13</f>
        <v xml:space="preserve">Total Penghasilan Bruto Tahun </v>
      </c>
      <c r="Y14" s="48" t="str">
        <f>"Total Biaya Jabatan Tahun " &amp;$B13 &amp; " Pasal 10 ayat 2)"</f>
        <v>Total Biaya Jabatan Tahun 2024 Pasal 10 ayat 2)</v>
      </c>
      <c r="Z14" s="48" t="str">
        <f>"Total Iuran Pensiun Tahun " &amp;$B13 &amp; " (Pasal 7c dan Pasal 10 ayat 1a)"</f>
        <v>Total Iuran Pensiun Tahun 2024 (Pasal 7c dan Pasal 10 ayat 1a)</v>
      </c>
      <c r="AA14" s="48" t="str">
        <f>"Total Iuran JHT Tahun " &amp;$B13 &amp; " (Pasal 7c dan Pasal 10 ayat 1a)"</f>
        <v>Total Iuran JHT Tahun 2024 (Pasal 7c dan Pasal 10 ayat 1a)</v>
      </c>
      <c r="AB14" s="48" t="str">
        <f>"Total Zakat Tahun " &amp;$B13 &amp; " (Pasal 7d dan Pasal 10 ayat 1b)"</f>
        <v>Total Zakat Tahun 2024 (Pasal 7d dan Pasal 10 ayat 1b)</v>
      </c>
      <c r="AC14" s="48" t="str">
        <f>"Penghasilan Netto  (Pasal 10)"</f>
        <v>Penghasilan Netto  (Pasal 10)</v>
      </c>
      <c r="AD14" s="48" t="s">
        <v>50</v>
      </c>
      <c r="AE14" s="48" t="str">
        <f>"Penghasilan Kena Pajak Tahun " &amp; $B13</f>
        <v>Penghasilan Kena Pajak Tahun 2024</v>
      </c>
      <c r="AF14" s="48" t="str">
        <f>"PPh Terutang Tahun " &amp; $B13</f>
        <v>PPh Terutang Tahun 2024</v>
      </c>
      <c r="AG14" s="48" t="str">
        <f>"PPh yang telah dipotong Januari-November " &amp; $B13</f>
        <v>PPh yang telah dipotong Januari-November 2024</v>
      </c>
      <c r="AH14" s="48" t="str">
        <f>"PPh Desember " &amp; C13 &amp; " atau PHK pada Tahun Berjalan (Pasal 15 ayat 1b)"</f>
        <v>PPh Desember  atau PHK pada Tahun Berjalan (Pasal 15 ayat 1b)</v>
      </c>
      <c r="AI14" s="48" t="s">
        <v>43</v>
      </c>
    </row>
    <row r="15" spans="1:35" x14ac:dyDescent="0.25">
      <c r="A15" s="36">
        <v>1</v>
      </c>
      <c r="B15" s="37" t="s">
        <v>67</v>
      </c>
      <c r="C15" s="38" t="str">
        <f t="shared" ref="C15:C46" si="0">IF(VLOOKUP(B15,MasterKaryawan,9)=0,"Tidak",IF(VLOOKUP(B15,MasterKaryawan,9)&gt;=DATE($B$13,A15+1,1),"Tidak",IF(VLOOKUP(B15,MasterKaryawan,9)&lt;DATE($B$13,A15,1),"Tidak Valid","Ya")))</f>
        <v>Tidak</v>
      </c>
      <c r="D15" s="39" t="str">
        <f>VLOOKUP($B15,MasterKaryawan,2)</f>
        <v>Test 1</v>
      </c>
      <c r="E15" s="39" t="str">
        <f t="shared" ref="E15:E46" si="1">VLOOKUP($B15,MasterKaryawan,5)</f>
        <v>TK/0</v>
      </c>
      <c r="F15" s="54">
        <f t="shared" ref="F15:F46" si="2">IF(VLOOKUP($B15,MasterKaryawan,7)=0,120%,IF(VLOOKUP($B15,MasterKaryawan,7)&gt;DATE($B$13,$A15+1,1),120%,100%))</f>
        <v>1</v>
      </c>
      <c r="G15" s="35">
        <v>10000000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40">
        <f t="shared" ref="N15:N78" ca="1" si="3">IF(AND(INT($A15)&lt;12,$C15&lt;&gt;"Ya"),Q15,AH15)*IF(VLOOKUP(B15,MasterKaryawan,6)&lt;&gt;"Ya",0,1)</f>
        <v>0</v>
      </c>
      <c r="O15" s="35">
        <f ca="1">G15+H15+I15+J15+K15+L15+M15+N15</f>
        <v>10000000</v>
      </c>
      <c r="P15" s="41">
        <f t="shared" ref="P15:P46" ca="1" si="4">IF(AND(INT(A15)&lt;12,C15&lt;&gt;"Ya"),VLOOKUP(O15,CHOOSE(VLOOKUP(E15,TER,2,FALSE),TERA,TERB,TERC),4,TRUE),"Tarif Pasal 17")</f>
        <v>0.02</v>
      </c>
      <c r="Q15" s="35">
        <f ca="1">IF(AND(INT($A15)&lt;12, $C15&lt;&gt;"Ya"),O15*P15,0)*$F15</f>
        <v>200000</v>
      </c>
      <c r="R15" s="35">
        <f>IF(AND(INT($A15)&lt;12, $C15&lt;&gt;"Ya"),0,AH15)</f>
        <v>0</v>
      </c>
      <c r="S15" s="35">
        <v>0</v>
      </c>
      <c r="T15" s="35">
        <v>0</v>
      </c>
      <c r="U15" s="35">
        <v>0</v>
      </c>
      <c r="V15" s="35">
        <f ca="1">O15-Q15-R15-S15-T15-U15</f>
        <v>9800000</v>
      </c>
      <c r="W15" s="42">
        <f ca="1">IF(5%*O15&gt;6000000/12,6000000/12,5%*O15)</f>
        <v>500000</v>
      </c>
      <c r="X15" s="35">
        <f>IF(AND(INT($A15)&lt;12, $C15&lt;&gt;"Ya"),0,SUMIF($B$14:$B14,$B15&amp;"*",$O$14:$O14)+O15)</f>
        <v>0</v>
      </c>
      <c r="Y15" s="35">
        <f>IF(AND(INT($A15)&lt;12, $C15&lt;&gt;"Ya"),0,SUMIF($B$14:$B14,$B15&amp;"*",$W$14:$W14)+W15)</f>
        <v>0</v>
      </c>
      <c r="Z15" s="35">
        <f>IF(AND(INT($A15)&lt;12, $C15&lt;&gt;"Ya"),0,SUMIF($B$14:$B14, $B15 &amp;"*",$S$14:$S14)+$S15)</f>
        <v>0</v>
      </c>
      <c r="AA15" s="35">
        <f>IF(AND(INT($A15)&lt;12, $C15&lt;&gt;"Ya"),0,SUMIF($B$14:$B14, $B15&amp;"*",$T$14:$T14)+$T15)</f>
        <v>0</v>
      </c>
      <c r="AB15" s="35">
        <f>IF(AND(INT($A15)&lt;12, $C15&lt;&gt;"Ya"),0,SUMIF($B$14:$B14,$B15 &amp; "*",$U$14:$U14)+$U15)</f>
        <v>0</v>
      </c>
      <c r="AC15" s="35">
        <f t="shared" ref="AC15" si="5">X15-Y15-Z15-AA15-AB15</f>
        <v>0</v>
      </c>
      <c r="AD15" s="35">
        <f t="shared" ref="AD15" si="6">IF(AND(INT($A15)&lt;12, $C15&lt;&gt;"Ya"),0,VLOOKUP(E15,PTKP,3,FALSE))</f>
        <v>0</v>
      </c>
      <c r="AE15" s="35">
        <f t="shared" ref="AE15" si="7">MAX(AC15-AD15,0)</f>
        <v>0</v>
      </c>
      <c r="AF15" s="35">
        <f t="shared" ref="AF15:AF46" si="8">(VLOOKUP(AE15,LapisanPPh21,3,TRUE)*(AE15-VLOOKUP(AE15,LapisanPPh21,1))+VLOOKUP(AE15,LapisanPPh21,5))*$F15</f>
        <v>0</v>
      </c>
      <c r="AG15" s="35">
        <f>IF(AND(INT($A15)&lt;12, $C15&lt;&gt;"Ya"),0,SUMIF($B$14:$B14, $B15 &amp;"*",$Q$14:$Q14)+$Q15)</f>
        <v>0</v>
      </c>
      <c r="AH15" s="35">
        <f t="shared" ref="AH15" si="9">AF15-AG15</f>
        <v>0</v>
      </c>
      <c r="AI15" s="35">
        <f t="shared" ref="AI15:AI46" ca="1" si="10">(Q15+R15-N15)*IF(VLOOKUP(B15,MasterKaryawan,7)&lt;&gt;"Ya",0,1)</f>
        <v>0</v>
      </c>
    </row>
    <row r="16" spans="1:35" x14ac:dyDescent="0.25">
      <c r="A16" s="36">
        <v>1</v>
      </c>
      <c r="B16" s="37" t="s">
        <v>71</v>
      </c>
      <c r="C16" s="38" t="str">
        <f t="shared" si="0"/>
        <v>Tidak</v>
      </c>
      <c r="D16" s="39" t="str">
        <f t="shared" ref="D16:D47" si="11">VLOOKUP(B16,MasterKaryawan,2)</f>
        <v>Test 2</v>
      </c>
      <c r="E16" s="39" t="str">
        <f t="shared" si="1"/>
        <v>TK/1</v>
      </c>
      <c r="F16" s="54">
        <f t="shared" si="2"/>
        <v>1</v>
      </c>
      <c r="G16" s="35">
        <v>10000000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40">
        <f t="shared" ca="1" si="3"/>
        <v>0</v>
      </c>
      <c r="O16" s="35">
        <f t="shared" ref="O16:O78" ca="1" si="12">G16+H16+I16+J16+K16+L16+M16+N16</f>
        <v>10000000</v>
      </c>
      <c r="P16" s="41">
        <f t="shared" ca="1" si="4"/>
        <v>0.02</v>
      </c>
      <c r="Q16" s="35">
        <f t="shared" ref="Q16:Q79" ca="1" si="13">IF(AND(INT($A16)&lt;12, $C16&lt;&gt;"Ya"),O16*P16,0)*$F16</f>
        <v>200000</v>
      </c>
      <c r="R16" s="35">
        <f t="shared" ref="R16:R78" si="14">IF(AND(INT($A16)&lt;12, $C16&lt;&gt;"Ya"),0,AH16)</f>
        <v>0</v>
      </c>
      <c r="S16" s="35">
        <v>0</v>
      </c>
      <c r="T16" s="35">
        <v>0</v>
      </c>
      <c r="U16" s="35">
        <v>0</v>
      </c>
      <c r="V16" s="35">
        <f t="shared" ref="V16:V78" ca="1" si="15">O16-Q16-R16-S16-T16-U16</f>
        <v>9800000</v>
      </c>
      <c r="W16" s="42">
        <f t="shared" ref="W16:W78" ca="1" si="16">IF(5%*O16&gt;6000000/12,6000000/12,5%*O16)</f>
        <v>500000</v>
      </c>
      <c r="X16" s="35">
        <f>IF(AND(INT($A16)&lt;12, $C16&lt;&gt;"Ya"),0,SUMIF($B$14:$B15,$B16&amp;"*",$O$14:$O15)+O16)</f>
        <v>0</v>
      </c>
      <c r="Y16" s="35">
        <f>IF(AND(INT($A16)&lt;12, $C16&lt;&gt;"Ya"),0,SUMIF($B$14:$B15,$B16&amp;"*",$W$14:$W15)+W16)</f>
        <v>0</v>
      </c>
      <c r="Z16" s="35">
        <f>IF(AND(INT($A16)&lt;12, $C16&lt;&gt;"Ya"),0,SUMIF($B$14:$B15, $B16 &amp;"*",$S$14:$S15)+$S16)</f>
        <v>0</v>
      </c>
      <c r="AA16" s="35">
        <f>IF(AND(INT($A16)&lt;12, $C16&lt;&gt;"Ya"),0,SUMIF($B$14:$B15, $B16&amp;"*",$T$14:$T15)+$T16)</f>
        <v>0</v>
      </c>
      <c r="AB16" s="35">
        <f>IF(AND(INT($A16)&lt;12, $C16&lt;&gt;"Ya"),0,SUMIF($B$14:$B15,$B16 &amp; "*",$U$14:$U15)+$U16)</f>
        <v>0</v>
      </c>
      <c r="AC16" s="35">
        <f t="shared" ref="AC16:AC78" si="17">X16-Y16-Z16-AA16-AB16</f>
        <v>0</v>
      </c>
      <c r="AD16" s="35">
        <f t="shared" ref="AD16:AD47" si="18">IF(AND(INT($A16)&lt;12, $C16&lt;&gt;"Ya"),0,VLOOKUP(E16,PTKP,3,FALSE))</f>
        <v>0</v>
      </c>
      <c r="AE16" s="35">
        <f t="shared" ref="AE16:AE78" si="19">MAX(AC16-AD16,0)</f>
        <v>0</v>
      </c>
      <c r="AF16" s="35">
        <f t="shared" si="8"/>
        <v>0</v>
      </c>
      <c r="AG16" s="35">
        <f>IF(AND(INT($A16)&lt;12, $C16&lt;&gt;"Ya"),0,SUMIF($B$14:$B15, $B16 &amp;"*",$Q$14:$Q15)+$Q16)</f>
        <v>0</v>
      </c>
      <c r="AH16" s="35">
        <f t="shared" ref="AH16:AH78" si="20">AF16-AG16</f>
        <v>0</v>
      </c>
      <c r="AI16" s="35">
        <f t="shared" ca="1" si="10"/>
        <v>0</v>
      </c>
    </row>
    <row r="17" spans="1:35" x14ac:dyDescent="0.25">
      <c r="A17" s="36">
        <v>1</v>
      </c>
      <c r="B17" s="37" t="s">
        <v>80</v>
      </c>
      <c r="C17" s="38" t="str">
        <f t="shared" si="0"/>
        <v>Tidak</v>
      </c>
      <c r="D17" s="39" t="str">
        <f t="shared" si="11"/>
        <v>Test 3</v>
      </c>
      <c r="E17" s="39" t="str">
        <f t="shared" si="1"/>
        <v>TK/2</v>
      </c>
      <c r="F17" s="54">
        <f t="shared" si="2"/>
        <v>1</v>
      </c>
      <c r="G17" s="35">
        <v>10000000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40">
        <f t="shared" ca="1" si="3"/>
        <v>0</v>
      </c>
      <c r="O17" s="35">
        <f t="shared" ca="1" si="12"/>
        <v>10000000</v>
      </c>
      <c r="P17" s="41">
        <f t="shared" ca="1" si="4"/>
        <v>1.4999999999999999E-2</v>
      </c>
      <c r="Q17" s="35">
        <f t="shared" ca="1" si="13"/>
        <v>150000</v>
      </c>
      <c r="R17" s="35">
        <f t="shared" si="14"/>
        <v>0</v>
      </c>
      <c r="S17" s="35">
        <v>0</v>
      </c>
      <c r="T17" s="35">
        <v>0</v>
      </c>
      <c r="U17" s="35">
        <v>0</v>
      </c>
      <c r="V17" s="35">
        <f t="shared" ca="1" si="15"/>
        <v>9850000</v>
      </c>
      <c r="W17" s="42">
        <f t="shared" ca="1" si="16"/>
        <v>500000</v>
      </c>
      <c r="X17" s="35">
        <f>IF(AND(INT($A17)&lt;12, $C17&lt;&gt;"Ya"),0,SUMIF($B$14:$B16,$B17&amp;"*",$O$14:$O16)+O17)</f>
        <v>0</v>
      </c>
      <c r="Y17" s="35">
        <f>IF(AND(INT($A17)&lt;12, $C17&lt;&gt;"Ya"),0,SUMIF($B$14:$B16,$B17&amp;"*",$W$14:$W16)+W17)</f>
        <v>0</v>
      </c>
      <c r="Z17" s="35">
        <f>IF(AND(INT($A17)&lt;12, $C17&lt;&gt;"Ya"),0,SUMIF($B$14:$B16, $B17 &amp;"*",$S$14:$S16)+$S17)</f>
        <v>0</v>
      </c>
      <c r="AA17" s="35">
        <f>IF(AND(INT($A17)&lt;12, $C17&lt;&gt;"Ya"),0,SUMIF($B$14:$B16, $B17&amp;"*",$T$14:$T16)+$T17)</f>
        <v>0</v>
      </c>
      <c r="AB17" s="35">
        <f>IF(AND(INT($A17)&lt;12, $C17&lt;&gt;"Ya"),0,SUMIF($B$14:$B16,$B17 &amp; "*",$U$14:$U16)+$U17)</f>
        <v>0</v>
      </c>
      <c r="AC17" s="35">
        <f t="shared" si="17"/>
        <v>0</v>
      </c>
      <c r="AD17" s="35">
        <f t="shared" si="18"/>
        <v>0</v>
      </c>
      <c r="AE17" s="35">
        <f t="shared" si="19"/>
        <v>0</v>
      </c>
      <c r="AF17" s="35">
        <f t="shared" si="8"/>
        <v>0</v>
      </c>
      <c r="AG17" s="35">
        <f>IF(AND(INT($A17)&lt;12, $C17&lt;&gt;"Ya"),0,SUMIF($B$14:$B16, $B17 &amp;"*",$Q$14:$Q16)+$Q17)</f>
        <v>0</v>
      </c>
      <c r="AH17" s="35">
        <f t="shared" si="20"/>
        <v>0</v>
      </c>
      <c r="AI17" s="35">
        <f t="shared" ca="1" si="10"/>
        <v>0</v>
      </c>
    </row>
    <row r="18" spans="1:35" x14ac:dyDescent="0.25">
      <c r="A18" s="36">
        <v>1</v>
      </c>
      <c r="B18" s="37" t="s">
        <v>81</v>
      </c>
      <c r="C18" s="38" t="str">
        <f t="shared" si="0"/>
        <v>Tidak</v>
      </c>
      <c r="D18" s="39" t="str">
        <f t="shared" si="11"/>
        <v>Test 4</v>
      </c>
      <c r="E18" s="39" t="str">
        <f t="shared" si="1"/>
        <v>TK/3</v>
      </c>
      <c r="F18" s="54">
        <f t="shared" si="2"/>
        <v>1</v>
      </c>
      <c r="G18" s="35">
        <v>10000000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40">
        <f t="shared" ca="1" si="3"/>
        <v>0</v>
      </c>
      <c r="O18" s="35">
        <f t="shared" ca="1" si="12"/>
        <v>10000000</v>
      </c>
      <c r="P18" s="41">
        <f t="shared" ca="1" si="4"/>
        <v>1.4999999999999999E-2</v>
      </c>
      <c r="Q18" s="35">
        <f t="shared" ca="1" si="13"/>
        <v>150000</v>
      </c>
      <c r="R18" s="35">
        <f t="shared" si="14"/>
        <v>0</v>
      </c>
      <c r="S18" s="35">
        <v>0</v>
      </c>
      <c r="T18" s="35">
        <v>0</v>
      </c>
      <c r="U18" s="35">
        <v>0</v>
      </c>
      <c r="V18" s="35">
        <f t="shared" ca="1" si="15"/>
        <v>9850000</v>
      </c>
      <c r="W18" s="42">
        <f t="shared" ca="1" si="16"/>
        <v>500000</v>
      </c>
      <c r="X18" s="35">
        <f>IF(AND(INT($A18)&lt;12, $C18&lt;&gt;"Ya"),0,SUMIF($B$14:$B17,$B18&amp;"*",$O$14:$O17)+O18)</f>
        <v>0</v>
      </c>
      <c r="Y18" s="35">
        <f>IF(AND(INT($A18)&lt;12, $C18&lt;&gt;"Ya"),0,SUMIF($B$14:$B17,$B18&amp;"*",$W$14:$W17)+W18)</f>
        <v>0</v>
      </c>
      <c r="Z18" s="35">
        <f>IF(AND(INT($A18)&lt;12, $C18&lt;&gt;"Ya"),0,SUMIF($B$14:$B17, $B18 &amp;"*",$S$14:$S17)+$S18)</f>
        <v>0</v>
      </c>
      <c r="AA18" s="35">
        <f>IF(AND(INT($A18)&lt;12, $C18&lt;&gt;"Ya"),0,SUMIF($B$14:$B17, $B18&amp;"*",$T$14:$T17)+$T18)</f>
        <v>0</v>
      </c>
      <c r="AB18" s="35">
        <f>IF(AND(INT($A18)&lt;12, $C18&lt;&gt;"Ya"),0,SUMIF($B$14:$B17,$B18 &amp; "*",$U$14:$U17)+$U18)</f>
        <v>0</v>
      </c>
      <c r="AC18" s="35">
        <f t="shared" si="17"/>
        <v>0</v>
      </c>
      <c r="AD18" s="35">
        <f t="shared" si="18"/>
        <v>0</v>
      </c>
      <c r="AE18" s="35">
        <f t="shared" si="19"/>
        <v>0</v>
      </c>
      <c r="AF18" s="35">
        <f t="shared" si="8"/>
        <v>0</v>
      </c>
      <c r="AG18" s="35">
        <f>IF(AND(INT($A18)&lt;12, $C18&lt;&gt;"Ya"),0,SUMIF($B$14:$B17, $B18 &amp;"*",$Q$14:$Q17)+$Q18)</f>
        <v>0</v>
      </c>
      <c r="AH18" s="35">
        <f t="shared" si="20"/>
        <v>0</v>
      </c>
      <c r="AI18" s="35">
        <f t="shared" ca="1" si="10"/>
        <v>0</v>
      </c>
    </row>
    <row r="19" spans="1:35" x14ac:dyDescent="0.25">
      <c r="A19" s="36">
        <v>1</v>
      </c>
      <c r="B19" s="37" t="s">
        <v>82</v>
      </c>
      <c r="C19" s="38" t="str">
        <f t="shared" si="0"/>
        <v>Tidak</v>
      </c>
      <c r="D19" s="39" t="str">
        <f t="shared" si="11"/>
        <v>Test 5</v>
      </c>
      <c r="E19" s="39" t="str">
        <f t="shared" si="1"/>
        <v>K/0</v>
      </c>
      <c r="F19" s="54">
        <f t="shared" si="2"/>
        <v>1</v>
      </c>
      <c r="G19" s="35">
        <v>10000000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40">
        <f t="shared" ca="1" si="3"/>
        <v>0</v>
      </c>
      <c r="O19" s="35">
        <f t="shared" ca="1" si="12"/>
        <v>10000000</v>
      </c>
      <c r="P19" s="41">
        <f t="shared" ca="1" si="4"/>
        <v>0.02</v>
      </c>
      <c r="Q19" s="35">
        <f t="shared" ca="1" si="13"/>
        <v>200000</v>
      </c>
      <c r="R19" s="35">
        <f t="shared" si="14"/>
        <v>0</v>
      </c>
      <c r="S19" s="35">
        <v>0</v>
      </c>
      <c r="T19" s="35">
        <v>0</v>
      </c>
      <c r="U19" s="35">
        <v>0</v>
      </c>
      <c r="V19" s="35">
        <f t="shared" ca="1" si="15"/>
        <v>9800000</v>
      </c>
      <c r="W19" s="42">
        <f t="shared" ca="1" si="16"/>
        <v>500000</v>
      </c>
      <c r="X19" s="35">
        <f>IF(AND(INT($A19)&lt;12, $C19&lt;&gt;"Ya"),0,SUMIF($B$14:$B18,$B19&amp;"*",$O$14:$O18)+O19)</f>
        <v>0</v>
      </c>
      <c r="Y19" s="35">
        <f>IF(AND(INT($A19)&lt;12, $C19&lt;&gt;"Ya"),0,SUMIF($B$14:$B18,$B19&amp;"*",$W$14:$W18)+W19)</f>
        <v>0</v>
      </c>
      <c r="Z19" s="35">
        <f>IF(AND(INT($A19)&lt;12, $C19&lt;&gt;"Ya"),0,SUMIF($B$14:$B18, $B19 &amp;"*",$S$14:$S18)+$S19)</f>
        <v>0</v>
      </c>
      <c r="AA19" s="35">
        <f>IF(AND(INT($A19)&lt;12, $C19&lt;&gt;"Ya"),0,SUMIF($B$14:$B18, $B19&amp;"*",$T$14:$T18)+$T19)</f>
        <v>0</v>
      </c>
      <c r="AB19" s="35">
        <f>IF(AND(INT($A19)&lt;12, $C19&lt;&gt;"Ya"),0,SUMIF($B$14:$B18,$B19 &amp; "*",$U$14:$U18)+$U19)</f>
        <v>0</v>
      </c>
      <c r="AC19" s="35">
        <f t="shared" si="17"/>
        <v>0</v>
      </c>
      <c r="AD19" s="35">
        <f t="shared" si="18"/>
        <v>0</v>
      </c>
      <c r="AE19" s="35">
        <f t="shared" si="19"/>
        <v>0</v>
      </c>
      <c r="AF19" s="35">
        <f t="shared" si="8"/>
        <v>0</v>
      </c>
      <c r="AG19" s="35">
        <f>IF(AND(INT($A19)&lt;12, $C19&lt;&gt;"Ya"),0,SUMIF($B$14:$B18, $B19 &amp;"*",$Q$14:$Q18)+$Q19)</f>
        <v>0</v>
      </c>
      <c r="AH19" s="35">
        <f t="shared" si="20"/>
        <v>0</v>
      </c>
      <c r="AI19" s="35">
        <f t="shared" ca="1" si="10"/>
        <v>0</v>
      </c>
    </row>
    <row r="20" spans="1:35" x14ac:dyDescent="0.25">
      <c r="A20" s="36">
        <v>1</v>
      </c>
      <c r="B20" s="37" t="s">
        <v>83</v>
      </c>
      <c r="C20" s="38" t="str">
        <f t="shared" si="0"/>
        <v>Tidak</v>
      </c>
      <c r="D20" s="39" t="str">
        <f t="shared" si="11"/>
        <v>Test 6</v>
      </c>
      <c r="E20" s="39" t="str">
        <f t="shared" si="1"/>
        <v>K/1</v>
      </c>
      <c r="F20" s="54">
        <f t="shared" si="2"/>
        <v>1</v>
      </c>
      <c r="G20" s="35">
        <v>10000000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40">
        <f t="shared" ca="1" si="3"/>
        <v>0</v>
      </c>
      <c r="O20" s="35">
        <f t="shared" ca="1" si="12"/>
        <v>10000000</v>
      </c>
      <c r="P20" s="41">
        <f t="shared" ca="1" si="4"/>
        <v>1.4999999999999999E-2</v>
      </c>
      <c r="Q20" s="35">
        <f t="shared" ca="1" si="13"/>
        <v>150000</v>
      </c>
      <c r="R20" s="35">
        <f t="shared" si="14"/>
        <v>0</v>
      </c>
      <c r="S20" s="35">
        <v>0</v>
      </c>
      <c r="T20" s="35">
        <v>0</v>
      </c>
      <c r="U20" s="35">
        <v>0</v>
      </c>
      <c r="V20" s="35">
        <f t="shared" ca="1" si="15"/>
        <v>9850000</v>
      </c>
      <c r="W20" s="42">
        <f t="shared" ca="1" si="16"/>
        <v>500000</v>
      </c>
      <c r="X20" s="35">
        <f>IF(AND(INT($A20)&lt;12, $C20&lt;&gt;"Ya"),0,SUMIF($B$14:$B19,$B20&amp;"*",$O$14:$O19)+O20)</f>
        <v>0</v>
      </c>
      <c r="Y20" s="35">
        <f>IF(AND(INT($A20)&lt;12, $C20&lt;&gt;"Ya"),0,SUMIF($B$14:$B19,$B20&amp;"*",$W$14:$W19)+W20)</f>
        <v>0</v>
      </c>
      <c r="Z20" s="35">
        <f>IF(AND(INT($A20)&lt;12, $C20&lt;&gt;"Ya"),0,SUMIF($B$14:$B19, $B20 &amp;"*",$S$14:$S19)+$S20)</f>
        <v>0</v>
      </c>
      <c r="AA20" s="35">
        <f>IF(AND(INT($A20)&lt;12, $C20&lt;&gt;"Ya"),0,SUMIF($B$14:$B19, $B20&amp;"*",$T$14:$T19)+$T20)</f>
        <v>0</v>
      </c>
      <c r="AB20" s="35">
        <f>IF(AND(INT($A20)&lt;12, $C20&lt;&gt;"Ya"),0,SUMIF($B$14:$B19,$B20 &amp; "*",$U$14:$U19)+$U20)</f>
        <v>0</v>
      </c>
      <c r="AC20" s="35">
        <f t="shared" si="17"/>
        <v>0</v>
      </c>
      <c r="AD20" s="35">
        <f t="shared" si="18"/>
        <v>0</v>
      </c>
      <c r="AE20" s="35">
        <f t="shared" si="19"/>
        <v>0</v>
      </c>
      <c r="AF20" s="35">
        <f t="shared" si="8"/>
        <v>0</v>
      </c>
      <c r="AG20" s="35">
        <f>IF(AND(INT($A20)&lt;12, $C20&lt;&gt;"Ya"),0,SUMIF($B$14:$B19, $B20 &amp;"*",$Q$14:$Q19)+$Q20)</f>
        <v>0</v>
      </c>
      <c r="AH20" s="35">
        <f t="shared" si="20"/>
        <v>0</v>
      </c>
      <c r="AI20" s="35">
        <f t="shared" ca="1" si="10"/>
        <v>0</v>
      </c>
    </row>
    <row r="21" spans="1:35" x14ac:dyDescent="0.25">
      <c r="A21" s="36">
        <v>1</v>
      </c>
      <c r="B21" s="37" t="s">
        <v>84</v>
      </c>
      <c r="C21" s="38" t="str">
        <f t="shared" si="0"/>
        <v>Tidak</v>
      </c>
      <c r="D21" s="39" t="str">
        <f t="shared" si="11"/>
        <v>Test 7</v>
      </c>
      <c r="E21" s="39" t="str">
        <f t="shared" si="1"/>
        <v>K/2</v>
      </c>
      <c r="F21" s="54">
        <f t="shared" si="2"/>
        <v>1</v>
      </c>
      <c r="G21" s="35">
        <v>10000000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40">
        <f t="shared" ca="1" si="3"/>
        <v>152284.26395939087</v>
      </c>
      <c r="O21" s="35">
        <f t="shared" ca="1" si="12"/>
        <v>10152284.263959391</v>
      </c>
      <c r="P21" s="41">
        <f t="shared" ca="1" si="4"/>
        <v>1.4999999999999999E-2</v>
      </c>
      <c r="Q21" s="35">
        <f t="shared" ca="1" si="13"/>
        <v>152284.26395939087</v>
      </c>
      <c r="R21" s="35">
        <f t="shared" si="14"/>
        <v>0</v>
      </c>
      <c r="S21" s="35">
        <v>0</v>
      </c>
      <c r="T21" s="35">
        <v>0</v>
      </c>
      <c r="U21" s="35">
        <v>0</v>
      </c>
      <c r="V21" s="35">
        <f t="shared" ca="1" si="15"/>
        <v>10000000</v>
      </c>
      <c r="W21" s="42">
        <f t="shared" ca="1" si="16"/>
        <v>500000</v>
      </c>
      <c r="X21" s="35">
        <f>IF(AND(INT($A21)&lt;12, $C21&lt;&gt;"Ya"),0,SUMIF($B$14:$B20,$B21&amp;"*",$O$14:$O20)+O21)</f>
        <v>0</v>
      </c>
      <c r="Y21" s="35">
        <f>IF(AND(INT($A21)&lt;12, $C21&lt;&gt;"Ya"),0,SUMIF($B$14:$B20,$B21&amp;"*",$W$14:$W20)+W21)</f>
        <v>0</v>
      </c>
      <c r="Z21" s="35">
        <f>IF(AND(INT($A21)&lt;12, $C21&lt;&gt;"Ya"),0,SUMIF($B$14:$B20, $B21 &amp;"*",$S$14:$S20)+$S21)</f>
        <v>0</v>
      </c>
      <c r="AA21" s="35">
        <f>IF(AND(INT($A21)&lt;12, $C21&lt;&gt;"Ya"),0,SUMIF($B$14:$B20, $B21&amp;"*",$T$14:$T20)+$T21)</f>
        <v>0</v>
      </c>
      <c r="AB21" s="35">
        <f>IF(AND(INT($A21)&lt;12, $C21&lt;&gt;"Ya"),0,SUMIF($B$14:$B20,$B21 &amp; "*",$U$14:$U20)+$U21)</f>
        <v>0</v>
      </c>
      <c r="AC21" s="35">
        <f t="shared" si="17"/>
        <v>0</v>
      </c>
      <c r="AD21" s="35">
        <f t="shared" si="18"/>
        <v>0</v>
      </c>
      <c r="AE21" s="35">
        <f t="shared" si="19"/>
        <v>0</v>
      </c>
      <c r="AF21" s="35">
        <f t="shared" si="8"/>
        <v>0</v>
      </c>
      <c r="AG21" s="35">
        <f>IF(AND(INT($A21)&lt;12, $C21&lt;&gt;"Ya"),0,SUMIF($B$14:$B20, $B21 &amp;"*",$Q$14:$Q20)+$Q21)</f>
        <v>0</v>
      </c>
      <c r="AH21" s="35">
        <f t="shared" si="20"/>
        <v>0</v>
      </c>
      <c r="AI21" s="35">
        <f t="shared" ca="1" si="10"/>
        <v>0</v>
      </c>
    </row>
    <row r="22" spans="1:35" x14ac:dyDescent="0.25">
      <c r="A22" s="36">
        <v>1</v>
      </c>
      <c r="B22" s="37" t="s">
        <v>85</v>
      </c>
      <c r="C22" s="38" t="str">
        <f t="shared" si="0"/>
        <v>Tidak</v>
      </c>
      <c r="D22" s="39" t="str">
        <f t="shared" si="11"/>
        <v>Test 8</v>
      </c>
      <c r="E22" s="39" t="str">
        <f t="shared" si="1"/>
        <v>K/3</v>
      </c>
      <c r="F22" s="54">
        <f t="shared" si="2"/>
        <v>1.2</v>
      </c>
      <c r="G22" s="35">
        <v>10000000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40">
        <f t="shared" ca="1" si="3"/>
        <v>183299.38900203662</v>
      </c>
      <c r="O22" s="35">
        <f t="shared" ca="1" si="12"/>
        <v>10183299.389002036</v>
      </c>
      <c r="P22" s="41">
        <f t="shared" ca="1" si="4"/>
        <v>1.4999999999999999E-2</v>
      </c>
      <c r="Q22" s="35">
        <f t="shared" ca="1" si="13"/>
        <v>183299.38900203662</v>
      </c>
      <c r="R22" s="35">
        <f t="shared" si="14"/>
        <v>0</v>
      </c>
      <c r="S22" s="35">
        <v>0</v>
      </c>
      <c r="T22" s="35">
        <v>0</v>
      </c>
      <c r="U22" s="35">
        <v>0</v>
      </c>
      <c r="V22" s="35">
        <f t="shared" ca="1" si="15"/>
        <v>10000000</v>
      </c>
      <c r="W22" s="42">
        <f t="shared" ca="1" si="16"/>
        <v>500000</v>
      </c>
      <c r="X22" s="35">
        <f>IF(AND(INT($A22)&lt;12, $C22&lt;&gt;"Ya"),0,SUMIF($B$14:$B21,$B22&amp;"*",$O$14:$O21)+O22)</f>
        <v>0</v>
      </c>
      <c r="Y22" s="35">
        <f>IF(AND(INT($A22)&lt;12, $C22&lt;&gt;"Ya"),0,SUMIF($B$14:$B21,$B22&amp;"*",$W$14:$W21)+W22)</f>
        <v>0</v>
      </c>
      <c r="Z22" s="35">
        <f>IF(AND(INT($A22)&lt;12, $C22&lt;&gt;"Ya"),0,SUMIF($B$14:$B21, $B22 &amp;"*",$S$14:$S21)+$S22)</f>
        <v>0</v>
      </c>
      <c r="AA22" s="35">
        <f>IF(AND(INT($A22)&lt;12, $C22&lt;&gt;"Ya"),0,SUMIF($B$14:$B21, $B22&amp;"*",$T$14:$T21)+$T22)</f>
        <v>0</v>
      </c>
      <c r="AB22" s="35">
        <f>IF(AND(INT($A22)&lt;12, $C22&lt;&gt;"Ya"),0,SUMIF($B$14:$B21,$B22 &amp; "*",$U$14:$U21)+$U22)</f>
        <v>0</v>
      </c>
      <c r="AC22" s="35">
        <f t="shared" si="17"/>
        <v>0</v>
      </c>
      <c r="AD22" s="35">
        <f t="shared" si="18"/>
        <v>0</v>
      </c>
      <c r="AE22" s="35">
        <f t="shared" si="19"/>
        <v>0</v>
      </c>
      <c r="AF22" s="35">
        <f t="shared" si="8"/>
        <v>0</v>
      </c>
      <c r="AG22" s="35">
        <f>IF(AND(INT($A22)&lt;12, $C22&lt;&gt;"Ya"),0,SUMIF($B$14:$B21, $B22 &amp;"*",$Q$14:$Q21)+$Q22)</f>
        <v>0</v>
      </c>
      <c r="AH22" s="35">
        <f t="shared" si="20"/>
        <v>0</v>
      </c>
      <c r="AI22" s="35">
        <f t="shared" ca="1" si="10"/>
        <v>0</v>
      </c>
    </row>
    <row r="23" spans="1:35" x14ac:dyDescent="0.25">
      <c r="A23" s="36">
        <v>2</v>
      </c>
      <c r="B23" s="37" t="s">
        <v>67</v>
      </c>
      <c r="C23" s="38" t="str">
        <f t="shared" si="0"/>
        <v>Tidak</v>
      </c>
      <c r="D23" s="39" t="str">
        <f t="shared" si="11"/>
        <v>Test 1</v>
      </c>
      <c r="E23" s="39" t="str">
        <f t="shared" si="1"/>
        <v>TK/0</v>
      </c>
      <c r="F23" s="54">
        <f t="shared" si="2"/>
        <v>1</v>
      </c>
      <c r="G23" s="35">
        <v>10000000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40">
        <f t="shared" ca="1" si="3"/>
        <v>0</v>
      </c>
      <c r="O23" s="35">
        <f t="shared" ca="1" si="12"/>
        <v>10000000</v>
      </c>
      <c r="P23" s="41">
        <f t="shared" ca="1" si="4"/>
        <v>0.02</v>
      </c>
      <c r="Q23" s="35">
        <f t="shared" ca="1" si="13"/>
        <v>200000</v>
      </c>
      <c r="R23" s="35">
        <f t="shared" si="14"/>
        <v>0</v>
      </c>
      <c r="S23" s="35">
        <v>0</v>
      </c>
      <c r="T23" s="35">
        <v>0</v>
      </c>
      <c r="U23" s="35">
        <v>0</v>
      </c>
      <c r="V23" s="35">
        <f t="shared" ca="1" si="15"/>
        <v>9800000</v>
      </c>
      <c r="W23" s="42">
        <f t="shared" ca="1" si="16"/>
        <v>500000</v>
      </c>
      <c r="X23" s="35">
        <f>IF(AND(INT($A23)&lt;12, $C23&lt;&gt;"Ya"),0,SUMIF($B$14:$B22,$B23&amp;"*",$O$14:$O22)+O23)</f>
        <v>0</v>
      </c>
      <c r="Y23" s="35">
        <f>IF(AND(INT($A23)&lt;12, $C23&lt;&gt;"Ya"),0,SUMIF($B$14:$B22,$B23&amp;"*",$W$14:$W22)+W23)</f>
        <v>0</v>
      </c>
      <c r="Z23" s="35">
        <f>IF(AND(INT($A23)&lt;12, $C23&lt;&gt;"Ya"),0,SUMIF($B$14:$B22, $B23 &amp;"*",$S$14:$S22)+$S23)</f>
        <v>0</v>
      </c>
      <c r="AA23" s="35">
        <f>IF(AND(INT($A23)&lt;12, $C23&lt;&gt;"Ya"),0,SUMIF($B$14:$B22, $B23&amp;"*",$T$14:$T22)+$T23)</f>
        <v>0</v>
      </c>
      <c r="AB23" s="35">
        <f>IF(AND(INT($A23)&lt;12, $C23&lt;&gt;"Ya"),0,SUMIF($B$14:$B22,$B23 &amp; "*",$U$14:$U22)+$U23)</f>
        <v>0</v>
      </c>
      <c r="AC23" s="35">
        <f t="shared" si="17"/>
        <v>0</v>
      </c>
      <c r="AD23" s="35">
        <f t="shared" si="18"/>
        <v>0</v>
      </c>
      <c r="AE23" s="35">
        <f t="shared" si="19"/>
        <v>0</v>
      </c>
      <c r="AF23" s="35">
        <f t="shared" si="8"/>
        <v>0</v>
      </c>
      <c r="AG23" s="35">
        <f>IF(AND(INT($A23)&lt;12, $C23&lt;&gt;"Ya"),0,SUMIF($B$14:$B22, $B23 &amp;"*",$Q$14:$Q22)+$Q23)</f>
        <v>0</v>
      </c>
      <c r="AH23" s="35">
        <f t="shared" si="20"/>
        <v>0</v>
      </c>
      <c r="AI23" s="35">
        <f t="shared" ca="1" si="10"/>
        <v>0</v>
      </c>
    </row>
    <row r="24" spans="1:35" x14ac:dyDescent="0.25">
      <c r="A24" s="36">
        <v>2</v>
      </c>
      <c r="B24" s="37" t="s">
        <v>71</v>
      </c>
      <c r="C24" s="38" t="str">
        <f t="shared" si="0"/>
        <v>Tidak</v>
      </c>
      <c r="D24" s="39" t="str">
        <f t="shared" si="11"/>
        <v>Test 2</v>
      </c>
      <c r="E24" s="39" t="str">
        <f t="shared" si="1"/>
        <v>TK/1</v>
      </c>
      <c r="F24" s="54">
        <f t="shared" si="2"/>
        <v>1</v>
      </c>
      <c r="G24" s="35">
        <v>10000000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40">
        <f t="shared" ca="1" si="3"/>
        <v>0</v>
      </c>
      <c r="O24" s="35">
        <f t="shared" ca="1" si="12"/>
        <v>10000000</v>
      </c>
      <c r="P24" s="41">
        <f t="shared" ca="1" si="4"/>
        <v>0.02</v>
      </c>
      <c r="Q24" s="35">
        <f t="shared" ca="1" si="13"/>
        <v>200000</v>
      </c>
      <c r="R24" s="35">
        <f t="shared" si="14"/>
        <v>0</v>
      </c>
      <c r="S24" s="35">
        <v>0</v>
      </c>
      <c r="T24" s="35">
        <v>0</v>
      </c>
      <c r="U24" s="35">
        <v>0</v>
      </c>
      <c r="V24" s="35">
        <f t="shared" ca="1" si="15"/>
        <v>9800000</v>
      </c>
      <c r="W24" s="42">
        <f t="shared" ca="1" si="16"/>
        <v>500000</v>
      </c>
      <c r="X24" s="35">
        <f>IF(AND(INT($A24)&lt;12, $C24&lt;&gt;"Ya"),0,SUMIF($B$14:$B23,$B24&amp;"*",$O$14:$O23)+O24)</f>
        <v>0</v>
      </c>
      <c r="Y24" s="35">
        <f>IF(AND(INT($A24)&lt;12, $C24&lt;&gt;"Ya"),0,SUMIF($B$14:$B23,$B24&amp;"*",$W$14:$W23)+W24)</f>
        <v>0</v>
      </c>
      <c r="Z24" s="35">
        <f>IF(AND(INT($A24)&lt;12, $C24&lt;&gt;"Ya"),0,SUMIF($B$14:$B23, $B24 &amp;"*",$S$14:$S23)+$S24)</f>
        <v>0</v>
      </c>
      <c r="AA24" s="35">
        <f>IF(AND(INT($A24)&lt;12, $C24&lt;&gt;"Ya"),0,SUMIF($B$14:$B23, $B24&amp;"*",$T$14:$T23)+$T24)</f>
        <v>0</v>
      </c>
      <c r="AB24" s="35">
        <f>IF(AND(INT($A24)&lt;12, $C24&lt;&gt;"Ya"),0,SUMIF($B$14:$B23,$B24 &amp; "*",$U$14:$U23)+$U24)</f>
        <v>0</v>
      </c>
      <c r="AC24" s="35">
        <f t="shared" si="17"/>
        <v>0</v>
      </c>
      <c r="AD24" s="35">
        <f t="shared" si="18"/>
        <v>0</v>
      </c>
      <c r="AE24" s="35">
        <f t="shared" si="19"/>
        <v>0</v>
      </c>
      <c r="AF24" s="35">
        <f t="shared" si="8"/>
        <v>0</v>
      </c>
      <c r="AG24" s="35">
        <f>IF(AND(INT($A24)&lt;12, $C24&lt;&gt;"Ya"),0,SUMIF($B$14:$B23, $B24 &amp;"*",$Q$14:$Q23)+$Q24)</f>
        <v>0</v>
      </c>
      <c r="AH24" s="35">
        <f t="shared" si="20"/>
        <v>0</v>
      </c>
      <c r="AI24" s="35">
        <f t="shared" ca="1" si="10"/>
        <v>0</v>
      </c>
    </row>
    <row r="25" spans="1:35" x14ac:dyDescent="0.25">
      <c r="A25" s="36">
        <v>2</v>
      </c>
      <c r="B25" s="37" t="s">
        <v>80</v>
      </c>
      <c r="C25" s="38" t="str">
        <f t="shared" si="0"/>
        <v>Tidak</v>
      </c>
      <c r="D25" s="39" t="str">
        <f t="shared" si="11"/>
        <v>Test 3</v>
      </c>
      <c r="E25" s="39" t="str">
        <f t="shared" si="1"/>
        <v>TK/2</v>
      </c>
      <c r="F25" s="54">
        <f t="shared" si="2"/>
        <v>1</v>
      </c>
      <c r="G25" s="35">
        <v>10000000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40">
        <f t="shared" ca="1" si="3"/>
        <v>0</v>
      </c>
      <c r="O25" s="35">
        <f t="shared" ca="1" si="12"/>
        <v>10000000</v>
      </c>
      <c r="P25" s="41">
        <f t="shared" ca="1" si="4"/>
        <v>1.4999999999999999E-2</v>
      </c>
      <c r="Q25" s="35">
        <f t="shared" ca="1" si="13"/>
        <v>150000</v>
      </c>
      <c r="R25" s="35">
        <f t="shared" si="14"/>
        <v>0</v>
      </c>
      <c r="S25" s="35">
        <v>0</v>
      </c>
      <c r="T25" s="35">
        <v>0</v>
      </c>
      <c r="U25" s="35">
        <v>0</v>
      </c>
      <c r="V25" s="35">
        <f t="shared" ca="1" si="15"/>
        <v>9850000</v>
      </c>
      <c r="W25" s="42">
        <f t="shared" ca="1" si="16"/>
        <v>500000</v>
      </c>
      <c r="X25" s="35">
        <f>IF(AND(INT($A25)&lt;12, $C25&lt;&gt;"Ya"),0,SUMIF($B$14:$B24,$B25&amp;"*",$O$14:$O24)+O25)</f>
        <v>0</v>
      </c>
      <c r="Y25" s="35">
        <f>IF(AND(INT($A25)&lt;12, $C25&lt;&gt;"Ya"),0,SUMIF($B$14:$B24,$B25&amp;"*",$W$14:$W24)+W25)</f>
        <v>0</v>
      </c>
      <c r="Z25" s="35">
        <f>IF(AND(INT($A25)&lt;12, $C25&lt;&gt;"Ya"),0,SUMIF($B$14:$B24, $B25 &amp;"*",$S$14:$S24)+$S25)</f>
        <v>0</v>
      </c>
      <c r="AA25" s="35">
        <f>IF(AND(INT($A25)&lt;12, $C25&lt;&gt;"Ya"),0,SUMIF($B$14:$B24, $B25&amp;"*",$T$14:$T24)+$T25)</f>
        <v>0</v>
      </c>
      <c r="AB25" s="35">
        <f>IF(AND(INT($A25)&lt;12, $C25&lt;&gt;"Ya"),0,SUMIF($B$14:$B24,$B25 &amp; "*",$U$14:$U24)+$U25)</f>
        <v>0</v>
      </c>
      <c r="AC25" s="35">
        <f t="shared" si="17"/>
        <v>0</v>
      </c>
      <c r="AD25" s="35">
        <f t="shared" si="18"/>
        <v>0</v>
      </c>
      <c r="AE25" s="35">
        <f t="shared" si="19"/>
        <v>0</v>
      </c>
      <c r="AF25" s="35">
        <f t="shared" si="8"/>
        <v>0</v>
      </c>
      <c r="AG25" s="35">
        <f>IF(AND(INT($A25)&lt;12, $C25&lt;&gt;"Ya"),0,SUMIF($B$14:$B24, $B25 &amp;"*",$Q$14:$Q24)+$Q25)</f>
        <v>0</v>
      </c>
      <c r="AH25" s="35">
        <f t="shared" si="20"/>
        <v>0</v>
      </c>
      <c r="AI25" s="35">
        <f t="shared" ca="1" si="10"/>
        <v>0</v>
      </c>
    </row>
    <row r="26" spans="1:35" x14ac:dyDescent="0.25">
      <c r="A26" s="36">
        <v>2</v>
      </c>
      <c r="B26" s="37" t="s">
        <v>81</v>
      </c>
      <c r="C26" s="38" t="str">
        <f t="shared" si="0"/>
        <v>Tidak</v>
      </c>
      <c r="D26" s="39" t="str">
        <f t="shared" si="11"/>
        <v>Test 4</v>
      </c>
      <c r="E26" s="39" t="str">
        <f t="shared" si="1"/>
        <v>TK/3</v>
      </c>
      <c r="F26" s="54">
        <f t="shared" si="2"/>
        <v>1</v>
      </c>
      <c r="G26" s="35">
        <v>10000000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40">
        <f t="shared" ca="1" si="3"/>
        <v>0</v>
      </c>
      <c r="O26" s="35">
        <f t="shared" ca="1" si="12"/>
        <v>10000000</v>
      </c>
      <c r="P26" s="41">
        <f t="shared" ca="1" si="4"/>
        <v>1.4999999999999999E-2</v>
      </c>
      <c r="Q26" s="35">
        <f t="shared" ca="1" si="13"/>
        <v>150000</v>
      </c>
      <c r="R26" s="35">
        <f t="shared" si="14"/>
        <v>0</v>
      </c>
      <c r="S26" s="35">
        <v>0</v>
      </c>
      <c r="T26" s="35">
        <v>0</v>
      </c>
      <c r="U26" s="35">
        <v>0</v>
      </c>
      <c r="V26" s="35">
        <f t="shared" ca="1" si="15"/>
        <v>9850000</v>
      </c>
      <c r="W26" s="42">
        <f t="shared" ca="1" si="16"/>
        <v>500000</v>
      </c>
      <c r="X26" s="35">
        <f>IF(AND(INT($A26)&lt;12, $C26&lt;&gt;"Ya"),0,SUMIF($B$14:$B25,$B26&amp;"*",$O$14:$O25)+O26)</f>
        <v>0</v>
      </c>
      <c r="Y26" s="35">
        <f>IF(AND(INT($A26)&lt;12, $C26&lt;&gt;"Ya"),0,SUMIF($B$14:$B25,$B26&amp;"*",$W$14:$W25)+W26)</f>
        <v>0</v>
      </c>
      <c r="Z26" s="35">
        <f>IF(AND(INT($A26)&lt;12, $C26&lt;&gt;"Ya"),0,SUMIF($B$14:$B25, $B26 &amp;"*",$S$14:$S25)+$S26)</f>
        <v>0</v>
      </c>
      <c r="AA26" s="35">
        <f>IF(AND(INT($A26)&lt;12, $C26&lt;&gt;"Ya"),0,SUMIF($B$14:$B25, $B26&amp;"*",$T$14:$T25)+$T26)</f>
        <v>0</v>
      </c>
      <c r="AB26" s="35">
        <f>IF(AND(INT($A26)&lt;12, $C26&lt;&gt;"Ya"),0,SUMIF($B$14:$B25,$B26 &amp; "*",$U$14:$U25)+$U26)</f>
        <v>0</v>
      </c>
      <c r="AC26" s="35">
        <f t="shared" si="17"/>
        <v>0</v>
      </c>
      <c r="AD26" s="35">
        <f t="shared" si="18"/>
        <v>0</v>
      </c>
      <c r="AE26" s="35">
        <f t="shared" si="19"/>
        <v>0</v>
      </c>
      <c r="AF26" s="35">
        <f t="shared" si="8"/>
        <v>0</v>
      </c>
      <c r="AG26" s="35">
        <f>IF(AND(INT($A26)&lt;12, $C26&lt;&gt;"Ya"),0,SUMIF($B$14:$B25, $B26 &amp;"*",$Q$14:$Q25)+$Q26)</f>
        <v>0</v>
      </c>
      <c r="AH26" s="35">
        <f t="shared" si="20"/>
        <v>0</v>
      </c>
      <c r="AI26" s="35">
        <f t="shared" ca="1" si="10"/>
        <v>0</v>
      </c>
    </row>
    <row r="27" spans="1:35" x14ac:dyDescent="0.25">
      <c r="A27" s="36">
        <v>2</v>
      </c>
      <c r="B27" s="37" t="s">
        <v>82</v>
      </c>
      <c r="C27" s="38" t="str">
        <f t="shared" si="0"/>
        <v>Tidak</v>
      </c>
      <c r="D27" s="39" t="str">
        <f t="shared" si="11"/>
        <v>Test 5</v>
      </c>
      <c r="E27" s="39" t="str">
        <f t="shared" si="1"/>
        <v>K/0</v>
      </c>
      <c r="F27" s="54">
        <f t="shared" si="2"/>
        <v>1</v>
      </c>
      <c r="G27" s="35">
        <v>10000000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40">
        <f t="shared" ca="1" si="3"/>
        <v>0</v>
      </c>
      <c r="O27" s="35">
        <f t="shared" ca="1" si="12"/>
        <v>10000000</v>
      </c>
      <c r="P27" s="41">
        <f t="shared" ca="1" si="4"/>
        <v>0.02</v>
      </c>
      <c r="Q27" s="35">
        <f t="shared" ca="1" si="13"/>
        <v>200000</v>
      </c>
      <c r="R27" s="35">
        <f t="shared" si="14"/>
        <v>0</v>
      </c>
      <c r="S27" s="35">
        <v>0</v>
      </c>
      <c r="T27" s="35">
        <v>0</v>
      </c>
      <c r="U27" s="35">
        <v>0</v>
      </c>
      <c r="V27" s="35">
        <f t="shared" ca="1" si="15"/>
        <v>9800000</v>
      </c>
      <c r="W27" s="42">
        <f t="shared" ca="1" si="16"/>
        <v>500000</v>
      </c>
      <c r="X27" s="35">
        <f>IF(AND(INT($A27)&lt;12, $C27&lt;&gt;"Ya"),0,SUMIF($B$14:$B26,$B27&amp;"*",$O$14:$O26)+O27)</f>
        <v>0</v>
      </c>
      <c r="Y27" s="35">
        <f>IF(AND(INT($A27)&lt;12, $C27&lt;&gt;"Ya"),0,SUMIF($B$14:$B26,$B27&amp;"*",$W$14:$W26)+W27)</f>
        <v>0</v>
      </c>
      <c r="Z27" s="35">
        <f>IF(AND(INT($A27)&lt;12, $C27&lt;&gt;"Ya"),0,SUMIF($B$14:$B26, $B27 &amp;"*",$S$14:$S26)+$S27)</f>
        <v>0</v>
      </c>
      <c r="AA27" s="35">
        <f>IF(AND(INT($A27)&lt;12, $C27&lt;&gt;"Ya"),0,SUMIF($B$14:$B26, $B27&amp;"*",$T$14:$T26)+$T27)</f>
        <v>0</v>
      </c>
      <c r="AB27" s="35">
        <f>IF(AND(INT($A27)&lt;12, $C27&lt;&gt;"Ya"),0,SUMIF($B$14:$B26,$B27 &amp; "*",$U$14:$U26)+$U27)</f>
        <v>0</v>
      </c>
      <c r="AC27" s="35">
        <f t="shared" si="17"/>
        <v>0</v>
      </c>
      <c r="AD27" s="35">
        <f t="shared" si="18"/>
        <v>0</v>
      </c>
      <c r="AE27" s="35">
        <f t="shared" si="19"/>
        <v>0</v>
      </c>
      <c r="AF27" s="35">
        <f t="shared" si="8"/>
        <v>0</v>
      </c>
      <c r="AG27" s="35">
        <f>IF(AND(INT($A27)&lt;12, $C27&lt;&gt;"Ya"),0,SUMIF($B$14:$B26, $B27 &amp;"*",$Q$14:$Q26)+$Q27)</f>
        <v>0</v>
      </c>
      <c r="AH27" s="35">
        <f t="shared" si="20"/>
        <v>0</v>
      </c>
      <c r="AI27" s="35">
        <f t="shared" ca="1" si="10"/>
        <v>0</v>
      </c>
    </row>
    <row r="28" spans="1:35" x14ac:dyDescent="0.25">
      <c r="A28" s="36">
        <v>2</v>
      </c>
      <c r="B28" s="37" t="s">
        <v>83</v>
      </c>
      <c r="C28" s="38" t="str">
        <f t="shared" si="0"/>
        <v>Tidak</v>
      </c>
      <c r="D28" s="39" t="str">
        <f t="shared" si="11"/>
        <v>Test 6</v>
      </c>
      <c r="E28" s="39" t="str">
        <f t="shared" si="1"/>
        <v>K/1</v>
      </c>
      <c r="F28" s="54">
        <f t="shared" si="2"/>
        <v>1</v>
      </c>
      <c r="G28" s="35">
        <v>10000000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40">
        <f t="shared" ca="1" si="3"/>
        <v>0</v>
      </c>
      <c r="O28" s="35">
        <f t="shared" ca="1" si="12"/>
        <v>10000000</v>
      </c>
      <c r="P28" s="41">
        <f t="shared" ca="1" si="4"/>
        <v>1.4999999999999999E-2</v>
      </c>
      <c r="Q28" s="35">
        <f t="shared" ca="1" si="13"/>
        <v>150000</v>
      </c>
      <c r="R28" s="35">
        <f t="shared" si="14"/>
        <v>0</v>
      </c>
      <c r="S28" s="35">
        <v>0</v>
      </c>
      <c r="T28" s="35">
        <v>0</v>
      </c>
      <c r="U28" s="35">
        <v>0</v>
      </c>
      <c r="V28" s="35">
        <f t="shared" ca="1" si="15"/>
        <v>9850000</v>
      </c>
      <c r="W28" s="42">
        <f t="shared" ca="1" si="16"/>
        <v>500000</v>
      </c>
      <c r="X28" s="35">
        <f>IF(AND(INT($A28)&lt;12, $C28&lt;&gt;"Ya"),0,SUMIF($B$14:$B27,$B28&amp;"*",$O$14:$O27)+O28)</f>
        <v>0</v>
      </c>
      <c r="Y28" s="35">
        <f>IF(AND(INT($A28)&lt;12, $C28&lt;&gt;"Ya"),0,SUMIF($B$14:$B27,$B28&amp;"*",$W$14:$W27)+W28)</f>
        <v>0</v>
      </c>
      <c r="Z28" s="35">
        <f>IF(AND(INT($A28)&lt;12, $C28&lt;&gt;"Ya"),0,SUMIF($B$14:$B27, $B28 &amp;"*",$S$14:$S27)+$S28)</f>
        <v>0</v>
      </c>
      <c r="AA28" s="35">
        <f>IF(AND(INT($A28)&lt;12, $C28&lt;&gt;"Ya"),0,SUMIF($B$14:$B27, $B28&amp;"*",$T$14:$T27)+$T28)</f>
        <v>0</v>
      </c>
      <c r="AB28" s="35">
        <f>IF(AND(INT($A28)&lt;12, $C28&lt;&gt;"Ya"),0,SUMIF($B$14:$B27,$B28 &amp; "*",$U$14:$U27)+$U28)</f>
        <v>0</v>
      </c>
      <c r="AC28" s="35">
        <f t="shared" si="17"/>
        <v>0</v>
      </c>
      <c r="AD28" s="35">
        <f t="shared" si="18"/>
        <v>0</v>
      </c>
      <c r="AE28" s="35">
        <f t="shared" si="19"/>
        <v>0</v>
      </c>
      <c r="AF28" s="35">
        <f t="shared" si="8"/>
        <v>0</v>
      </c>
      <c r="AG28" s="35">
        <f>IF(AND(INT($A28)&lt;12, $C28&lt;&gt;"Ya"),0,SUMIF($B$14:$B27, $B28 &amp;"*",$Q$14:$Q27)+$Q28)</f>
        <v>0</v>
      </c>
      <c r="AH28" s="35">
        <f t="shared" si="20"/>
        <v>0</v>
      </c>
      <c r="AI28" s="35">
        <f t="shared" ca="1" si="10"/>
        <v>0</v>
      </c>
    </row>
    <row r="29" spans="1:35" x14ac:dyDescent="0.25">
      <c r="A29" s="36">
        <v>2</v>
      </c>
      <c r="B29" s="37" t="s">
        <v>84</v>
      </c>
      <c r="C29" s="38" t="str">
        <f t="shared" si="0"/>
        <v>Tidak</v>
      </c>
      <c r="D29" s="39" t="str">
        <f t="shared" si="11"/>
        <v>Test 7</v>
      </c>
      <c r="E29" s="39" t="str">
        <f t="shared" si="1"/>
        <v>K/2</v>
      </c>
      <c r="F29" s="54">
        <f t="shared" si="2"/>
        <v>1</v>
      </c>
      <c r="G29" s="35">
        <v>10000000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40">
        <f t="shared" ca="1" si="3"/>
        <v>152284.26395939087</v>
      </c>
      <c r="O29" s="35">
        <f t="shared" ca="1" si="12"/>
        <v>10152284.263959391</v>
      </c>
      <c r="P29" s="41">
        <f t="shared" ca="1" si="4"/>
        <v>1.4999999999999999E-2</v>
      </c>
      <c r="Q29" s="35">
        <f t="shared" ca="1" si="13"/>
        <v>152284.26395939087</v>
      </c>
      <c r="R29" s="35">
        <f t="shared" si="14"/>
        <v>0</v>
      </c>
      <c r="S29" s="35">
        <v>0</v>
      </c>
      <c r="T29" s="35">
        <v>0</v>
      </c>
      <c r="U29" s="35">
        <v>0</v>
      </c>
      <c r="V29" s="35">
        <f t="shared" ca="1" si="15"/>
        <v>10000000</v>
      </c>
      <c r="W29" s="42">
        <f t="shared" ca="1" si="16"/>
        <v>500000</v>
      </c>
      <c r="X29" s="35">
        <f>IF(AND(INT($A29)&lt;12, $C29&lt;&gt;"Ya"),0,SUMIF($B$14:$B28,$B29&amp;"*",$O$14:$O28)+O29)</f>
        <v>0</v>
      </c>
      <c r="Y29" s="35">
        <f>IF(AND(INT($A29)&lt;12, $C29&lt;&gt;"Ya"),0,SUMIF($B$14:$B28,$B29&amp;"*",$W$14:$W28)+W29)</f>
        <v>0</v>
      </c>
      <c r="Z29" s="35">
        <f>IF(AND(INT($A29)&lt;12, $C29&lt;&gt;"Ya"),0,SUMIF($B$14:$B28, $B29 &amp;"*",$S$14:$S28)+$S29)</f>
        <v>0</v>
      </c>
      <c r="AA29" s="35">
        <f>IF(AND(INT($A29)&lt;12, $C29&lt;&gt;"Ya"),0,SUMIF($B$14:$B28, $B29&amp;"*",$T$14:$T28)+$T29)</f>
        <v>0</v>
      </c>
      <c r="AB29" s="35">
        <f>IF(AND(INT($A29)&lt;12, $C29&lt;&gt;"Ya"),0,SUMIF($B$14:$B28,$B29 &amp; "*",$U$14:$U28)+$U29)</f>
        <v>0</v>
      </c>
      <c r="AC29" s="35">
        <f t="shared" si="17"/>
        <v>0</v>
      </c>
      <c r="AD29" s="35">
        <f t="shared" si="18"/>
        <v>0</v>
      </c>
      <c r="AE29" s="35">
        <f t="shared" si="19"/>
        <v>0</v>
      </c>
      <c r="AF29" s="35">
        <f t="shared" si="8"/>
        <v>0</v>
      </c>
      <c r="AG29" s="35">
        <f>IF(AND(INT($A29)&lt;12, $C29&lt;&gt;"Ya"),0,SUMIF($B$14:$B28, $B29 &amp;"*",$Q$14:$Q28)+$Q29)</f>
        <v>0</v>
      </c>
      <c r="AH29" s="35">
        <f t="shared" si="20"/>
        <v>0</v>
      </c>
      <c r="AI29" s="35">
        <f t="shared" ca="1" si="10"/>
        <v>0</v>
      </c>
    </row>
    <row r="30" spans="1:35" x14ac:dyDescent="0.25">
      <c r="A30" s="36">
        <v>2</v>
      </c>
      <c r="B30" s="37" t="s">
        <v>85</v>
      </c>
      <c r="C30" s="38" t="str">
        <f t="shared" si="0"/>
        <v>Tidak</v>
      </c>
      <c r="D30" s="39" t="str">
        <f t="shared" si="11"/>
        <v>Test 8</v>
      </c>
      <c r="E30" s="39" t="str">
        <f t="shared" si="1"/>
        <v>K/3</v>
      </c>
      <c r="F30" s="54">
        <f t="shared" si="2"/>
        <v>1.2</v>
      </c>
      <c r="G30" s="35">
        <v>10000000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40">
        <f t="shared" ca="1" si="3"/>
        <v>183299.38900203662</v>
      </c>
      <c r="O30" s="35">
        <f t="shared" ca="1" si="12"/>
        <v>10183299.389002036</v>
      </c>
      <c r="P30" s="41">
        <f t="shared" ca="1" si="4"/>
        <v>1.4999999999999999E-2</v>
      </c>
      <c r="Q30" s="35">
        <f t="shared" ca="1" si="13"/>
        <v>183299.38900203662</v>
      </c>
      <c r="R30" s="35">
        <f t="shared" si="14"/>
        <v>0</v>
      </c>
      <c r="S30" s="35">
        <v>0</v>
      </c>
      <c r="T30" s="35">
        <v>0</v>
      </c>
      <c r="U30" s="35">
        <v>0</v>
      </c>
      <c r="V30" s="35">
        <f t="shared" ca="1" si="15"/>
        <v>10000000</v>
      </c>
      <c r="W30" s="42">
        <f t="shared" ca="1" si="16"/>
        <v>500000</v>
      </c>
      <c r="X30" s="35">
        <f>IF(AND(INT($A30)&lt;12, $C30&lt;&gt;"Ya"),0,SUMIF($B$14:$B29,$B30&amp;"*",$O$14:$O29)+O30)</f>
        <v>0</v>
      </c>
      <c r="Y30" s="35">
        <f>IF(AND(INT($A30)&lt;12, $C30&lt;&gt;"Ya"),0,SUMIF($B$14:$B29,$B30&amp;"*",$W$14:$W29)+W30)</f>
        <v>0</v>
      </c>
      <c r="Z30" s="35">
        <f>IF(AND(INT($A30)&lt;12, $C30&lt;&gt;"Ya"),0,SUMIF($B$14:$B29, $B30 &amp;"*",$S$14:$S29)+$S30)</f>
        <v>0</v>
      </c>
      <c r="AA30" s="35">
        <f>IF(AND(INT($A30)&lt;12, $C30&lt;&gt;"Ya"),0,SUMIF($B$14:$B29, $B30&amp;"*",$T$14:$T29)+$T30)</f>
        <v>0</v>
      </c>
      <c r="AB30" s="35">
        <f>IF(AND(INT($A30)&lt;12, $C30&lt;&gt;"Ya"),0,SUMIF($B$14:$B29,$B30 &amp; "*",$U$14:$U29)+$U30)</f>
        <v>0</v>
      </c>
      <c r="AC30" s="35">
        <f t="shared" si="17"/>
        <v>0</v>
      </c>
      <c r="AD30" s="35">
        <f t="shared" si="18"/>
        <v>0</v>
      </c>
      <c r="AE30" s="35">
        <f t="shared" si="19"/>
        <v>0</v>
      </c>
      <c r="AF30" s="35">
        <f t="shared" si="8"/>
        <v>0</v>
      </c>
      <c r="AG30" s="35">
        <f>IF(AND(INT($A30)&lt;12, $C30&lt;&gt;"Ya"),0,SUMIF($B$14:$B29, $B30 &amp;"*",$Q$14:$Q29)+$Q30)</f>
        <v>0</v>
      </c>
      <c r="AH30" s="35">
        <f t="shared" si="20"/>
        <v>0</v>
      </c>
      <c r="AI30" s="35">
        <f t="shared" ca="1" si="10"/>
        <v>0</v>
      </c>
    </row>
    <row r="31" spans="1:35" x14ac:dyDescent="0.25">
      <c r="A31" s="36">
        <v>3</v>
      </c>
      <c r="B31" s="37" t="s">
        <v>67</v>
      </c>
      <c r="C31" s="38" t="str">
        <f t="shared" si="0"/>
        <v>Tidak</v>
      </c>
      <c r="D31" s="39" t="str">
        <f t="shared" si="11"/>
        <v>Test 1</v>
      </c>
      <c r="E31" s="39" t="str">
        <f t="shared" si="1"/>
        <v>TK/0</v>
      </c>
      <c r="F31" s="54">
        <f t="shared" si="2"/>
        <v>1</v>
      </c>
      <c r="G31" s="35">
        <v>10000000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40">
        <f t="shared" ca="1" si="3"/>
        <v>0</v>
      </c>
      <c r="O31" s="35">
        <f t="shared" ca="1" si="12"/>
        <v>10000000</v>
      </c>
      <c r="P31" s="41">
        <f t="shared" ca="1" si="4"/>
        <v>0.02</v>
      </c>
      <c r="Q31" s="35">
        <f t="shared" ca="1" si="13"/>
        <v>200000</v>
      </c>
      <c r="R31" s="35">
        <f t="shared" si="14"/>
        <v>0</v>
      </c>
      <c r="S31" s="35">
        <v>0</v>
      </c>
      <c r="T31" s="35">
        <v>0</v>
      </c>
      <c r="U31" s="35">
        <v>0</v>
      </c>
      <c r="V31" s="35">
        <f t="shared" ca="1" si="15"/>
        <v>9800000</v>
      </c>
      <c r="W31" s="42">
        <f t="shared" ca="1" si="16"/>
        <v>500000</v>
      </c>
      <c r="X31" s="35">
        <f>IF(AND(INT($A31)&lt;12, $C31&lt;&gt;"Ya"),0,SUMIF($B$14:$B30,$B31&amp;"*",$O$14:$O30)+O31)</f>
        <v>0</v>
      </c>
      <c r="Y31" s="35">
        <f>IF(AND(INT($A31)&lt;12, $C31&lt;&gt;"Ya"),0,SUMIF($B$14:$B30,$B31&amp;"*",$W$14:$W30)+W31)</f>
        <v>0</v>
      </c>
      <c r="Z31" s="35">
        <f>IF(AND(INT($A31)&lt;12, $C31&lt;&gt;"Ya"),0,SUMIF($B$14:$B30, $B31 &amp;"*",$S$14:$S30)+$S31)</f>
        <v>0</v>
      </c>
      <c r="AA31" s="35">
        <f>IF(AND(INT($A31)&lt;12, $C31&lt;&gt;"Ya"),0,SUMIF($B$14:$B30, $B31&amp;"*",$T$14:$T30)+$T31)</f>
        <v>0</v>
      </c>
      <c r="AB31" s="35">
        <f>IF(AND(INT($A31)&lt;12, $C31&lt;&gt;"Ya"),0,SUMIF($B$14:$B30,$B31 &amp; "*",$U$14:$U30)+$U31)</f>
        <v>0</v>
      </c>
      <c r="AC31" s="35">
        <f t="shared" si="17"/>
        <v>0</v>
      </c>
      <c r="AD31" s="35">
        <f t="shared" si="18"/>
        <v>0</v>
      </c>
      <c r="AE31" s="35">
        <f t="shared" si="19"/>
        <v>0</v>
      </c>
      <c r="AF31" s="35">
        <f t="shared" si="8"/>
        <v>0</v>
      </c>
      <c r="AG31" s="35">
        <f>IF(AND(INT($A31)&lt;12, $C31&lt;&gt;"Ya"),0,SUMIF($B$14:$B30, $B31 &amp;"*",$Q$14:$Q30)+$Q31)</f>
        <v>0</v>
      </c>
      <c r="AH31" s="35">
        <f t="shared" si="20"/>
        <v>0</v>
      </c>
      <c r="AI31" s="35">
        <f t="shared" ca="1" si="10"/>
        <v>0</v>
      </c>
    </row>
    <row r="32" spans="1:35" x14ac:dyDescent="0.25">
      <c r="A32" s="36">
        <v>3</v>
      </c>
      <c r="B32" s="37" t="s">
        <v>71</v>
      </c>
      <c r="C32" s="38" t="str">
        <f t="shared" si="0"/>
        <v>Tidak</v>
      </c>
      <c r="D32" s="39" t="str">
        <f t="shared" si="11"/>
        <v>Test 2</v>
      </c>
      <c r="E32" s="39" t="str">
        <f t="shared" si="1"/>
        <v>TK/1</v>
      </c>
      <c r="F32" s="54">
        <f t="shared" si="2"/>
        <v>1</v>
      </c>
      <c r="G32" s="35">
        <v>10000000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40">
        <f t="shared" ca="1" si="3"/>
        <v>0</v>
      </c>
      <c r="O32" s="35">
        <f t="shared" ca="1" si="12"/>
        <v>10000000</v>
      </c>
      <c r="P32" s="41">
        <f t="shared" ca="1" si="4"/>
        <v>0.02</v>
      </c>
      <c r="Q32" s="35">
        <f t="shared" ca="1" si="13"/>
        <v>200000</v>
      </c>
      <c r="R32" s="35">
        <f t="shared" si="14"/>
        <v>0</v>
      </c>
      <c r="S32" s="35">
        <v>0</v>
      </c>
      <c r="T32" s="35">
        <v>0</v>
      </c>
      <c r="U32" s="35">
        <v>0</v>
      </c>
      <c r="V32" s="35">
        <f t="shared" ca="1" si="15"/>
        <v>9800000</v>
      </c>
      <c r="W32" s="42">
        <f t="shared" ca="1" si="16"/>
        <v>500000</v>
      </c>
      <c r="X32" s="35">
        <f>IF(AND(INT($A32)&lt;12, $C32&lt;&gt;"Ya"),0,SUMIF($B$14:$B31,$B32&amp;"*",$O$14:$O31)+O32)</f>
        <v>0</v>
      </c>
      <c r="Y32" s="35">
        <f>IF(AND(INT($A32)&lt;12, $C32&lt;&gt;"Ya"),0,SUMIF($B$14:$B31,$B32&amp;"*",$W$14:$W31)+W32)</f>
        <v>0</v>
      </c>
      <c r="Z32" s="35">
        <f>IF(AND(INT($A32)&lt;12, $C32&lt;&gt;"Ya"),0,SUMIF($B$14:$B31, $B32 &amp;"*",$S$14:$S31)+$S32)</f>
        <v>0</v>
      </c>
      <c r="AA32" s="35">
        <f>IF(AND(INT($A32)&lt;12, $C32&lt;&gt;"Ya"),0,SUMIF($B$14:$B31, $B32&amp;"*",$T$14:$T31)+$T32)</f>
        <v>0</v>
      </c>
      <c r="AB32" s="35">
        <f>IF(AND(INT($A32)&lt;12, $C32&lt;&gt;"Ya"),0,SUMIF($B$14:$B31,$B32 &amp; "*",$U$14:$U31)+$U32)</f>
        <v>0</v>
      </c>
      <c r="AC32" s="35">
        <f t="shared" si="17"/>
        <v>0</v>
      </c>
      <c r="AD32" s="35">
        <f t="shared" si="18"/>
        <v>0</v>
      </c>
      <c r="AE32" s="35">
        <f t="shared" si="19"/>
        <v>0</v>
      </c>
      <c r="AF32" s="35">
        <f t="shared" si="8"/>
        <v>0</v>
      </c>
      <c r="AG32" s="35">
        <f>IF(AND(INT($A32)&lt;12, $C32&lt;&gt;"Ya"),0,SUMIF($B$14:$B31, $B32 &amp;"*",$Q$14:$Q31)+$Q32)</f>
        <v>0</v>
      </c>
      <c r="AH32" s="35">
        <f t="shared" si="20"/>
        <v>0</v>
      </c>
      <c r="AI32" s="35">
        <f t="shared" ca="1" si="10"/>
        <v>0</v>
      </c>
    </row>
    <row r="33" spans="1:35" x14ac:dyDescent="0.25">
      <c r="A33" s="36">
        <v>3</v>
      </c>
      <c r="B33" s="37" t="s">
        <v>80</v>
      </c>
      <c r="C33" s="38" t="str">
        <f t="shared" si="0"/>
        <v>Tidak</v>
      </c>
      <c r="D33" s="39" t="str">
        <f t="shared" si="11"/>
        <v>Test 3</v>
      </c>
      <c r="E33" s="39" t="str">
        <f t="shared" si="1"/>
        <v>TK/2</v>
      </c>
      <c r="F33" s="54">
        <f t="shared" si="2"/>
        <v>1</v>
      </c>
      <c r="G33" s="35">
        <v>10000000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40">
        <f t="shared" ca="1" si="3"/>
        <v>0</v>
      </c>
      <c r="O33" s="35">
        <f t="shared" ca="1" si="12"/>
        <v>10000000</v>
      </c>
      <c r="P33" s="41">
        <f t="shared" ca="1" si="4"/>
        <v>1.4999999999999999E-2</v>
      </c>
      <c r="Q33" s="35">
        <f t="shared" ca="1" si="13"/>
        <v>150000</v>
      </c>
      <c r="R33" s="35">
        <f t="shared" si="14"/>
        <v>0</v>
      </c>
      <c r="S33" s="35">
        <v>0</v>
      </c>
      <c r="T33" s="35">
        <v>0</v>
      </c>
      <c r="U33" s="35">
        <v>0</v>
      </c>
      <c r="V33" s="35">
        <f t="shared" ca="1" si="15"/>
        <v>9850000</v>
      </c>
      <c r="W33" s="42">
        <f t="shared" ca="1" si="16"/>
        <v>500000</v>
      </c>
      <c r="X33" s="35">
        <f>IF(AND(INT($A33)&lt;12, $C33&lt;&gt;"Ya"),0,SUMIF($B$14:$B32,$B33&amp;"*",$O$14:$O32)+O33)</f>
        <v>0</v>
      </c>
      <c r="Y33" s="35">
        <f>IF(AND(INT($A33)&lt;12, $C33&lt;&gt;"Ya"),0,SUMIF($B$14:$B32,$B33&amp;"*",$W$14:$W32)+W33)</f>
        <v>0</v>
      </c>
      <c r="Z33" s="35">
        <f>IF(AND(INT($A33)&lt;12, $C33&lt;&gt;"Ya"),0,SUMIF($B$14:$B32, $B33 &amp;"*",$S$14:$S32)+$S33)</f>
        <v>0</v>
      </c>
      <c r="AA33" s="35">
        <f>IF(AND(INT($A33)&lt;12, $C33&lt;&gt;"Ya"),0,SUMIF($B$14:$B32, $B33&amp;"*",$T$14:$T32)+$T33)</f>
        <v>0</v>
      </c>
      <c r="AB33" s="35">
        <f>IF(AND(INT($A33)&lt;12, $C33&lt;&gt;"Ya"),0,SUMIF($B$14:$B32,$B33 &amp; "*",$U$14:$U32)+$U33)</f>
        <v>0</v>
      </c>
      <c r="AC33" s="35">
        <f t="shared" si="17"/>
        <v>0</v>
      </c>
      <c r="AD33" s="35">
        <f t="shared" si="18"/>
        <v>0</v>
      </c>
      <c r="AE33" s="35">
        <f t="shared" si="19"/>
        <v>0</v>
      </c>
      <c r="AF33" s="35">
        <f t="shared" si="8"/>
        <v>0</v>
      </c>
      <c r="AG33" s="35">
        <f>IF(AND(INT($A33)&lt;12, $C33&lt;&gt;"Ya"),0,SUMIF($B$14:$B32, $B33 &amp;"*",$Q$14:$Q32)+$Q33)</f>
        <v>0</v>
      </c>
      <c r="AH33" s="35">
        <f t="shared" si="20"/>
        <v>0</v>
      </c>
      <c r="AI33" s="35">
        <f t="shared" ca="1" si="10"/>
        <v>0</v>
      </c>
    </row>
    <row r="34" spans="1:35" x14ac:dyDescent="0.25">
      <c r="A34" s="36">
        <v>3</v>
      </c>
      <c r="B34" s="37" t="s">
        <v>81</v>
      </c>
      <c r="C34" s="38" t="str">
        <f t="shared" si="0"/>
        <v>Tidak</v>
      </c>
      <c r="D34" s="39" t="str">
        <f t="shared" si="11"/>
        <v>Test 4</v>
      </c>
      <c r="E34" s="39" t="str">
        <f t="shared" si="1"/>
        <v>TK/3</v>
      </c>
      <c r="F34" s="54">
        <f t="shared" si="2"/>
        <v>1</v>
      </c>
      <c r="G34" s="35">
        <v>10000000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40">
        <f t="shared" ca="1" si="3"/>
        <v>0</v>
      </c>
      <c r="O34" s="35">
        <f t="shared" ca="1" si="12"/>
        <v>10000000</v>
      </c>
      <c r="P34" s="41">
        <f t="shared" ca="1" si="4"/>
        <v>1.4999999999999999E-2</v>
      </c>
      <c r="Q34" s="35">
        <f t="shared" ca="1" si="13"/>
        <v>150000</v>
      </c>
      <c r="R34" s="35">
        <f t="shared" si="14"/>
        <v>0</v>
      </c>
      <c r="S34" s="35">
        <v>0</v>
      </c>
      <c r="T34" s="35">
        <v>0</v>
      </c>
      <c r="U34" s="35">
        <v>0</v>
      </c>
      <c r="V34" s="35">
        <f t="shared" ca="1" si="15"/>
        <v>9850000</v>
      </c>
      <c r="W34" s="42">
        <f t="shared" ca="1" si="16"/>
        <v>500000</v>
      </c>
      <c r="X34" s="35">
        <f>IF(AND(INT($A34)&lt;12, $C34&lt;&gt;"Ya"),0,SUMIF($B$14:$B33,$B34&amp;"*",$O$14:$O33)+O34)</f>
        <v>0</v>
      </c>
      <c r="Y34" s="35">
        <f>IF(AND(INT($A34)&lt;12, $C34&lt;&gt;"Ya"),0,SUMIF($B$14:$B33,$B34&amp;"*",$W$14:$W33)+W34)</f>
        <v>0</v>
      </c>
      <c r="Z34" s="35">
        <f>IF(AND(INT($A34)&lt;12, $C34&lt;&gt;"Ya"),0,SUMIF($B$14:$B33, $B34 &amp;"*",$S$14:$S33)+$S34)</f>
        <v>0</v>
      </c>
      <c r="AA34" s="35">
        <f>IF(AND(INT($A34)&lt;12, $C34&lt;&gt;"Ya"),0,SUMIF($B$14:$B33, $B34&amp;"*",$T$14:$T33)+$T34)</f>
        <v>0</v>
      </c>
      <c r="AB34" s="35">
        <f>IF(AND(INT($A34)&lt;12, $C34&lt;&gt;"Ya"),0,SUMIF($B$14:$B33,$B34 &amp; "*",$U$14:$U33)+$U34)</f>
        <v>0</v>
      </c>
      <c r="AC34" s="35">
        <f t="shared" si="17"/>
        <v>0</v>
      </c>
      <c r="AD34" s="35">
        <f t="shared" si="18"/>
        <v>0</v>
      </c>
      <c r="AE34" s="35">
        <f t="shared" si="19"/>
        <v>0</v>
      </c>
      <c r="AF34" s="35">
        <f t="shared" si="8"/>
        <v>0</v>
      </c>
      <c r="AG34" s="35">
        <f>IF(AND(INT($A34)&lt;12, $C34&lt;&gt;"Ya"),0,SUMIF($B$14:$B33, $B34 &amp;"*",$Q$14:$Q33)+$Q34)</f>
        <v>0</v>
      </c>
      <c r="AH34" s="35">
        <f t="shared" si="20"/>
        <v>0</v>
      </c>
      <c r="AI34" s="35">
        <f t="shared" ca="1" si="10"/>
        <v>0</v>
      </c>
    </row>
    <row r="35" spans="1:35" x14ac:dyDescent="0.25">
      <c r="A35" s="36">
        <v>3</v>
      </c>
      <c r="B35" s="37" t="s">
        <v>82</v>
      </c>
      <c r="C35" s="38" t="str">
        <f t="shared" si="0"/>
        <v>Tidak</v>
      </c>
      <c r="D35" s="39" t="str">
        <f t="shared" si="11"/>
        <v>Test 5</v>
      </c>
      <c r="E35" s="39" t="str">
        <f t="shared" si="1"/>
        <v>K/0</v>
      </c>
      <c r="F35" s="54">
        <f t="shared" si="2"/>
        <v>1</v>
      </c>
      <c r="G35" s="35">
        <v>10000000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40">
        <f t="shared" ca="1" si="3"/>
        <v>0</v>
      </c>
      <c r="O35" s="35">
        <f t="shared" ca="1" si="12"/>
        <v>10000000</v>
      </c>
      <c r="P35" s="41">
        <f t="shared" ca="1" si="4"/>
        <v>0.02</v>
      </c>
      <c r="Q35" s="35">
        <f t="shared" ca="1" si="13"/>
        <v>200000</v>
      </c>
      <c r="R35" s="35">
        <f t="shared" si="14"/>
        <v>0</v>
      </c>
      <c r="S35" s="35">
        <v>0</v>
      </c>
      <c r="T35" s="35">
        <v>0</v>
      </c>
      <c r="U35" s="35">
        <v>0</v>
      </c>
      <c r="V35" s="35">
        <f t="shared" ca="1" si="15"/>
        <v>9800000</v>
      </c>
      <c r="W35" s="42">
        <f t="shared" ca="1" si="16"/>
        <v>500000</v>
      </c>
      <c r="X35" s="35">
        <f>IF(AND(INT($A35)&lt;12, $C35&lt;&gt;"Ya"),0,SUMIF($B$14:$B34,$B35&amp;"*",$O$14:$O34)+O35)</f>
        <v>0</v>
      </c>
      <c r="Y35" s="35">
        <f>IF(AND(INT($A35)&lt;12, $C35&lt;&gt;"Ya"),0,SUMIF($B$14:$B34,$B35&amp;"*",$W$14:$W34)+W35)</f>
        <v>0</v>
      </c>
      <c r="Z35" s="35">
        <f>IF(AND(INT($A35)&lt;12, $C35&lt;&gt;"Ya"),0,SUMIF($B$14:$B34, $B35 &amp;"*",$S$14:$S34)+$S35)</f>
        <v>0</v>
      </c>
      <c r="AA35" s="35">
        <f>IF(AND(INT($A35)&lt;12, $C35&lt;&gt;"Ya"),0,SUMIF($B$14:$B34, $B35&amp;"*",$T$14:$T34)+$T35)</f>
        <v>0</v>
      </c>
      <c r="AB35" s="35">
        <f>IF(AND(INT($A35)&lt;12, $C35&lt;&gt;"Ya"),0,SUMIF($B$14:$B34,$B35 &amp; "*",$U$14:$U34)+$U35)</f>
        <v>0</v>
      </c>
      <c r="AC35" s="35">
        <f t="shared" si="17"/>
        <v>0</v>
      </c>
      <c r="AD35" s="35">
        <f t="shared" si="18"/>
        <v>0</v>
      </c>
      <c r="AE35" s="35">
        <f t="shared" si="19"/>
        <v>0</v>
      </c>
      <c r="AF35" s="35">
        <f t="shared" si="8"/>
        <v>0</v>
      </c>
      <c r="AG35" s="35">
        <f>IF(AND(INT($A35)&lt;12, $C35&lt;&gt;"Ya"),0,SUMIF($B$14:$B34, $B35 &amp;"*",$Q$14:$Q34)+$Q35)</f>
        <v>0</v>
      </c>
      <c r="AH35" s="35">
        <f t="shared" si="20"/>
        <v>0</v>
      </c>
      <c r="AI35" s="35">
        <f t="shared" ca="1" si="10"/>
        <v>0</v>
      </c>
    </row>
    <row r="36" spans="1:35" x14ac:dyDescent="0.25">
      <c r="A36" s="36">
        <v>3</v>
      </c>
      <c r="B36" s="37" t="s">
        <v>83</v>
      </c>
      <c r="C36" s="38" t="str">
        <f t="shared" si="0"/>
        <v>Tidak</v>
      </c>
      <c r="D36" s="39" t="str">
        <f t="shared" si="11"/>
        <v>Test 6</v>
      </c>
      <c r="E36" s="39" t="str">
        <f t="shared" si="1"/>
        <v>K/1</v>
      </c>
      <c r="F36" s="54">
        <f t="shared" si="2"/>
        <v>1</v>
      </c>
      <c r="G36" s="35">
        <v>10000000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40">
        <f t="shared" ca="1" si="3"/>
        <v>0</v>
      </c>
      <c r="O36" s="35">
        <f t="shared" ca="1" si="12"/>
        <v>10000000</v>
      </c>
      <c r="P36" s="41">
        <f t="shared" ca="1" si="4"/>
        <v>1.4999999999999999E-2</v>
      </c>
      <c r="Q36" s="35">
        <f t="shared" ca="1" si="13"/>
        <v>150000</v>
      </c>
      <c r="R36" s="35">
        <f t="shared" si="14"/>
        <v>0</v>
      </c>
      <c r="S36" s="35">
        <v>0</v>
      </c>
      <c r="T36" s="35">
        <v>0</v>
      </c>
      <c r="U36" s="35">
        <v>0</v>
      </c>
      <c r="V36" s="35">
        <f t="shared" ca="1" si="15"/>
        <v>9850000</v>
      </c>
      <c r="W36" s="42">
        <f t="shared" ca="1" si="16"/>
        <v>500000</v>
      </c>
      <c r="X36" s="35">
        <f>IF(AND(INT($A36)&lt;12, $C36&lt;&gt;"Ya"),0,SUMIF($B$14:$B35,$B36&amp;"*",$O$14:$O35)+O36)</f>
        <v>0</v>
      </c>
      <c r="Y36" s="35">
        <f>IF(AND(INT($A36)&lt;12, $C36&lt;&gt;"Ya"),0,SUMIF($B$14:$B35,$B36&amp;"*",$W$14:$W35)+W36)</f>
        <v>0</v>
      </c>
      <c r="Z36" s="35">
        <f>IF(AND(INT($A36)&lt;12, $C36&lt;&gt;"Ya"),0,SUMIF($B$14:$B35, $B36 &amp;"*",$S$14:$S35)+$S36)</f>
        <v>0</v>
      </c>
      <c r="AA36" s="35">
        <f>IF(AND(INT($A36)&lt;12, $C36&lt;&gt;"Ya"),0,SUMIF($B$14:$B35, $B36&amp;"*",$T$14:$T35)+$T36)</f>
        <v>0</v>
      </c>
      <c r="AB36" s="35">
        <f>IF(AND(INT($A36)&lt;12, $C36&lt;&gt;"Ya"),0,SUMIF($B$14:$B35,$B36 &amp; "*",$U$14:$U35)+$U36)</f>
        <v>0</v>
      </c>
      <c r="AC36" s="35">
        <f t="shared" si="17"/>
        <v>0</v>
      </c>
      <c r="AD36" s="35">
        <f t="shared" si="18"/>
        <v>0</v>
      </c>
      <c r="AE36" s="35">
        <f t="shared" si="19"/>
        <v>0</v>
      </c>
      <c r="AF36" s="35">
        <f t="shared" si="8"/>
        <v>0</v>
      </c>
      <c r="AG36" s="35">
        <f>IF(AND(INT($A36)&lt;12, $C36&lt;&gt;"Ya"),0,SUMIF($B$14:$B35, $B36 &amp;"*",$Q$14:$Q35)+$Q36)</f>
        <v>0</v>
      </c>
      <c r="AH36" s="35">
        <f t="shared" si="20"/>
        <v>0</v>
      </c>
      <c r="AI36" s="35">
        <f t="shared" ca="1" si="10"/>
        <v>0</v>
      </c>
    </row>
    <row r="37" spans="1:35" x14ac:dyDescent="0.25">
      <c r="A37" s="36">
        <v>3</v>
      </c>
      <c r="B37" s="37" t="s">
        <v>84</v>
      </c>
      <c r="C37" s="38" t="str">
        <f t="shared" si="0"/>
        <v>Tidak</v>
      </c>
      <c r="D37" s="39" t="str">
        <f t="shared" si="11"/>
        <v>Test 7</v>
      </c>
      <c r="E37" s="39" t="str">
        <f t="shared" si="1"/>
        <v>K/2</v>
      </c>
      <c r="F37" s="54">
        <f t="shared" si="2"/>
        <v>1</v>
      </c>
      <c r="G37" s="35">
        <v>10000000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40">
        <f t="shared" ca="1" si="3"/>
        <v>152284.26395939087</v>
      </c>
      <c r="O37" s="35">
        <f t="shared" ca="1" si="12"/>
        <v>10152284.263959391</v>
      </c>
      <c r="P37" s="41">
        <f t="shared" ca="1" si="4"/>
        <v>1.4999999999999999E-2</v>
      </c>
      <c r="Q37" s="35">
        <f t="shared" ca="1" si="13"/>
        <v>152284.26395939087</v>
      </c>
      <c r="R37" s="35">
        <f t="shared" si="14"/>
        <v>0</v>
      </c>
      <c r="S37" s="35">
        <v>0</v>
      </c>
      <c r="T37" s="35">
        <v>0</v>
      </c>
      <c r="U37" s="35">
        <v>0</v>
      </c>
      <c r="V37" s="35">
        <f t="shared" ca="1" si="15"/>
        <v>10000000</v>
      </c>
      <c r="W37" s="42">
        <f t="shared" ca="1" si="16"/>
        <v>500000</v>
      </c>
      <c r="X37" s="35">
        <f>IF(AND(INT($A37)&lt;12, $C37&lt;&gt;"Ya"),0,SUMIF($B$14:$B36,$B37&amp;"*",$O$14:$O36)+O37)</f>
        <v>0</v>
      </c>
      <c r="Y37" s="35">
        <f>IF(AND(INT($A37)&lt;12, $C37&lt;&gt;"Ya"),0,SUMIF($B$14:$B36,$B37&amp;"*",$W$14:$W36)+W37)</f>
        <v>0</v>
      </c>
      <c r="Z37" s="35">
        <f>IF(AND(INT($A37)&lt;12, $C37&lt;&gt;"Ya"),0,SUMIF($B$14:$B36, $B37 &amp;"*",$S$14:$S36)+$S37)</f>
        <v>0</v>
      </c>
      <c r="AA37" s="35">
        <f>IF(AND(INT($A37)&lt;12, $C37&lt;&gt;"Ya"),0,SUMIF($B$14:$B36, $B37&amp;"*",$T$14:$T36)+$T37)</f>
        <v>0</v>
      </c>
      <c r="AB37" s="35">
        <f>IF(AND(INT($A37)&lt;12, $C37&lt;&gt;"Ya"),0,SUMIF($B$14:$B36,$B37 &amp; "*",$U$14:$U36)+$U37)</f>
        <v>0</v>
      </c>
      <c r="AC37" s="35">
        <f t="shared" si="17"/>
        <v>0</v>
      </c>
      <c r="AD37" s="35">
        <f t="shared" si="18"/>
        <v>0</v>
      </c>
      <c r="AE37" s="35">
        <f t="shared" si="19"/>
        <v>0</v>
      </c>
      <c r="AF37" s="35">
        <f t="shared" si="8"/>
        <v>0</v>
      </c>
      <c r="AG37" s="35">
        <f>IF(AND(INT($A37)&lt;12, $C37&lt;&gt;"Ya"),0,SUMIF($B$14:$B36, $B37 &amp;"*",$Q$14:$Q36)+$Q37)</f>
        <v>0</v>
      </c>
      <c r="AH37" s="35">
        <f t="shared" si="20"/>
        <v>0</v>
      </c>
      <c r="AI37" s="35">
        <f t="shared" ca="1" si="10"/>
        <v>0</v>
      </c>
    </row>
    <row r="38" spans="1:35" x14ac:dyDescent="0.25">
      <c r="A38" s="36">
        <v>3</v>
      </c>
      <c r="B38" s="37" t="s">
        <v>85</v>
      </c>
      <c r="C38" s="38" t="str">
        <f t="shared" si="0"/>
        <v>Tidak</v>
      </c>
      <c r="D38" s="39" t="str">
        <f t="shared" si="11"/>
        <v>Test 8</v>
      </c>
      <c r="E38" s="39" t="str">
        <f t="shared" si="1"/>
        <v>K/3</v>
      </c>
      <c r="F38" s="54">
        <f t="shared" si="2"/>
        <v>1.2</v>
      </c>
      <c r="G38" s="35">
        <v>10000000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40">
        <f t="shared" ca="1" si="3"/>
        <v>183299.38900203662</v>
      </c>
      <c r="O38" s="35">
        <f t="shared" ca="1" si="12"/>
        <v>10183299.389002036</v>
      </c>
      <c r="P38" s="41">
        <f t="shared" ca="1" si="4"/>
        <v>1.4999999999999999E-2</v>
      </c>
      <c r="Q38" s="35">
        <f t="shared" ca="1" si="13"/>
        <v>183299.38900203662</v>
      </c>
      <c r="R38" s="35">
        <f t="shared" si="14"/>
        <v>0</v>
      </c>
      <c r="S38" s="35">
        <v>0</v>
      </c>
      <c r="T38" s="35">
        <v>0</v>
      </c>
      <c r="U38" s="35">
        <v>0</v>
      </c>
      <c r="V38" s="35">
        <f t="shared" ca="1" si="15"/>
        <v>10000000</v>
      </c>
      <c r="W38" s="42">
        <f t="shared" ca="1" si="16"/>
        <v>500000</v>
      </c>
      <c r="X38" s="35">
        <f>IF(AND(INT($A38)&lt;12, $C38&lt;&gt;"Ya"),0,SUMIF($B$14:$B37,$B38&amp;"*",$O$14:$O37)+O38)</f>
        <v>0</v>
      </c>
      <c r="Y38" s="35">
        <f>IF(AND(INT($A38)&lt;12, $C38&lt;&gt;"Ya"),0,SUMIF($B$14:$B37,$B38&amp;"*",$W$14:$W37)+W38)</f>
        <v>0</v>
      </c>
      <c r="Z38" s="35">
        <f>IF(AND(INT($A38)&lt;12, $C38&lt;&gt;"Ya"),0,SUMIF($B$14:$B37, $B38 &amp;"*",$S$14:$S37)+$S38)</f>
        <v>0</v>
      </c>
      <c r="AA38" s="35">
        <f>IF(AND(INT($A38)&lt;12, $C38&lt;&gt;"Ya"),0,SUMIF($B$14:$B37, $B38&amp;"*",$T$14:$T37)+$T38)</f>
        <v>0</v>
      </c>
      <c r="AB38" s="35">
        <f>IF(AND(INT($A38)&lt;12, $C38&lt;&gt;"Ya"),0,SUMIF($B$14:$B37,$B38 &amp; "*",$U$14:$U37)+$U38)</f>
        <v>0</v>
      </c>
      <c r="AC38" s="35">
        <f t="shared" si="17"/>
        <v>0</v>
      </c>
      <c r="AD38" s="35">
        <f t="shared" si="18"/>
        <v>0</v>
      </c>
      <c r="AE38" s="35">
        <f t="shared" si="19"/>
        <v>0</v>
      </c>
      <c r="AF38" s="35">
        <f t="shared" si="8"/>
        <v>0</v>
      </c>
      <c r="AG38" s="35">
        <f>IF(AND(INT($A38)&lt;12, $C38&lt;&gt;"Ya"),0,SUMIF($B$14:$B37, $B38 &amp;"*",$Q$14:$Q37)+$Q38)</f>
        <v>0</v>
      </c>
      <c r="AH38" s="35">
        <f t="shared" si="20"/>
        <v>0</v>
      </c>
      <c r="AI38" s="35">
        <f t="shared" ca="1" si="10"/>
        <v>0</v>
      </c>
    </row>
    <row r="39" spans="1:35" x14ac:dyDescent="0.25">
      <c r="A39" s="36">
        <v>4</v>
      </c>
      <c r="B39" s="37" t="s">
        <v>67</v>
      </c>
      <c r="C39" s="38" t="str">
        <f t="shared" si="0"/>
        <v>Tidak</v>
      </c>
      <c r="D39" s="39" t="str">
        <f t="shared" si="11"/>
        <v>Test 1</v>
      </c>
      <c r="E39" s="39" t="str">
        <f t="shared" si="1"/>
        <v>TK/0</v>
      </c>
      <c r="F39" s="54">
        <f t="shared" si="2"/>
        <v>1</v>
      </c>
      <c r="G39" s="35">
        <v>10000000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40">
        <f t="shared" ca="1" si="3"/>
        <v>0</v>
      </c>
      <c r="O39" s="35">
        <f t="shared" ca="1" si="12"/>
        <v>10000000</v>
      </c>
      <c r="P39" s="41">
        <f t="shared" ca="1" si="4"/>
        <v>0.02</v>
      </c>
      <c r="Q39" s="35">
        <f t="shared" ca="1" si="13"/>
        <v>200000</v>
      </c>
      <c r="R39" s="35">
        <f t="shared" si="14"/>
        <v>0</v>
      </c>
      <c r="S39" s="35">
        <v>0</v>
      </c>
      <c r="T39" s="35">
        <v>0</v>
      </c>
      <c r="U39" s="35">
        <v>0</v>
      </c>
      <c r="V39" s="35">
        <f t="shared" ca="1" si="15"/>
        <v>9800000</v>
      </c>
      <c r="W39" s="42">
        <f t="shared" ca="1" si="16"/>
        <v>500000</v>
      </c>
      <c r="X39" s="35">
        <f>IF(AND(INT($A39)&lt;12, $C39&lt;&gt;"Ya"),0,SUMIF($B$14:$B38,$B39&amp;"*",$O$14:$O38)+O39)</f>
        <v>0</v>
      </c>
      <c r="Y39" s="35">
        <f>IF(AND(INT($A39)&lt;12, $C39&lt;&gt;"Ya"),0,SUMIF($B$14:$B38,$B39&amp;"*",$W$14:$W38)+W39)</f>
        <v>0</v>
      </c>
      <c r="Z39" s="35">
        <f>IF(AND(INT($A39)&lt;12, $C39&lt;&gt;"Ya"),0,SUMIF($B$14:$B38, $B39 &amp;"*",$S$14:$S38)+$S39)</f>
        <v>0</v>
      </c>
      <c r="AA39" s="35">
        <f>IF(AND(INT($A39)&lt;12, $C39&lt;&gt;"Ya"),0,SUMIF($B$14:$B38, $B39&amp;"*",$T$14:$T38)+$T39)</f>
        <v>0</v>
      </c>
      <c r="AB39" s="35">
        <f>IF(AND(INT($A39)&lt;12, $C39&lt;&gt;"Ya"),0,SUMIF($B$14:$B38,$B39 &amp; "*",$U$14:$U38)+$U39)</f>
        <v>0</v>
      </c>
      <c r="AC39" s="35">
        <f t="shared" si="17"/>
        <v>0</v>
      </c>
      <c r="AD39" s="35">
        <f t="shared" si="18"/>
        <v>0</v>
      </c>
      <c r="AE39" s="35">
        <f t="shared" si="19"/>
        <v>0</v>
      </c>
      <c r="AF39" s="35">
        <f t="shared" si="8"/>
        <v>0</v>
      </c>
      <c r="AG39" s="35">
        <f>IF(AND(INT($A39)&lt;12, $C39&lt;&gt;"Ya"),0,SUMIF($B$14:$B38, $B39 &amp;"*",$Q$14:$Q38)+$Q39)</f>
        <v>0</v>
      </c>
      <c r="AH39" s="35">
        <f t="shared" si="20"/>
        <v>0</v>
      </c>
      <c r="AI39" s="35">
        <f t="shared" ca="1" si="10"/>
        <v>0</v>
      </c>
    </row>
    <row r="40" spans="1:35" x14ac:dyDescent="0.25">
      <c r="A40" s="36">
        <v>4</v>
      </c>
      <c r="B40" s="37" t="s">
        <v>71</v>
      </c>
      <c r="C40" s="38" t="str">
        <f t="shared" si="0"/>
        <v>Tidak</v>
      </c>
      <c r="D40" s="39" t="str">
        <f t="shared" si="11"/>
        <v>Test 2</v>
      </c>
      <c r="E40" s="39" t="str">
        <f t="shared" si="1"/>
        <v>TK/1</v>
      </c>
      <c r="F40" s="54">
        <f t="shared" si="2"/>
        <v>1</v>
      </c>
      <c r="G40" s="35">
        <v>10000000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40">
        <f t="shared" ca="1" si="3"/>
        <v>0</v>
      </c>
      <c r="O40" s="35">
        <f t="shared" ca="1" si="12"/>
        <v>10000000</v>
      </c>
      <c r="P40" s="41">
        <f t="shared" ca="1" si="4"/>
        <v>0.02</v>
      </c>
      <c r="Q40" s="35">
        <f t="shared" ca="1" si="13"/>
        <v>200000</v>
      </c>
      <c r="R40" s="35">
        <f t="shared" si="14"/>
        <v>0</v>
      </c>
      <c r="S40" s="35">
        <v>0</v>
      </c>
      <c r="T40" s="35">
        <v>0</v>
      </c>
      <c r="U40" s="35">
        <v>0</v>
      </c>
      <c r="V40" s="35">
        <f t="shared" ca="1" si="15"/>
        <v>9800000</v>
      </c>
      <c r="W40" s="42">
        <f t="shared" ca="1" si="16"/>
        <v>500000</v>
      </c>
      <c r="X40" s="35">
        <f>IF(AND(INT($A40)&lt;12, $C40&lt;&gt;"Ya"),0,SUMIF($B$14:$B39,$B40&amp;"*",$O$14:$O39)+O40)</f>
        <v>0</v>
      </c>
      <c r="Y40" s="35">
        <f>IF(AND(INT($A40)&lt;12, $C40&lt;&gt;"Ya"),0,SUMIF($B$14:$B39,$B40&amp;"*",$W$14:$W39)+W40)</f>
        <v>0</v>
      </c>
      <c r="Z40" s="35">
        <f>IF(AND(INT($A40)&lt;12, $C40&lt;&gt;"Ya"),0,SUMIF($B$14:$B39, $B40 &amp;"*",$S$14:$S39)+$S40)</f>
        <v>0</v>
      </c>
      <c r="AA40" s="35">
        <f>IF(AND(INT($A40)&lt;12, $C40&lt;&gt;"Ya"),0,SUMIF($B$14:$B39, $B40&amp;"*",$T$14:$T39)+$T40)</f>
        <v>0</v>
      </c>
      <c r="AB40" s="35">
        <f>IF(AND(INT($A40)&lt;12, $C40&lt;&gt;"Ya"),0,SUMIF($B$14:$B39,$B40 &amp; "*",$U$14:$U39)+$U40)</f>
        <v>0</v>
      </c>
      <c r="AC40" s="35">
        <f t="shared" si="17"/>
        <v>0</v>
      </c>
      <c r="AD40" s="35">
        <f t="shared" si="18"/>
        <v>0</v>
      </c>
      <c r="AE40" s="35">
        <f t="shared" si="19"/>
        <v>0</v>
      </c>
      <c r="AF40" s="35">
        <f t="shared" si="8"/>
        <v>0</v>
      </c>
      <c r="AG40" s="35">
        <f>IF(AND(INT($A40)&lt;12, $C40&lt;&gt;"Ya"),0,SUMIF($B$14:$B39, $B40 &amp;"*",$Q$14:$Q39)+$Q40)</f>
        <v>0</v>
      </c>
      <c r="AH40" s="35">
        <f t="shared" si="20"/>
        <v>0</v>
      </c>
      <c r="AI40" s="35">
        <f t="shared" ca="1" si="10"/>
        <v>0</v>
      </c>
    </row>
    <row r="41" spans="1:35" x14ac:dyDescent="0.25">
      <c r="A41" s="36">
        <v>4</v>
      </c>
      <c r="B41" s="37" t="s">
        <v>80</v>
      </c>
      <c r="C41" s="38" t="str">
        <f t="shared" si="0"/>
        <v>Tidak</v>
      </c>
      <c r="D41" s="39" t="str">
        <f t="shared" si="11"/>
        <v>Test 3</v>
      </c>
      <c r="E41" s="39" t="str">
        <f t="shared" si="1"/>
        <v>TK/2</v>
      </c>
      <c r="F41" s="54">
        <f t="shared" si="2"/>
        <v>1</v>
      </c>
      <c r="G41" s="35">
        <v>10000000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40">
        <f t="shared" ca="1" si="3"/>
        <v>0</v>
      </c>
      <c r="O41" s="35">
        <f t="shared" ca="1" si="12"/>
        <v>10000000</v>
      </c>
      <c r="P41" s="41">
        <f t="shared" ca="1" si="4"/>
        <v>1.4999999999999999E-2</v>
      </c>
      <c r="Q41" s="35">
        <f t="shared" ca="1" si="13"/>
        <v>150000</v>
      </c>
      <c r="R41" s="35">
        <f t="shared" si="14"/>
        <v>0</v>
      </c>
      <c r="S41" s="35">
        <v>0</v>
      </c>
      <c r="T41" s="35">
        <v>0</v>
      </c>
      <c r="U41" s="35">
        <v>0</v>
      </c>
      <c r="V41" s="35">
        <f t="shared" ca="1" si="15"/>
        <v>9850000</v>
      </c>
      <c r="W41" s="42">
        <f t="shared" ca="1" si="16"/>
        <v>500000</v>
      </c>
      <c r="X41" s="35">
        <f>IF(AND(INT($A41)&lt;12, $C41&lt;&gt;"Ya"),0,SUMIF($B$14:$B40,$B41&amp;"*",$O$14:$O40)+O41)</f>
        <v>0</v>
      </c>
      <c r="Y41" s="35">
        <f>IF(AND(INT($A41)&lt;12, $C41&lt;&gt;"Ya"),0,SUMIF($B$14:$B40,$B41&amp;"*",$W$14:$W40)+W41)</f>
        <v>0</v>
      </c>
      <c r="Z41" s="35">
        <f>IF(AND(INT($A41)&lt;12, $C41&lt;&gt;"Ya"),0,SUMIF($B$14:$B40, $B41 &amp;"*",$S$14:$S40)+$S41)</f>
        <v>0</v>
      </c>
      <c r="AA41" s="35">
        <f>IF(AND(INT($A41)&lt;12, $C41&lt;&gt;"Ya"),0,SUMIF($B$14:$B40, $B41&amp;"*",$T$14:$T40)+$T41)</f>
        <v>0</v>
      </c>
      <c r="AB41" s="35">
        <f>IF(AND(INT($A41)&lt;12, $C41&lt;&gt;"Ya"),0,SUMIF($B$14:$B40,$B41 &amp; "*",$U$14:$U40)+$U41)</f>
        <v>0</v>
      </c>
      <c r="AC41" s="35">
        <f t="shared" si="17"/>
        <v>0</v>
      </c>
      <c r="AD41" s="35">
        <f t="shared" si="18"/>
        <v>0</v>
      </c>
      <c r="AE41" s="35">
        <f t="shared" si="19"/>
        <v>0</v>
      </c>
      <c r="AF41" s="35">
        <f t="shared" si="8"/>
        <v>0</v>
      </c>
      <c r="AG41" s="35">
        <f>IF(AND(INT($A41)&lt;12, $C41&lt;&gt;"Ya"),0,SUMIF($B$14:$B40, $B41 &amp;"*",$Q$14:$Q40)+$Q41)</f>
        <v>0</v>
      </c>
      <c r="AH41" s="35">
        <f t="shared" si="20"/>
        <v>0</v>
      </c>
      <c r="AI41" s="35">
        <f t="shared" ca="1" si="10"/>
        <v>0</v>
      </c>
    </row>
    <row r="42" spans="1:35" x14ac:dyDescent="0.25">
      <c r="A42" s="36">
        <v>4</v>
      </c>
      <c r="B42" s="37" t="s">
        <v>81</v>
      </c>
      <c r="C42" s="38" t="str">
        <f t="shared" si="0"/>
        <v>Tidak</v>
      </c>
      <c r="D42" s="39" t="str">
        <f t="shared" si="11"/>
        <v>Test 4</v>
      </c>
      <c r="E42" s="39" t="str">
        <f t="shared" si="1"/>
        <v>TK/3</v>
      </c>
      <c r="F42" s="54">
        <f t="shared" si="2"/>
        <v>1</v>
      </c>
      <c r="G42" s="35">
        <v>10000000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40">
        <f t="shared" ca="1" si="3"/>
        <v>0</v>
      </c>
      <c r="O42" s="35">
        <f t="shared" ca="1" si="12"/>
        <v>10000000</v>
      </c>
      <c r="P42" s="41">
        <f t="shared" ca="1" si="4"/>
        <v>1.4999999999999999E-2</v>
      </c>
      <c r="Q42" s="35">
        <f t="shared" ca="1" si="13"/>
        <v>150000</v>
      </c>
      <c r="R42" s="35">
        <f t="shared" si="14"/>
        <v>0</v>
      </c>
      <c r="S42" s="35">
        <v>0</v>
      </c>
      <c r="T42" s="35">
        <v>0</v>
      </c>
      <c r="U42" s="35">
        <v>0</v>
      </c>
      <c r="V42" s="35">
        <f t="shared" ca="1" si="15"/>
        <v>9850000</v>
      </c>
      <c r="W42" s="42">
        <f t="shared" ca="1" si="16"/>
        <v>500000</v>
      </c>
      <c r="X42" s="35">
        <f>IF(AND(INT($A42)&lt;12, $C42&lt;&gt;"Ya"),0,SUMIF($B$14:$B41,$B42&amp;"*",$O$14:$O41)+O42)</f>
        <v>0</v>
      </c>
      <c r="Y42" s="35">
        <f>IF(AND(INT($A42)&lt;12, $C42&lt;&gt;"Ya"),0,SUMIF($B$14:$B41,$B42&amp;"*",$W$14:$W41)+W42)</f>
        <v>0</v>
      </c>
      <c r="Z42" s="35">
        <f>IF(AND(INT($A42)&lt;12, $C42&lt;&gt;"Ya"),0,SUMIF($B$14:$B41, $B42 &amp;"*",$S$14:$S41)+$S42)</f>
        <v>0</v>
      </c>
      <c r="AA42" s="35">
        <f>IF(AND(INT($A42)&lt;12, $C42&lt;&gt;"Ya"),0,SUMIF($B$14:$B41, $B42&amp;"*",$T$14:$T41)+$T42)</f>
        <v>0</v>
      </c>
      <c r="AB42" s="35">
        <f>IF(AND(INT($A42)&lt;12, $C42&lt;&gt;"Ya"),0,SUMIF($B$14:$B41,$B42 &amp; "*",$U$14:$U41)+$U42)</f>
        <v>0</v>
      </c>
      <c r="AC42" s="35">
        <f t="shared" si="17"/>
        <v>0</v>
      </c>
      <c r="AD42" s="35">
        <f t="shared" si="18"/>
        <v>0</v>
      </c>
      <c r="AE42" s="35">
        <f t="shared" si="19"/>
        <v>0</v>
      </c>
      <c r="AF42" s="35">
        <f t="shared" si="8"/>
        <v>0</v>
      </c>
      <c r="AG42" s="35">
        <f>IF(AND(INT($A42)&lt;12, $C42&lt;&gt;"Ya"),0,SUMIF($B$14:$B41, $B42 &amp;"*",$Q$14:$Q41)+$Q42)</f>
        <v>0</v>
      </c>
      <c r="AH42" s="35">
        <f t="shared" si="20"/>
        <v>0</v>
      </c>
      <c r="AI42" s="35">
        <f t="shared" ca="1" si="10"/>
        <v>0</v>
      </c>
    </row>
    <row r="43" spans="1:35" x14ac:dyDescent="0.25">
      <c r="A43" s="36">
        <v>4</v>
      </c>
      <c r="B43" s="37" t="s">
        <v>82</v>
      </c>
      <c r="C43" s="38" t="str">
        <f t="shared" si="0"/>
        <v>Tidak</v>
      </c>
      <c r="D43" s="39" t="str">
        <f t="shared" si="11"/>
        <v>Test 5</v>
      </c>
      <c r="E43" s="39" t="str">
        <f t="shared" si="1"/>
        <v>K/0</v>
      </c>
      <c r="F43" s="54">
        <f t="shared" si="2"/>
        <v>1</v>
      </c>
      <c r="G43" s="35">
        <v>10000000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40">
        <f t="shared" ca="1" si="3"/>
        <v>0</v>
      </c>
      <c r="O43" s="35">
        <f t="shared" ca="1" si="12"/>
        <v>10000000</v>
      </c>
      <c r="P43" s="41">
        <f t="shared" ca="1" si="4"/>
        <v>0.02</v>
      </c>
      <c r="Q43" s="35">
        <f t="shared" ca="1" si="13"/>
        <v>200000</v>
      </c>
      <c r="R43" s="35">
        <f t="shared" si="14"/>
        <v>0</v>
      </c>
      <c r="S43" s="35">
        <v>0</v>
      </c>
      <c r="T43" s="35">
        <v>0</v>
      </c>
      <c r="U43" s="35">
        <v>0</v>
      </c>
      <c r="V43" s="35">
        <f t="shared" ca="1" si="15"/>
        <v>9800000</v>
      </c>
      <c r="W43" s="42">
        <f t="shared" ca="1" si="16"/>
        <v>500000</v>
      </c>
      <c r="X43" s="35">
        <f>IF(AND(INT($A43)&lt;12, $C43&lt;&gt;"Ya"),0,SUMIF($B$14:$B42,$B43&amp;"*",$O$14:$O42)+O43)</f>
        <v>0</v>
      </c>
      <c r="Y43" s="35">
        <f>IF(AND(INT($A43)&lt;12, $C43&lt;&gt;"Ya"),0,SUMIF($B$14:$B42,$B43&amp;"*",$W$14:$W42)+W43)</f>
        <v>0</v>
      </c>
      <c r="Z43" s="35">
        <f>IF(AND(INT($A43)&lt;12, $C43&lt;&gt;"Ya"),0,SUMIF($B$14:$B42, $B43 &amp;"*",$S$14:$S42)+$S43)</f>
        <v>0</v>
      </c>
      <c r="AA43" s="35">
        <f>IF(AND(INT($A43)&lt;12, $C43&lt;&gt;"Ya"),0,SUMIF($B$14:$B42, $B43&amp;"*",$T$14:$T42)+$T43)</f>
        <v>0</v>
      </c>
      <c r="AB43" s="35">
        <f>IF(AND(INT($A43)&lt;12, $C43&lt;&gt;"Ya"),0,SUMIF($B$14:$B42,$B43 &amp; "*",$U$14:$U42)+$U43)</f>
        <v>0</v>
      </c>
      <c r="AC43" s="35">
        <f t="shared" si="17"/>
        <v>0</v>
      </c>
      <c r="AD43" s="35">
        <f t="shared" si="18"/>
        <v>0</v>
      </c>
      <c r="AE43" s="35">
        <f t="shared" si="19"/>
        <v>0</v>
      </c>
      <c r="AF43" s="35">
        <f t="shared" si="8"/>
        <v>0</v>
      </c>
      <c r="AG43" s="35">
        <f>IF(AND(INT($A43)&lt;12, $C43&lt;&gt;"Ya"),0,SUMIF($B$14:$B42, $B43 &amp;"*",$Q$14:$Q42)+$Q43)</f>
        <v>0</v>
      </c>
      <c r="AH43" s="35">
        <f t="shared" si="20"/>
        <v>0</v>
      </c>
      <c r="AI43" s="35">
        <f t="shared" ca="1" si="10"/>
        <v>0</v>
      </c>
    </row>
    <row r="44" spans="1:35" x14ac:dyDescent="0.25">
      <c r="A44" s="36">
        <v>4</v>
      </c>
      <c r="B44" s="37" t="s">
        <v>83</v>
      </c>
      <c r="C44" s="38" t="str">
        <f t="shared" si="0"/>
        <v>Tidak</v>
      </c>
      <c r="D44" s="39" t="str">
        <f t="shared" si="11"/>
        <v>Test 6</v>
      </c>
      <c r="E44" s="39" t="str">
        <f t="shared" si="1"/>
        <v>K/1</v>
      </c>
      <c r="F44" s="54">
        <f t="shared" si="2"/>
        <v>1</v>
      </c>
      <c r="G44" s="35">
        <v>10000000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40">
        <f t="shared" ca="1" si="3"/>
        <v>0</v>
      </c>
      <c r="O44" s="35">
        <f t="shared" ca="1" si="12"/>
        <v>10000000</v>
      </c>
      <c r="P44" s="41">
        <f t="shared" ca="1" si="4"/>
        <v>1.4999999999999999E-2</v>
      </c>
      <c r="Q44" s="35">
        <f t="shared" ca="1" si="13"/>
        <v>150000</v>
      </c>
      <c r="R44" s="35">
        <f t="shared" si="14"/>
        <v>0</v>
      </c>
      <c r="S44" s="35">
        <v>0</v>
      </c>
      <c r="T44" s="35">
        <v>0</v>
      </c>
      <c r="U44" s="35">
        <v>0</v>
      </c>
      <c r="V44" s="35">
        <f t="shared" ca="1" si="15"/>
        <v>9850000</v>
      </c>
      <c r="W44" s="42">
        <f t="shared" ca="1" si="16"/>
        <v>500000</v>
      </c>
      <c r="X44" s="35">
        <f>IF(AND(INT($A44)&lt;12, $C44&lt;&gt;"Ya"),0,SUMIF($B$14:$B43,$B44&amp;"*",$O$14:$O43)+O44)</f>
        <v>0</v>
      </c>
      <c r="Y44" s="35">
        <f>IF(AND(INT($A44)&lt;12, $C44&lt;&gt;"Ya"),0,SUMIF($B$14:$B43,$B44&amp;"*",$W$14:$W43)+W44)</f>
        <v>0</v>
      </c>
      <c r="Z44" s="35">
        <f>IF(AND(INT($A44)&lt;12, $C44&lt;&gt;"Ya"),0,SUMIF($B$14:$B43, $B44 &amp;"*",$S$14:$S43)+$S44)</f>
        <v>0</v>
      </c>
      <c r="AA44" s="35">
        <f>IF(AND(INT($A44)&lt;12, $C44&lt;&gt;"Ya"),0,SUMIF($B$14:$B43, $B44&amp;"*",$T$14:$T43)+$T44)</f>
        <v>0</v>
      </c>
      <c r="AB44" s="35">
        <f>IF(AND(INT($A44)&lt;12, $C44&lt;&gt;"Ya"),0,SUMIF($B$14:$B43,$B44 &amp; "*",$U$14:$U43)+$U44)</f>
        <v>0</v>
      </c>
      <c r="AC44" s="35">
        <f t="shared" si="17"/>
        <v>0</v>
      </c>
      <c r="AD44" s="35">
        <f t="shared" si="18"/>
        <v>0</v>
      </c>
      <c r="AE44" s="35">
        <f t="shared" si="19"/>
        <v>0</v>
      </c>
      <c r="AF44" s="35">
        <f t="shared" si="8"/>
        <v>0</v>
      </c>
      <c r="AG44" s="35">
        <f>IF(AND(INT($A44)&lt;12, $C44&lt;&gt;"Ya"),0,SUMIF($B$14:$B43, $B44 &amp;"*",$Q$14:$Q43)+$Q44)</f>
        <v>0</v>
      </c>
      <c r="AH44" s="35">
        <f t="shared" si="20"/>
        <v>0</v>
      </c>
      <c r="AI44" s="35">
        <f t="shared" ca="1" si="10"/>
        <v>0</v>
      </c>
    </row>
    <row r="45" spans="1:35" x14ac:dyDescent="0.25">
      <c r="A45" s="36">
        <v>4</v>
      </c>
      <c r="B45" s="37" t="s">
        <v>84</v>
      </c>
      <c r="C45" s="38" t="str">
        <f t="shared" si="0"/>
        <v>Tidak</v>
      </c>
      <c r="D45" s="39" t="str">
        <f t="shared" si="11"/>
        <v>Test 7</v>
      </c>
      <c r="E45" s="39" t="str">
        <f t="shared" si="1"/>
        <v>K/2</v>
      </c>
      <c r="F45" s="54">
        <f t="shared" si="2"/>
        <v>1</v>
      </c>
      <c r="G45" s="35">
        <v>10000000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40">
        <f t="shared" ca="1" si="3"/>
        <v>152284.26395939087</v>
      </c>
      <c r="O45" s="35">
        <f t="shared" ca="1" si="12"/>
        <v>10152284.263959391</v>
      </c>
      <c r="P45" s="41">
        <f t="shared" ca="1" si="4"/>
        <v>1.4999999999999999E-2</v>
      </c>
      <c r="Q45" s="35">
        <f t="shared" ca="1" si="13"/>
        <v>152284.26395939087</v>
      </c>
      <c r="R45" s="35">
        <f t="shared" si="14"/>
        <v>0</v>
      </c>
      <c r="S45" s="35">
        <v>0</v>
      </c>
      <c r="T45" s="35">
        <v>0</v>
      </c>
      <c r="U45" s="35">
        <v>0</v>
      </c>
      <c r="V45" s="35">
        <f t="shared" ca="1" si="15"/>
        <v>10000000</v>
      </c>
      <c r="W45" s="42">
        <f t="shared" ca="1" si="16"/>
        <v>500000</v>
      </c>
      <c r="X45" s="35">
        <f>IF(AND(INT($A45)&lt;12, $C45&lt;&gt;"Ya"),0,SUMIF($B$14:$B44,$B45&amp;"*",$O$14:$O44)+O45)</f>
        <v>0</v>
      </c>
      <c r="Y45" s="35">
        <f>IF(AND(INT($A45)&lt;12, $C45&lt;&gt;"Ya"),0,SUMIF($B$14:$B44,$B45&amp;"*",$W$14:$W44)+W45)</f>
        <v>0</v>
      </c>
      <c r="Z45" s="35">
        <f>IF(AND(INT($A45)&lt;12, $C45&lt;&gt;"Ya"),0,SUMIF($B$14:$B44, $B45 &amp;"*",$S$14:$S44)+$S45)</f>
        <v>0</v>
      </c>
      <c r="AA45" s="35">
        <f>IF(AND(INT($A45)&lt;12, $C45&lt;&gt;"Ya"),0,SUMIF($B$14:$B44, $B45&amp;"*",$T$14:$T44)+$T45)</f>
        <v>0</v>
      </c>
      <c r="AB45" s="35">
        <f>IF(AND(INT($A45)&lt;12, $C45&lt;&gt;"Ya"),0,SUMIF($B$14:$B44,$B45 &amp; "*",$U$14:$U44)+$U45)</f>
        <v>0</v>
      </c>
      <c r="AC45" s="35">
        <f t="shared" si="17"/>
        <v>0</v>
      </c>
      <c r="AD45" s="35">
        <f t="shared" si="18"/>
        <v>0</v>
      </c>
      <c r="AE45" s="35">
        <f t="shared" si="19"/>
        <v>0</v>
      </c>
      <c r="AF45" s="35">
        <f t="shared" si="8"/>
        <v>0</v>
      </c>
      <c r="AG45" s="35">
        <f>IF(AND(INT($A45)&lt;12, $C45&lt;&gt;"Ya"),0,SUMIF($B$14:$B44, $B45 &amp;"*",$Q$14:$Q44)+$Q45)</f>
        <v>0</v>
      </c>
      <c r="AH45" s="35">
        <f t="shared" si="20"/>
        <v>0</v>
      </c>
      <c r="AI45" s="35">
        <f t="shared" ca="1" si="10"/>
        <v>0</v>
      </c>
    </row>
    <row r="46" spans="1:35" x14ac:dyDescent="0.25">
      <c r="A46" s="36">
        <v>4</v>
      </c>
      <c r="B46" s="37" t="s">
        <v>85</v>
      </c>
      <c r="C46" s="38" t="str">
        <f t="shared" si="0"/>
        <v>Tidak</v>
      </c>
      <c r="D46" s="39" t="str">
        <f t="shared" si="11"/>
        <v>Test 8</v>
      </c>
      <c r="E46" s="39" t="str">
        <f t="shared" si="1"/>
        <v>K/3</v>
      </c>
      <c r="F46" s="54">
        <f t="shared" si="2"/>
        <v>1.2</v>
      </c>
      <c r="G46" s="35">
        <v>10000000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40">
        <f t="shared" ca="1" si="3"/>
        <v>183299.38900203662</v>
      </c>
      <c r="O46" s="35">
        <f t="shared" ca="1" si="12"/>
        <v>10183299.389002036</v>
      </c>
      <c r="P46" s="41">
        <f t="shared" ca="1" si="4"/>
        <v>1.4999999999999999E-2</v>
      </c>
      <c r="Q46" s="35">
        <f t="shared" ca="1" si="13"/>
        <v>183299.38900203662</v>
      </c>
      <c r="R46" s="35">
        <f t="shared" si="14"/>
        <v>0</v>
      </c>
      <c r="S46" s="35">
        <v>0</v>
      </c>
      <c r="T46" s="35">
        <v>0</v>
      </c>
      <c r="U46" s="35">
        <v>0</v>
      </c>
      <c r="V46" s="35">
        <f t="shared" ca="1" si="15"/>
        <v>10000000</v>
      </c>
      <c r="W46" s="42">
        <f t="shared" ca="1" si="16"/>
        <v>500000</v>
      </c>
      <c r="X46" s="35">
        <f>IF(AND(INT($A46)&lt;12, $C46&lt;&gt;"Ya"),0,SUMIF($B$14:$B45,$B46&amp;"*",$O$14:$O45)+O46)</f>
        <v>0</v>
      </c>
      <c r="Y46" s="35">
        <f>IF(AND(INT($A46)&lt;12, $C46&lt;&gt;"Ya"),0,SUMIF($B$14:$B45,$B46&amp;"*",$W$14:$W45)+W46)</f>
        <v>0</v>
      </c>
      <c r="Z46" s="35">
        <f>IF(AND(INT($A46)&lt;12, $C46&lt;&gt;"Ya"),0,SUMIF($B$14:$B45, $B46 &amp;"*",$S$14:$S45)+$S46)</f>
        <v>0</v>
      </c>
      <c r="AA46" s="35">
        <f>IF(AND(INT($A46)&lt;12, $C46&lt;&gt;"Ya"),0,SUMIF($B$14:$B45, $B46&amp;"*",$T$14:$T45)+$T46)</f>
        <v>0</v>
      </c>
      <c r="AB46" s="35">
        <f>IF(AND(INT($A46)&lt;12, $C46&lt;&gt;"Ya"),0,SUMIF($B$14:$B45,$B46 &amp; "*",$U$14:$U45)+$U46)</f>
        <v>0</v>
      </c>
      <c r="AC46" s="35">
        <f t="shared" si="17"/>
        <v>0</v>
      </c>
      <c r="AD46" s="35">
        <f t="shared" si="18"/>
        <v>0</v>
      </c>
      <c r="AE46" s="35">
        <f t="shared" si="19"/>
        <v>0</v>
      </c>
      <c r="AF46" s="35">
        <f t="shared" si="8"/>
        <v>0</v>
      </c>
      <c r="AG46" s="35">
        <f>IF(AND(INT($A46)&lt;12, $C46&lt;&gt;"Ya"),0,SUMIF($B$14:$B45, $B46 &amp;"*",$Q$14:$Q45)+$Q46)</f>
        <v>0</v>
      </c>
      <c r="AH46" s="35">
        <f t="shared" si="20"/>
        <v>0</v>
      </c>
      <c r="AI46" s="35">
        <f t="shared" ca="1" si="10"/>
        <v>0</v>
      </c>
    </row>
    <row r="47" spans="1:35" x14ac:dyDescent="0.25">
      <c r="A47" s="36">
        <v>5</v>
      </c>
      <c r="B47" s="37" t="s">
        <v>67</v>
      </c>
      <c r="C47" s="38" t="str">
        <f t="shared" ref="C47:C78" si="21">IF(VLOOKUP(B47,MasterKaryawan,9)=0,"Tidak",IF(VLOOKUP(B47,MasterKaryawan,9)&gt;=DATE($B$13,A47+1,1),"Tidak",IF(VLOOKUP(B47,MasterKaryawan,9)&lt;DATE($B$13,A47,1),"Tidak Valid","Ya")))</f>
        <v>Tidak</v>
      </c>
      <c r="D47" s="39" t="str">
        <f t="shared" si="11"/>
        <v>Test 1</v>
      </c>
      <c r="E47" s="39" t="str">
        <f t="shared" ref="E47:E78" si="22">VLOOKUP($B47,MasterKaryawan,5)</f>
        <v>TK/0</v>
      </c>
      <c r="F47" s="54">
        <f t="shared" ref="F47:F78" si="23">IF(VLOOKUP($B47,MasterKaryawan,7)=0,120%,IF(VLOOKUP($B47,MasterKaryawan,7)&gt;DATE($B$13,$A47+1,1),120%,100%))</f>
        <v>1</v>
      </c>
      <c r="G47" s="35">
        <v>10000000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40">
        <f t="shared" ca="1" si="3"/>
        <v>0</v>
      </c>
      <c r="O47" s="35">
        <f t="shared" ca="1" si="12"/>
        <v>10000000</v>
      </c>
      <c r="P47" s="41">
        <f t="shared" ref="P47:P78" ca="1" si="24">IF(AND(INT(A47)&lt;12,C47&lt;&gt;"Ya"),VLOOKUP(O47,CHOOSE(VLOOKUP(E47,TER,2,FALSE),TERA,TERB,TERC),4,TRUE),"Tarif Pasal 17")</f>
        <v>0.02</v>
      </c>
      <c r="Q47" s="35">
        <f t="shared" ca="1" si="13"/>
        <v>200000</v>
      </c>
      <c r="R47" s="35">
        <f t="shared" si="14"/>
        <v>0</v>
      </c>
      <c r="S47" s="35">
        <v>0</v>
      </c>
      <c r="T47" s="35">
        <v>0</v>
      </c>
      <c r="U47" s="35">
        <v>0</v>
      </c>
      <c r="V47" s="35">
        <f t="shared" ca="1" si="15"/>
        <v>9800000</v>
      </c>
      <c r="W47" s="42">
        <f t="shared" ca="1" si="16"/>
        <v>500000</v>
      </c>
      <c r="X47" s="35">
        <f>IF(AND(INT($A47)&lt;12, $C47&lt;&gt;"Ya"),0,SUMIF($B$14:$B46,$B47&amp;"*",$O$14:$O46)+O47)</f>
        <v>0</v>
      </c>
      <c r="Y47" s="35">
        <f>IF(AND(INT($A47)&lt;12, $C47&lt;&gt;"Ya"),0,SUMIF($B$14:$B46,$B47&amp;"*",$W$14:$W46)+W47)</f>
        <v>0</v>
      </c>
      <c r="Z47" s="35">
        <f>IF(AND(INT($A47)&lt;12, $C47&lt;&gt;"Ya"),0,SUMIF($B$14:$B46, $B47 &amp;"*",$S$14:$S46)+$S47)</f>
        <v>0</v>
      </c>
      <c r="AA47" s="35">
        <f>IF(AND(INT($A47)&lt;12, $C47&lt;&gt;"Ya"),0,SUMIF($B$14:$B46, $B47&amp;"*",$T$14:$T46)+$T47)</f>
        <v>0</v>
      </c>
      <c r="AB47" s="35">
        <f>IF(AND(INT($A47)&lt;12, $C47&lt;&gt;"Ya"),0,SUMIF($B$14:$B46,$B47 &amp; "*",$U$14:$U46)+$U47)</f>
        <v>0</v>
      </c>
      <c r="AC47" s="35">
        <f t="shared" si="17"/>
        <v>0</v>
      </c>
      <c r="AD47" s="35">
        <f t="shared" si="18"/>
        <v>0</v>
      </c>
      <c r="AE47" s="35">
        <f t="shared" si="19"/>
        <v>0</v>
      </c>
      <c r="AF47" s="35">
        <f t="shared" ref="AF47:AF78" si="25">(VLOOKUP(AE47,LapisanPPh21,3,TRUE)*(AE47-VLOOKUP(AE47,LapisanPPh21,1))+VLOOKUP(AE47,LapisanPPh21,5))*$F47</f>
        <v>0</v>
      </c>
      <c r="AG47" s="35">
        <f>IF(AND(INT($A47)&lt;12, $C47&lt;&gt;"Ya"),0,SUMIF($B$14:$B46, $B47 &amp;"*",$Q$14:$Q46)+$Q47)</f>
        <v>0</v>
      </c>
      <c r="AH47" s="35">
        <f t="shared" si="20"/>
        <v>0</v>
      </c>
      <c r="AI47" s="35">
        <f t="shared" ref="AI47:AI78" ca="1" si="26">(Q47+R47-N47)*IF(VLOOKUP(B47,MasterKaryawan,7)&lt;&gt;"Ya",0,1)</f>
        <v>0</v>
      </c>
    </row>
    <row r="48" spans="1:35" x14ac:dyDescent="0.25">
      <c r="A48" s="36">
        <v>5</v>
      </c>
      <c r="B48" s="37" t="s">
        <v>71</v>
      </c>
      <c r="C48" s="38" t="str">
        <f t="shared" si="21"/>
        <v>Tidak</v>
      </c>
      <c r="D48" s="39" t="str">
        <f t="shared" ref="D48:D78" si="27">VLOOKUP(B48,MasterKaryawan,2)</f>
        <v>Test 2</v>
      </c>
      <c r="E48" s="39" t="str">
        <f t="shared" si="22"/>
        <v>TK/1</v>
      </c>
      <c r="F48" s="54">
        <f t="shared" si="23"/>
        <v>1</v>
      </c>
      <c r="G48" s="35">
        <v>10000000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40">
        <f t="shared" ca="1" si="3"/>
        <v>0</v>
      </c>
      <c r="O48" s="35">
        <f t="shared" ca="1" si="12"/>
        <v>10000000</v>
      </c>
      <c r="P48" s="41">
        <f t="shared" ca="1" si="24"/>
        <v>0.02</v>
      </c>
      <c r="Q48" s="35">
        <f t="shared" ca="1" si="13"/>
        <v>200000</v>
      </c>
      <c r="R48" s="35">
        <f t="shared" si="14"/>
        <v>0</v>
      </c>
      <c r="S48" s="35">
        <v>0</v>
      </c>
      <c r="T48" s="35">
        <v>0</v>
      </c>
      <c r="U48" s="35">
        <v>0</v>
      </c>
      <c r="V48" s="35">
        <f t="shared" ca="1" si="15"/>
        <v>9800000</v>
      </c>
      <c r="W48" s="42">
        <f t="shared" ca="1" si="16"/>
        <v>500000</v>
      </c>
      <c r="X48" s="35">
        <f>IF(AND(INT($A48)&lt;12, $C48&lt;&gt;"Ya"),0,SUMIF($B$14:$B47,$B48&amp;"*",$O$14:$O47)+O48)</f>
        <v>0</v>
      </c>
      <c r="Y48" s="35">
        <f>IF(AND(INT($A48)&lt;12, $C48&lt;&gt;"Ya"),0,SUMIF($B$14:$B47,$B48&amp;"*",$W$14:$W47)+W48)</f>
        <v>0</v>
      </c>
      <c r="Z48" s="35">
        <f>IF(AND(INT($A48)&lt;12, $C48&lt;&gt;"Ya"),0,SUMIF($B$14:$B47, $B48 &amp;"*",$S$14:$S47)+$S48)</f>
        <v>0</v>
      </c>
      <c r="AA48" s="35">
        <f>IF(AND(INT($A48)&lt;12, $C48&lt;&gt;"Ya"),0,SUMIF($B$14:$B47, $B48&amp;"*",$T$14:$T47)+$T48)</f>
        <v>0</v>
      </c>
      <c r="AB48" s="35">
        <f>IF(AND(INT($A48)&lt;12, $C48&lt;&gt;"Ya"),0,SUMIF($B$14:$B47,$B48 &amp; "*",$U$14:$U47)+$U48)</f>
        <v>0</v>
      </c>
      <c r="AC48" s="35">
        <f t="shared" si="17"/>
        <v>0</v>
      </c>
      <c r="AD48" s="35">
        <f t="shared" ref="AD48:AD79" si="28">IF(AND(INT($A48)&lt;12, $C48&lt;&gt;"Ya"),0,VLOOKUP(E48,PTKP,3,FALSE))</f>
        <v>0</v>
      </c>
      <c r="AE48" s="35">
        <f t="shared" si="19"/>
        <v>0</v>
      </c>
      <c r="AF48" s="35">
        <f t="shared" si="25"/>
        <v>0</v>
      </c>
      <c r="AG48" s="35">
        <f>IF(AND(INT($A48)&lt;12, $C48&lt;&gt;"Ya"),0,SUMIF($B$14:$B47, $B48 &amp;"*",$Q$14:$Q47)+$Q48)</f>
        <v>0</v>
      </c>
      <c r="AH48" s="35">
        <f t="shared" si="20"/>
        <v>0</v>
      </c>
      <c r="AI48" s="35">
        <f t="shared" ca="1" si="26"/>
        <v>0</v>
      </c>
    </row>
    <row r="49" spans="1:35" x14ac:dyDescent="0.25">
      <c r="A49" s="36">
        <v>5</v>
      </c>
      <c r="B49" s="37" t="s">
        <v>80</v>
      </c>
      <c r="C49" s="38" t="str">
        <f t="shared" si="21"/>
        <v>Tidak</v>
      </c>
      <c r="D49" s="39" t="str">
        <f t="shared" si="27"/>
        <v>Test 3</v>
      </c>
      <c r="E49" s="39" t="str">
        <f t="shared" si="22"/>
        <v>TK/2</v>
      </c>
      <c r="F49" s="54">
        <f t="shared" si="23"/>
        <v>1</v>
      </c>
      <c r="G49" s="35">
        <v>10000000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40">
        <f t="shared" ca="1" si="3"/>
        <v>0</v>
      </c>
      <c r="O49" s="35">
        <f t="shared" ca="1" si="12"/>
        <v>10000000</v>
      </c>
      <c r="P49" s="41">
        <f t="shared" ca="1" si="24"/>
        <v>1.4999999999999999E-2</v>
      </c>
      <c r="Q49" s="35">
        <f t="shared" ca="1" si="13"/>
        <v>150000</v>
      </c>
      <c r="R49" s="35">
        <f t="shared" si="14"/>
        <v>0</v>
      </c>
      <c r="S49" s="35">
        <v>0</v>
      </c>
      <c r="T49" s="35">
        <v>0</v>
      </c>
      <c r="U49" s="35">
        <v>0</v>
      </c>
      <c r="V49" s="35">
        <f t="shared" ca="1" si="15"/>
        <v>9850000</v>
      </c>
      <c r="W49" s="42">
        <f t="shared" ca="1" si="16"/>
        <v>500000</v>
      </c>
      <c r="X49" s="35">
        <f>IF(AND(INT($A49)&lt;12, $C49&lt;&gt;"Ya"),0,SUMIF($B$14:$B48,$B49&amp;"*",$O$14:$O48)+O49)</f>
        <v>0</v>
      </c>
      <c r="Y49" s="35">
        <f>IF(AND(INT($A49)&lt;12, $C49&lt;&gt;"Ya"),0,SUMIF($B$14:$B48,$B49&amp;"*",$W$14:$W48)+W49)</f>
        <v>0</v>
      </c>
      <c r="Z49" s="35">
        <f>IF(AND(INT($A49)&lt;12, $C49&lt;&gt;"Ya"),0,SUMIF($B$14:$B48, $B49 &amp;"*",$S$14:$S48)+$S49)</f>
        <v>0</v>
      </c>
      <c r="AA49" s="35">
        <f>IF(AND(INT($A49)&lt;12, $C49&lt;&gt;"Ya"),0,SUMIF($B$14:$B48, $B49&amp;"*",$T$14:$T48)+$T49)</f>
        <v>0</v>
      </c>
      <c r="AB49" s="35">
        <f>IF(AND(INT($A49)&lt;12, $C49&lt;&gt;"Ya"),0,SUMIF($B$14:$B48,$B49 &amp; "*",$U$14:$U48)+$U49)</f>
        <v>0</v>
      </c>
      <c r="AC49" s="35">
        <f t="shared" si="17"/>
        <v>0</v>
      </c>
      <c r="AD49" s="35">
        <f t="shared" si="28"/>
        <v>0</v>
      </c>
      <c r="AE49" s="35">
        <f t="shared" si="19"/>
        <v>0</v>
      </c>
      <c r="AF49" s="35">
        <f t="shared" si="25"/>
        <v>0</v>
      </c>
      <c r="AG49" s="35">
        <f>IF(AND(INT($A49)&lt;12, $C49&lt;&gt;"Ya"),0,SUMIF($B$14:$B48, $B49 &amp;"*",$Q$14:$Q48)+$Q49)</f>
        <v>0</v>
      </c>
      <c r="AH49" s="35">
        <f t="shared" si="20"/>
        <v>0</v>
      </c>
      <c r="AI49" s="35">
        <f t="shared" ca="1" si="26"/>
        <v>0</v>
      </c>
    </row>
    <row r="50" spans="1:35" x14ac:dyDescent="0.25">
      <c r="A50" s="36">
        <v>5</v>
      </c>
      <c r="B50" s="37" t="s">
        <v>81</v>
      </c>
      <c r="C50" s="38" t="str">
        <f t="shared" si="21"/>
        <v>Tidak</v>
      </c>
      <c r="D50" s="39" t="str">
        <f t="shared" si="27"/>
        <v>Test 4</v>
      </c>
      <c r="E50" s="39" t="str">
        <f t="shared" si="22"/>
        <v>TK/3</v>
      </c>
      <c r="F50" s="54">
        <f t="shared" si="23"/>
        <v>1</v>
      </c>
      <c r="G50" s="35">
        <v>10000000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40">
        <f t="shared" ca="1" si="3"/>
        <v>0</v>
      </c>
      <c r="O50" s="35">
        <f t="shared" ca="1" si="12"/>
        <v>10000000</v>
      </c>
      <c r="P50" s="41">
        <f t="shared" ca="1" si="24"/>
        <v>1.4999999999999999E-2</v>
      </c>
      <c r="Q50" s="35">
        <f t="shared" ca="1" si="13"/>
        <v>150000</v>
      </c>
      <c r="R50" s="35">
        <f t="shared" si="14"/>
        <v>0</v>
      </c>
      <c r="S50" s="35">
        <v>0</v>
      </c>
      <c r="T50" s="35">
        <v>0</v>
      </c>
      <c r="U50" s="35">
        <v>0</v>
      </c>
      <c r="V50" s="35">
        <f t="shared" ca="1" si="15"/>
        <v>9850000</v>
      </c>
      <c r="W50" s="42">
        <f t="shared" ca="1" si="16"/>
        <v>500000</v>
      </c>
      <c r="X50" s="35">
        <f>IF(AND(INT($A50)&lt;12, $C50&lt;&gt;"Ya"),0,SUMIF($B$14:$B49,$B50&amp;"*",$O$14:$O49)+O50)</f>
        <v>0</v>
      </c>
      <c r="Y50" s="35">
        <f>IF(AND(INT($A50)&lt;12, $C50&lt;&gt;"Ya"),0,SUMIF($B$14:$B49,$B50&amp;"*",$W$14:$W49)+W50)</f>
        <v>0</v>
      </c>
      <c r="Z50" s="35">
        <f>IF(AND(INT($A50)&lt;12, $C50&lt;&gt;"Ya"),0,SUMIF($B$14:$B49, $B50 &amp;"*",$S$14:$S49)+$S50)</f>
        <v>0</v>
      </c>
      <c r="AA50" s="35">
        <f>IF(AND(INT($A50)&lt;12, $C50&lt;&gt;"Ya"),0,SUMIF($B$14:$B49, $B50&amp;"*",$T$14:$T49)+$T50)</f>
        <v>0</v>
      </c>
      <c r="AB50" s="35">
        <f>IF(AND(INT($A50)&lt;12, $C50&lt;&gt;"Ya"),0,SUMIF($B$14:$B49,$B50 &amp; "*",$U$14:$U49)+$U50)</f>
        <v>0</v>
      </c>
      <c r="AC50" s="35">
        <f t="shared" si="17"/>
        <v>0</v>
      </c>
      <c r="AD50" s="35">
        <f t="shared" si="28"/>
        <v>0</v>
      </c>
      <c r="AE50" s="35">
        <f t="shared" si="19"/>
        <v>0</v>
      </c>
      <c r="AF50" s="35">
        <f t="shared" si="25"/>
        <v>0</v>
      </c>
      <c r="AG50" s="35">
        <f>IF(AND(INT($A50)&lt;12, $C50&lt;&gt;"Ya"),0,SUMIF($B$14:$B49, $B50 &amp;"*",$Q$14:$Q49)+$Q50)</f>
        <v>0</v>
      </c>
      <c r="AH50" s="35">
        <f t="shared" si="20"/>
        <v>0</v>
      </c>
      <c r="AI50" s="35">
        <f t="shared" ca="1" si="26"/>
        <v>0</v>
      </c>
    </row>
    <row r="51" spans="1:35" x14ac:dyDescent="0.25">
      <c r="A51" s="36">
        <v>5</v>
      </c>
      <c r="B51" s="37" t="s">
        <v>82</v>
      </c>
      <c r="C51" s="38" t="str">
        <f t="shared" si="21"/>
        <v>Tidak</v>
      </c>
      <c r="D51" s="39" t="str">
        <f t="shared" si="27"/>
        <v>Test 5</v>
      </c>
      <c r="E51" s="39" t="str">
        <f t="shared" si="22"/>
        <v>K/0</v>
      </c>
      <c r="F51" s="54">
        <f t="shared" si="23"/>
        <v>1</v>
      </c>
      <c r="G51" s="35">
        <v>10000000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40">
        <f t="shared" ca="1" si="3"/>
        <v>0</v>
      </c>
      <c r="O51" s="35">
        <f t="shared" ca="1" si="12"/>
        <v>10000000</v>
      </c>
      <c r="P51" s="41">
        <f t="shared" ca="1" si="24"/>
        <v>0.02</v>
      </c>
      <c r="Q51" s="35">
        <f t="shared" ca="1" si="13"/>
        <v>200000</v>
      </c>
      <c r="R51" s="35">
        <f t="shared" si="14"/>
        <v>0</v>
      </c>
      <c r="S51" s="35">
        <v>0</v>
      </c>
      <c r="T51" s="35">
        <v>0</v>
      </c>
      <c r="U51" s="35">
        <v>0</v>
      </c>
      <c r="V51" s="35">
        <f t="shared" ca="1" si="15"/>
        <v>9800000</v>
      </c>
      <c r="W51" s="42">
        <f t="shared" ca="1" si="16"/>
        <v>500000</v>
      </c>
      <c r="X51" s="35">
        <f>IF(AND(INT($A51)&lt;12, $C51&lt;&gt;"Ya"),0,SUMIF($B$14:$B50,$B51&amp;"*",$O$14:$O50)+O51)</f>
        <v>0</v>
      </c>
      <c r="Y51" s="35">
        <f>IF(AND(INT($A51)&lt;12, $C51&lt;&gt;"Ya"),0,SUMIF($B$14:$B50,$B51&amp;"*",$W$14:$W50)+W51)</f>
        <v>0</v>
      </c>
      <c r="Z51" s="35">
        <f>IF(AND(INT($A51)&lt;12, $C51&lt;&gt;"Ya"),0,SUMIF($B$14:$B50, $B51 &amp;"*",$S$14:$S50)+$S51)</f>
        <v>0</v>
      </c>
      <c r="AA51" s="35">
        <f>IF(AND(INT($A51)&lt;12, $C51&lt;&gt;"Ya"),0,SUMIF($B$14:$B50, $B51&amp;"*",$T$14:$T50)+$T51)</f>
        <v>0</v>
      </c>
      <c r="AB51" s="35">
        <f>IF(AND(INT($A51)&lt;12, $C51&lt;&gt;"Ya"),0,SUMIF($B$14:$B50,$B51 &amp; "*",$U$14:$U50)+$U51)</f>
        <v>0</v>
      </c>
      <c r="AC51" s="35">
        <f t="shared" si="17"/>
        <v>0</v>
      </c>
      <c r="AD51" s="35">
        <f t="shared" si="28"/>
        <v>0</v>
      </c>
      <c r="AE51" s="35">
        <f t="shared" si="19"/>
        <v>0</v>
      </c>
      <c r="AF51" s="35">
        <f t="shared" si="25"/>
        <v>0</v>
      </c>
      <c r="AG51" s="35">
        <f>IF(AND(INT($A51)&lt;12, $C51&lt;&gt;"Ya"),0,SUMIF($B$14:$B50, $B51 &amp;"*",$Q$14:$Q50)+$Q51)</f>
        <v>0</v>
      </c>
      <c r="AH51" s="35">
        <f t="shared" si="20"/>
        <v>0</v>
      </c>
      <c r="AI51" s="35">
        <f t="shared" ca="1" si="26"/>
        <v>0</v>
      </c>
    </row>
    <row r="52" spans="1:35" x14ac:dyDescent="0.25">
      <c r="A52" s="36">
        <v>5</v>
      </c>
      <c r="B52" s="37" t="s">
        <v>83</v>
      </c>
      <c r="C52" s="38" t="str">
        <f t="shared" si="21"/>
        <v>Tidak</v>
      </c>
      <c r="D52" s="39" t="str">
        <f t="shared" si="27"/>
        <v>Test 6</v>
      </c>
      <c r="E52" s="39" t="str">
        <f t="shared" si="22"/>
        <v>K/1</v>
      </c>
      <c r="F52" s="54">
        <f t="shared" si="23"/>
        <v>1</v>
      </c>
      <c r="G52" s="35">
        <v>10000000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40">
        <f t="shared" ca="1" si="3"/>
        <v>0</v>
      </c>
      <c r="O52" s="35">
        <f t="shared" ca="1" si="12"/>
        <v>10000000</v>
      </c>
      <c r="P52" s="41">
        <f t="shared" ca="1" si="24"/>
        <v>1.4999999999999999E-2</v>
      </c>
      <c r="Q52" s="35">
        <f t="shared" ca="1" si="13"/>
        <v>150000</v>
      </c>
      <c r="R52" s="35">
        <f t="shared" si="14"/>
        <v>0</v>
      </c>
      <c r="S52" s="35">
        <v>0</v>
      </c>
      <c r="T52" s="35">
        <v>0</v>
      </c>
      <c r="U52" s="35">
        <v>0</v>
      </c>
      <c r="V52" s="35">
        <f t="shared" ca="1" si="15"/>
        <v>9850000</v>
      </c>
      <c r="W52" s="42">
        <f t="shared" ca="1" si="16"/>
        <v>500000</v>
      </c>
      <c r="X52" s="35">
        <f>IF(AND(INT($A52)&lt;12, $C52&lt;&gt;"Ya"),0,SUMIF($B$14:$B51,$B52&amp;"*",$O$14:$O51)+O52)</f>
        <v>0</v>
      </c>
      <c r="Y52" s="35">
        <f>IF(AND(INT($A52)&lt;12, $C52&lt;&gt;"Ya"),0,SUMIF($B$14:$B51,$B52&amp;"*",$W$14:$W51)+W52)</f>
        <v>0</v>
      </c>
      <c r="Z52" s="35">
        <f>IF(AND(INT($A52)&lt;12, $C52&lt;&gt;"Ya"),0,SUMIF($B$14:$B51, $B52 &amp;"*",$S$14:$S51)+$S52)</f>
        <v>0</v>
      </c>
      <c r="AA52" s="35">
        <f>IF(AND(INT($A52)&lt;12, $C52&lt;&gt;"Ya"),0,SUMIF($B$14:$B51, $B52&amp;"*",$T$14:$T51)+$T52)</f>
        <v>0</v>
      </c>
      <c r="AB52" s="35">
        <f>IF(AND(INT($A52)&lt;12, $C52&lt;&gt;"Ya"),0,SUMIF($B$14:$B51,$B52 &amp; "*",$U$14:$U51)+$U52)</f>
        <v>0</v>
      </c>
      <c r="AC52" s="35">
        <f t="shared" si="17"/>
        <v>0</v>
      </c>
      <c r="AD52" s="35">
        <f t="shared" si="28"/>
        <v>0</v>
      </c>
      <c r="AE52" s="35">
        <f t="shared" si="19"/>
        <v>0</v>
      </c>
      <c r="AF52" s="35">
        <f t="shared" si="25"/>
        <v>0</v>
      </c>
      <c r="AG52" s="35">
        <f>IF(AND(INT($A52)&lt;12, $C52&lt;&gt;"Ya"),0,SUMIF($B$14:$B51, $B52 &amp;"*",$Q$14:$Q51)+$Q52)</f>
        <v>0</v>
      </c>
      <c r="AH52" s="35">
        <f t="shared" si="20"/>
        <v>0</v>
      </c>
      <c r="AI52" s="35">
        <f t="shared" ca="1" si="26"/>
        <v>0</v>
      </c>
    </row>
    <row r="53" spans="1:35" x14ac:dyDescent="0.25">
      <c r="A53" s="36">
        <v>5</v>
      </c>
      <c r="B53" s="37" t="s">
        <v>84</v>
      </c>
      <c r="C53" s="38" t="str">
        <f t="shared" si="21"/>
        <v>Tidak</v>
      </c>
      <c r="D53" s="39" t="str">
        <f t="shared" si="27"/>
        <v>Test 7</v>
      </c>
      <c r="E53" s="39" t="str">
        <f t="shared" si="22"/>
        <v>K/2</v>
      </c>
      <c r="F53" s="54">
        <f t="shared" si="23"/>
        <v>1</v>
      </c>
      <c r="G53" s="35">
        <v>10000000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40">
        <f t="shared" ca="1" si="3"/>
        <v>152284.26395939087</v>
      </c>
      <c r="O53" s="35">
        <f t="shared" ca="1" si="12"/>
        <v>10152284.263959391</v>
      </c>
      <c r="P53" s="41">
        <f t="shared" ca="1" si="24"/>
        <v>1.4999999999999999E-2</v>
      </c>
      <c r="Q53" s="35">
        <f t="shared" ca="1" si="13"/>
        <v>152284.26395939087</v>
      </c>
      <c r="R53" s="35">
        <f t="shared" si="14"/>
        <v>0</v>
      </c>
      <c r="S53" s="35">
        <v>0</v>
      </c>
      <c r="T53" s="35">
        <v>0</v>
      </c>
      <c r="U53" s="35">
        <v>0</v>
      </c>
      <c r="V53" s="35">
        <f t="shared" ca="1" si="15"/>
        <v>10000000</v>
      </c>
      <c r="W53" s="42">
        <f t="shared" ca="1" si="16"/>
        <v>500000</v>
      </c>
      <c r="X53" s="35">
        <f>IF(AND(INT($A53)&lt;12, $C53&lt;&gt;"Ya"),0,SUMIF($B$14:$B52,$B53&amp;"*",$O$14:$O52)+O53)</f>
        <v>0</v>
      </c>
      <c r="Y53" s="35">
        <f>IF(AND(INT($A53)&lt;12, $C53&lt;&gt;"Ya"),0,SUMIF($B$14:$B52,$B53&amp;"*",$W$14:$W52)+W53)</f>
        <v>0</v>
      </c>
      <c r="Z53" s="35">
        <f>IF(AND(INT($A53)&lt;12, $C53&lt;&gt;"Ya"),0,SUMIF($B$14:$B52, $B53 &amp;"*",$S$14:$S52)+$S53)</f>
        <v>0</v>
      </c>
      <c r="AA53" s="35">
        <f>IF(AND(INT($A53)&lt;12, $C53&lt;&gt;"Ya"),0,SUMIF($B$14:$B52, $B53&amp;"*",$T$14:$T52)+$T53)</f>
        <v>0</v>
      </c>
      <c r="AB53" s="35">
        <f>IF(AND(INT($A53)&lt;12, $C53&lt;&gt;"Ya"),0,SUMIF($B$14:$B52,$B53 &amp; "*",$U$14:$U52)+$U53)</f>
        <v>0</v>
      </c>
      <c r="AC53" s="35">
        <f t="shared" si="17"/>
        <v>0</v>
      </c>
      <c r="AD53" s="35">
        <f t="shared" si="28"/>
        <v>0</v>
      </c>
      <c r="AE53" s="35">
        <f t="shared" si="19"/>
        <v>0</v>
      </c>
      <c r="AF53" s="35">
        <f t="shared" si="25"/>
        <v>0</v>
      </c>
      <c r="AG53" s="35">
        <f>IF(AND(INT($A53)&lt;12, $C53&lt;&gt;"Ya"),0,SUMIF($B$14:$B52, $B53 &amp;"*",$Q$14:$Q52)+$Q53)</f>
        <v>0</v>
      </c>
      <c r="AH53" s="35">
        <f t="shared" si="20"/>
        <v>0</v>
      </c>
      <c r="AI53" s="35">
        <f t="shared" ca="1" si="26"/>
        <v>0</v>
      </c>
    </row>
    <row r="54" spans="1:35" x14ac:dyDescent="0.25">
      <c r="A54" s="36">
        <v>5</v>
      </c>
      <c r="B54" s="37" t="s">
        <v>85</v>
      </c>
      <c r="C54" s="38" t="str">
        <f t="shared" si="21"/>
        <v>Tidak</v>
      </c>
      <c r="D54" s="39" t="str">
        <f t="shared" si="27"/>
        <v>Test 8</v>
      </c>
      <c r="E54" s="39" t="str">
        <f t="shared" si="22"/>
        <v>K/3</v>
      </c>
      <c r="F54" s="54">
        <f t="shared" si="23"/>
        <v>1.2</v>
      </c>
      <c r="G54" s="35">
        <v>10000000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40">
        <f t="shared" ca="1" si="3"/>
        <v>183299.38900203662</v>
      </c>
      <c r="O54" s="35">
        <f t="shared" ca="1" si="12"/>
        <v>10183299.389002036</v>
      </c>
      <c r="P54" s="41">
        <f t="shared" ca="1" si="24"/>
        <v>1.4999999999999999E-2</v>
      </c>
      <c r="Q54" s="35">
        <f t="shared" ca="1" si="13"/>
        <v>183299.38900203662</v>
      </c>
      <c r="R54" s="35">
        <f t="shared" si="14"/>
        <v>0</v>
      </c>
      <c r="S54" s="35">
        <v>0</v>
      </c>
      <c r="T54" s="35">
        <v>0</v>
      </c>
      <c r="U54" s="35">
        <v>0</v>
      </c>
      <c r="V54" s="35">
        <f t="shared" ca="1" si="15"/>
        <v>10000000</v>
      </c>
      <c r="W54" s="42">
        <f t="shared" ca="1" si="16"/>
        <v>500000</v>
      </c>
      <c r="X54" s="35">
        <f>IF(AND(INT($A54)&lt;12, $C54&lt;&gt;"Ya"),0,SUMIF($B$14:$B53,$B54&amp;"*",$O$14:$O53)+O54)</f>
        <v>0</v>
      </c>
      <c r="Y54" s="35">
        <f>IF(AND(INT($A54)&lt;12, $C54&lt;&gt;"Ya"),0,SUMIF($B$14:$B53,$B54&amp;"*",$W$14:$W53)+W54)</f>
        <v>0</v>
      </c>
      <c r="Z54" s="35">
        <f>IF(AND(INT($A54)&lt;12, $C54&lt;&gt;"Ya"),0,SUMIF($B$14:$B53, $B54 &amp;"*",$S$14:$S53)+$S54)</f>
        <v>0</v>
      </c>
      <c r="AA54" s="35">
        <f>IF(AND(INT($A54)&lt;12, $C54&lt;&gt;"Ya"),0,SUMIF($B$14:$B53, $B54&amp;"*",$T$14:$T53)+$T54)</f>
        <v>0</v>
      </c>
      <c r="AB54" s="35">
        <f>IF(AND(INT($A54)&lt;12, $C54&lt;&gt;"Ya"),0,SUMIF($B$14:$B53,$B54 &amp; "*",$U$14:$U53)+$U54)</f>
        <v>0</v>
      </c>
      <c r="AC54" s="35">
        <f t="shared" si="17"/>
        <v>0</v>
      </c>
      <c r="AD54" s="35">
        <f t="shared" si="28"/>
        <v>0</v>
      </c>
      <c r="AE54" s="35">
        <f t="shared" si="19"/>
        <v>0</v>
      </c>
      <c r="AF54" s="35">
        <f t="shared" si="25"/>
        <v>0</v>
      </c>
      <c r="AG54" s="35">
        <f>IF(AND(INT($A54)&lt;12, $C54&lt;&gt;"Ya"),0,SUMIF($B$14:$B53, $B54 &amp;"*",$Q$14:$Q53)+$Q54)</f>
        <v>0</v>
      </c>
      <c r="AH54" s="35">
        <f t="shared" si="20"/>
        <v>0</v>
      </c>
      <c r="AI54" s="35">
        <f t="shared" ca="1" si="26"/>
        <v>0</v>
      </c>
    </row>
    <row r="55" spans="1:35" x14ac:dyDescent="0.25">
      <c r="A55" s="36">
        <v>6</v>
      </c>
      <c r="B55" s="37" t="s">
        <v>67</v>
      </c>
      <c r="C55" s="38" t="str">
        <f t="shared" si="21"/>
        <v>Tidak</v>
      </c>
      <c r="D55" s="39" t="str">
        <f t="shared" si="27"/>
        <v>Test 1</v>
      </c>
      <c r="E55" s="39" t="str">
        <f t="shared" si="22"/>
        <v>TK/0</v>
      </c>
      <c r="F55" s="54">
        <f t="shared" si="23"/>
        <v>1</v>
      </c>
      <c r="G55" s="35">
        <v>10000000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40">
        <f t="shared" ca="1" si="3"/>
        <v>0</v>
      </c>
      <c r="O55" s="35">
        <f t="shared" ca="1" si="12"/>
        <v>10000000</v>
      </c>
      <c r="P55" s="41">
        <f t="shared" ca="1" si="24"/>
        <v>0.02</v>
      </c>
      <c r="Q55" s="35">
        <f t="shared" ca="1" si="13"/>
        <v>200000</v>
      </c>
      <c r="R55" s="35">
        <f t="shared" si="14"/>
        <v>0</v>
      </c>
      <c r="S55" s="35">
        <v>0</v>
      </c>
      <c r="T55" s="35">
        <v>0</v>
      </c>
      <c r="U55" s="35">
        <v>0</v>
      </c>
      <c r="V55" s="35">
        <f t="shared" ca="1" si="15"/>
        <v>9800000</v>
      </c>
      <c r="W55" s="42">
        <f t="shared" ca="1" si="16"/>
        <v>500000</v>
      </c>
      <c r="X55" s="35">
        <f>IF(AND(INT($A55)&lt;12, $C55&lt;&gt;"Ya"),0,SUMIF($B$14:$B54,$B55&amp;"*",$O$14:$O54)+O55)</f>
        <v>0</v>
      </c>
      <c r="Y55" s="35">
        <f>IF(AND(INT($A55)&lt;12, $C55&lt;&gt;"Ya"),0,SUMIF($B$14:$B54,$B55&amp;"*",$W$14:$W54)+W55)</f>
        <v>0</v>
      </c>
      <c r="Z55" s="35">
        <f>IF(AND(INT($A55)&lt;12, $C55&lt;&gt;"Ya"),0,SUMIF($B$14:$B54, $B55 &amp;"*",$S$14:$S54)+$S55)</f>
        <v>0</v>
      </c>
      <c r="AA55" s="35">
        <f>IF(AND(INT($A55)&lt;12, $C55&lt;&gt;"Ya"),0,SUMIF($B$14:$B54, $B55&amp;"*",$T$14:$T54)+$T55)</f>
        <v>0</v>
      </c>
      <c r="AB55" s="35">
        <f>IF(AND(INT($A55)&lt;12, $C55&lt;&gt;"Ya"),0,SUMIF($B$14:$B54,$B55 &amp; "*",$U$14:$U54)+$U55)</f>
        <v>0</v>
      </c>
      <c r="AC55" s="35">
        <f t="shared" si="17"/>
        <v>0</v>
      </c>
      <c r="AD55" s="35">
        <f t="shared" si="28"/>
        <v>0</v>
      </c>
      <c r="AE55" s="35">
        <f t="shared" si="19"/>
        <v>0</v>
      </c>
      <c r="AF55" s="35">
        <f t="shared" si="25"/>
        <v>0</v>
      </c>
      <c r="AG55" s="35">
        <f>IF(AND(INT($A55)&lt;12, $C55&lt;&gt;"Ya"),0,SUMIF($B$14:$B54, $B55 &amp;"*",$Q$14:$Q54)+$Q55)</f>
        <v>0</v>
      </c>
      <c r="AH55" s="35">
        <f t="shared" si="20"/>
        <v>0</v>
      </c>
      <c r="AI55" s="35">
        <f t="shared" ca="1" si="26"/>
        <v>0</v>
      </c>
    </row>
    <row r="56" spans="1:35" x14ac:dyDescent="0.25">
      <c r="A56" s="36">
        <v>6</v>
      </c>
      <c r="B56" s="37" t="s">
        <v>71</v>
      </c>
      <c r="C56" s="38" t="str">
        <f t="shared" si="21"/>
        <v>Tidak</v>
      </c>
      <c r="D56" s="39" t="str">
        <f t="shared" si="27"/>
        <v>Test 2</v>
      </c>
      <c r="E56" s="39" t="str">
        <f t="shared" si="22"/>
        <v>TK/1</v>
      </c>
      <c r="F56" s="54">
        <f t="shared" si="23"/>
        <v>1</v>
      </c>
      <c r="G56" s="35">
        <v>10000000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40">
        <f t="shared" ca="1" si="3"/>
        <v>0</v>
      </c>
      <c r="O56" s="35">
        <f t="shared" ca="1" si="12"/>
        <v>10000000</v>
      </c>
      <c r="P56" s="41">
        <f t="shared" ca="1" si="24"/>
        <v>0.02</v>
      </c>
      <c r="Q56" s="35">
        <f t="shared" ca="1" si="13"/>
        <v>200000</v>
      </c>
      <c r="R56" s="35">
        <f t="shared" si="14"/>
        <v>0</v>
      </c>
      <c r="S56" s="35">
        <v>0</v>
      </c>
      <c r="T56" s="35">
        <v>0</v>
      </c>
      <c r="U56" s="35">
        <v>0</v>
      </c>
      <c r="V56" s="35">
        <f t="shared" ca="1" si="15"/>
        <v>9800000</v>
      </c>
      <c r="W56" s="42">
        <f t="shared" ca="1" si="16"/>
        <v>500000</v>
      </c>
      <c r="X56" s="35">
        <f>IF(AND(INT($A56)&lt;12, $C56&lt;&gt;"Ya"),0,SUMIF($B$14:$B55,$B56&amp;"*",$O$14:$O55)+O56)</f>
        <v>0</v>
      </c>
      <c r="Y56" s="35">
        <f>IF(AND(INT($A56)&lt;12, $C56&lt;&gt;"Ya"),0,SUMIF($B$14:$B55,$B56&amp;"*",$W$14:$W55)+W56)</f>
        <v>0</v>
      </c>
      <c r="Z56" s="35">
        <f>IF(AND(INT($A56)&lt;12, $C56&lt;&gt;"Ya"),0,SUMIF($B$14:$B55, $B56 &amp;"*",$S$14:$S55)+$S56)</f>
        <v>0</v>
      </c>
      <c r="AA56" s="35">
        <f>IF(AND(INT($A56)&lt;12, $C56&lt;&gt;"Ya"),0,SUMIF($B$14:$B55, $B56&amp;"*",$T$14:$T55)+$T56)</f>
        <v>0</v>
      </c>
      <c r="AB56" s="35">
        <f>IF(AND(INT($A56)&lt;12, $C56&lt;&gt;"Ya"),0,SUMIF($B$14:$B55,$B56 &amp; "*",$U$14:$U55)+$U56)</f>
        <v>0</v>
      </c>
      <c r="AC56" s="35">
        <f t="shared" si="17"/>
        <v>0</v>
      </c>
      <c r="AD56" s="35">
        <f t="shared" si="28"/>
        <v>0</v>
      </c>
      <c r="AE56" s="35">
        <f t="shared" si="19"/>
        <v>0</v>
      </c>
      <c r="AF56" s="35">
        <f t="shared" si="25"/>
        <v>0</v>
      </c>
      <c r="AG56" s="35">
        <f>IF(AND(INT($A56)&lt;12, $C56&lt;&gt;"Ya"),0,SUMIF($B$14:$B55, $B56 &amp;"*",$Q$14:$Q55)+$Q56)</f>
        <v>0</v>
      </c>
      <c r="AH56" s="35">
        <f t="shared" si="20"/>
        <v>0</v>
      </c>
      <c r="AI56" s="35">
        <f t="shared" ca="1" si="26"/>
        <v>0</v>
      </c>
    </row>
    <row r="57" spans="1:35" x14ac:dyDescent="0.25">
      <c r="A57" s="36">
        <v>6</v>
      </c>
      <c r="B57" s="37" t="s">
        <v>80</v>
      </c>
      <c r="C57" s="38" t="str">
        <f t="shared" si="21"/>
        <v>Tidak</v>
      </c>
      <c r="D57" s="39" t="str">
        <f t="shared" si="27"/>
        <v>Test 3</v>
      </c>
      <c r="E57" s="39" t="str">
        <f t="shared" si="22"/>
        <v>TK/2</v>
      </c>
      <c r="F57" s="54">
        <f t="shared" si="23"/>
        <v>1</v>
      </c>
      <c r="G57" s="35">
        <v>10000000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40">
        <f t="shared" ca="1" si="3"/>
        <v>0</v>
      </c>
      <c r="O57" s="35">
        <f t="shared" ca="1" si="12"/>
        <v>10000000</v>
      </c>
      <c r="P57" s="41">
        <f t="shared" ca="1" si="24"/>
        <v>1.4999999999999999E-2</v>
      </c>
      <c r="Q57" s="35">
        <f t="shared" ca="1" si="13"/>
        <v>150000</v>
      </c>
      <c r="R57" s="35">
        <f t="shared" si="14"/>
        <v>0</v>
      </c>
      <c r="S57" s="35">
        <v>0</v>
      </c>
      <c r="T57" s="35">
        <v>0</v>
      </c>
      <c r="U57" s="35">
        <v>0</v>
      </c>
      <c r="V57" s="35">
        <f t="shared" ca="1" si="15"/>
        <v>9850000</v>
      </c>
      <c r="W57" s="42">
        <f t="shared" ca="1" si="16"/>
        <v>500000</v>
      </c>
      <c r="X57" s="35">
        <f>IF(AND(INT($A57)&lt;12, $C57&lt;&gt;"Ya"),0,SUMIF($B$14:$B56,$B57&amp;"*",$O$14:$O56)+O57)</f>
        <v>0</v>
      </c>
      <c r="Y57" s="35">
        <f>IF(AND(INT($A57)&lt;12, $C57&lt;&gt;"Ya"),0,SUMIF($B$14:$B56,$B57&amp;"*",$W$14:$W56)+W57)</f>
        <v>0</v>
      </c>
      <c r="Z57" s="35">
        <f>IF(AND(INT($A57)&lt;12, $C57&lt;&gt;"Ya"),0,SUMIF($B$14:$B56, $B57 &amp;"*",$S$14:$S56)+$S57)</f>
        <v>0</v>
      </c>
      <c r="AA57" s="35">
        <f>IF(AND(INT($A57)&lt;12, $C57&lt;&gt;"Ya"),0,SUMIF($B$14:$B56, $B57&amp;"*",$T$14:$T56)+$T57)</f>
        <v>0</v>
      </c>
      <c r="AB57" s="35">
        <f>IF(AND(INT($A57)&lt;12, $C57&lt;&gt;"Ya"),0,SUMIF($B$14:$B56,$B57 &amp; "*",$U$14:$U56)+$U57)</f>
        <v>0</v>
      </c>
      <c r="AC57" s="35">
        <f t="shared" si="17"/>
        <v>0</v>
      </c>
      <c r="AD57" s="35">
        <f t="shared" si="28"/>
        <v>0</v>
      </c>
      <c r="AE57" s="35">
        <f t="shared" si="19"/>
        <v>0</v>
      </c>
      <c r="AF57" s="35">
        <f t="shared" si="25"/>
        <v>0</v>
      </c>
      <c r="AG57" s="35">
        <f>IF(AND(INT($A57)&lt;12, $C57&lt;&gt;"Ya"),0,SUMIF($B$14:$B56, $B57 &amp;"*",$Q$14:$Q56)+$Q57)</f>
        <v>0</v>
      </c>
      <c r="AH57" s="35">
        <f t="shared" si="20"/>
        <v>0</v>
      </c>
      <c r="AI57" s="35">
        <f t="shared" ca="1" si="26"/>
        <v>0</v>
      </c>
    </row>
    <row r="58" spans="1:35" x14ac:dyDescent="0.25">
      <c r="A58" s="36">
        <v>6</v>
      </c>
      <c r="B58" s="37" t="s">
        <v>81</v>
      </c>
      <c r="C58" s="38" t="str">
        <f t="shared" si="21"/>
        <v>Tidak</v>
      </c>
      <c r="D58" s="39" t="str">
        <f t="shared" si="27"/>
        <v>Test 4</v>
      </c>
      <c r="E58" s="39" t="str">
        <f t="shared" si="22"/>
        <v>TK/3</v>
      </c>
      <c r="F58" s="54">
        <f t="shared" si="23"/>
        <v>1</v>
      </c>
      <c r="G58" s="35">
        <v>10000000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40">
        <f t="shared" ca="1" si="3"/>
        <v>0</v>
      </c>
      <c r="O58" s="35">
        <f t="shared" ca="1" si="12"/>
        <v>10000000</v>
      </c>
      <c r="P58" s="41">
        <f t="shared" ca="1" si="24"/>
        <v>1.4999999999999999E-2</v>
      </c>
      <c r="Q58" s="35">
        <f t="shared" ca="1" si="13"/>
        <v>150000</v>
      </c>
      <c r="R58" s="35">
        <f t="shared" si="14"/>
        <v>0</v>
      </c>
      <c r="S58" s="35">
        <v>0</v>
      </c>
      <c r="T58" s="35">
        <v>0</v>
      </c>
      <c r="U58" s="35">
        <v>0</v>
      </c>
      <c r="V58" s="35">
        <f t="shared" ca="1" si="15"/>
        <v>9850000</v>
      </c>
      <c r="W58" s="42">
        <f t="shared" ca="1" si="16"/>
        <v>500000</v>
      </c>
      <c r="X58" s="35">
        <f>IF(AND(INT($A58)&lt;12, $C58&lt;&gt;"Ya"),0,SUMIF($B$14:$B57,$B58&amp;"*",$O$14:$O57)+O58)</f>
        <v>0</v>
      </c>
      <c r="Y58" s="35">
        <f>IF(AND(INT($A58)&lt;12, $C58&lt;&gt;"Ya"),0,SUMIF($B$14:$B57,$B58&amp;"*",$W$14:$W57)+W58)</f>
        <v>0</v>
      </c>
      <c r="Z58" s="35">
        <f>IF(AND(INT($A58)&lt;12, $C58&lt;&gt;"Ya"),0,SUMIF($B$14:$B57, $B58 &amp;"*",$S$14:$S57)+$S58)</f>
        <v>0</v>
      </c>
      <c r="AA58" s="35">
        <f>IF(AND(INT($A58)&lt;12, $C58&lt;&gt;"Ya"),0,SUMIF($B$14:$B57, $B58&amp;"*",$T$14:$T57)+$T58)</f>
        <v>0</v>
      </c>
      <c r="AB58" s="35">
        <f>IF(AND(INT($A58)&lt;12, $C58&lt;&gt;"Ya"),0,SUMIF($B$14:$B57,$B58 &amp; "*",$U$14:$U57)+$U58)</f>
        <v>0</v>
      </c>
      <c r="AC58" s="35">
        <f t="shared" si="17"/>
        <v>0</v>
      </c>
      <c r="AD58" s="35">
        <f t="shared" si="28"/>
        <v>0</v>
      </c>
      <c r="AE58" s="35">
        <f t="shared" si="19"/>
        <v>0</v>
      </c>
      <c r="AF58" s="35">
        <f t="shared" si="25"/>
        <v>0</v>
      </c>
      <c r="AG58" s="35">
        <f>IF(AND(INT($A58)&lt;12, $C58&lt;&gt;"Ya"),0,SUMIF($B$14:$B57, $B58 &amp;"*",$Q$14:$Q57)+$Q58)</f>
        <v>0</v>
      </c>
      <c r="AH58" s="35">
        <f t="shared" si="20"/>
        <v>0</v>
      </c>
      <c r="AI58" s="35">
        <f t="shared" ca="1" si="26"/>
        <v>0</v>
      </c>
    </row>
    <row r="59" spans="1:35" x14ac:dyDescent="0.25">
      <c r="A59" s="36">
        <v>6</v>
      </c>
      <c r="B59" s="37" t="s">
        <v>82</v>
      </c>
      <c r="C59" s="38" t="str">
        <f t="shared" si="21"/>
        <v>Tidak</v>
      </c>
      <c r="D59" s="39" t="str">
        <f t="shared" si="27"/>
        <v>Test 5</v>
      </c>
      <c r="E59" s="39" t="str">
        <f t="shared" si="22"/>
        <v>K/0</v>
      </c>
      <c r="F59" s="54">
        <f t="shared" si="23"/>
        <v>1</v>
      </c>
      <c r="G59" s="35">
        <v>10000000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40">
        <f t="shared" ca="1" si="3"/>
        <v>0</v>
      </c>
      <c r="O59" s="35">
        <f t="shared" ca="1" si="12"/>
        <v>10000000</v>
      </c>
      <c r="P59" s="41">
        <f t="shared" ca="1" si="24"/>
        <v>0.02</v>
      </c>
      <c r="Q59" s="35">
        <f t="shared" ca="1" si="13"/>
        <v>200000</v>
      </c>
      <c r="R59" s="35">
        <f t="shared" si="14"/>
        <v>0</v>
      </c>
      <c r="S59" s="35">
        <v>0</v>
      </c>
      <c r="T59" s="35">
        <v>0</v>
      </c>
      <c r="U59" s="35">
        <v>0</v>
      </c>
      <c r="V59" s="35">
        <f t="shared" ca="1" si="15"/>
        <v>9800000</v>
      </c>
      <c r="W59" s="42">
        <f t="shared" ca="1" si="16"/>
        <v>500000</v>
      </c>
      <c r="X59" s="35">
        <f>IF(AND(INT($A59)&lt;12, $C59&lt;&gt;"Ya"),0,SUMIF($B$14:$B58,$B59&amp;"*",$O$14:$O58)+O59)</f>
        <v>0</v>
      </c>
      <c r="Y59" s="35">
        <f>IF(AND(INT($A59)&lt;12, $C59&lt;&gt;"Ya"),0,SUMIF($B$14:$B58,$B59&amp;"*",$W$14:$W58)+W59)</f>
        <v>0</v>
      </c>
      <c r="Z59" s="35">
        <f>IF(AND(INT($A59)&lt;12, $C59&lt;&gt;"Ya"),0,SUMIF($B$14:$B58, $B59 &amp;"*",$S$14:$S58)+$S59)</f>
        <v>0</v>
      </c>
      <c r="AA59" s="35">
        <f>IF(AND(INT($A59)&lt;12, $C59&lt;&gt;"Ya"),0,SUMIF($B$14:$B58, $B59&amp;"*",$T$14:$T58)+$T59)</f>
        <v>0</v>
      </c>
      <c r="AB59" s="35">
        <f>IF(AND(INT($A59)&lt;12, $C59&lt;&gt;"Ya"),0,SUMIF($B$14:$B58,$B59 &amp; "*",$U$14:$U58)+$U59)</f>
        <v>0</v>
      </c>
      <c r="AC59" s="35">
        <f t="shared" si="17"/>
        <v>0</v>
      </c>
      <c r="AD59" s="35">
        <f t="shared" si="28"/>
        <v>0</v>
      </c>
      <c r="AE59" s="35">
        <f t="shared" si="19"/>
        <v>0</v>
      </c>
      <c r="AF59" s="35">
        <f t="shared" si="25"/>
        <v>0</v>
      </c>
      <c r="AG59" s="35">
        <f>IF(AND(INT($A59)&lt;12, $C59&lt;&gt;"Ya"),0,SUMIF($B$14:$B58, $B59 &amp;"*",$Q$14:$Q58)+$Q59)</f>
        <v>0</v>
      </c>
      <c r="AH59" s="35">
        <f t="shared" si="20"/>
        <v>0</v>
      </c>
      <c r="AI59" s="35">
        <f t="shared" ca="1" si="26"/>
        <v>0</v>
      </c>
    </row>
    <row r="60" spans="1:35" x14ac:dyDescent="0.25">
      <c r="A60" s="36">
        <v>6</v>
      </c>
      <c r="B60" s="37" t="s">
        <v>83</v>
      </c>
      <c r="C60" s="38" t="str">
        <f t="shared" si="21"/>
        <v>Tidak</v>
      </c>
      <c r="D60" s="39" t="str">
        <f t="shared" si="27"/>
        <v>Test 6</v>
      </c>
      <c r="E60" s="39" t="str">
        <f t="shared" si="22"/>
        <v>K/1</v>
      </c>
      <c r="F60" s="54">
        <f t="shared" si="23"/>
        <v>1</v>
      </c>
      <c r="G60" s="35">
        <v>10000000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40">
        <f t="shared" ca="1" si="3"/>
        <v>0</v>
      </c>
      <c r="O60" s="35">
        <f t="shared" ca="1" si="12"/>
        <v>10000000</v>
      </c>
      <c r="P60" s="41">
        <f t="shared" ca="1" si="24"/>
        <v>1.4999999999999999E-2</v>
      </c>
      <c r="Q60" s="35">
        <f t="shared" ca="1" si="13"/>
        <v>150000</v>
      </c>
      <c r="R60" s="35">
        <f t="shared" si="14"/>
        <v>0</v>
      </c>
      <c r="S60" s="35">
        <v>0</v>
      </c>
      <c r="T60" s="35">
        <v>0</v>
      </c>
      <c r="U60" s="35">
        <v>0</v>
      </c>
      <c r="V60" s="35">
        <f t="shared" ca="1" si="15"/>
        <v>9850000</v>
      </c>
      <c r="W60" s="42">
        <f t="shared" ca="1" si="16"/>
        <v>500000</v>
      </c>
      <c r="X60" s="35">
        <f>IF(AND(INT($A60)&lt;12, $C60&lt;&gt;"Ya"),0,SUMIF($B$14:$B59,$B60&amp;"*",$O$14:$O59)+O60)</f>
        <v>0</v>
      </c>
      <c r="Y60" s="35">
        <f>IF(AND(INT($A60)&lt;12, $C60&lt;&gt;"Ya"),0,SUMIF($B$14:$B59,$B60&amp;"*",$W$14:$W59)+W60)</f>
        <v>0</v>
      </c>
      <c r="Z60" s="35">
        <f>IF(AND(INT($A60)&lt;12, $C60&lt;&gt;"Ya"),0,SUMIF($B$14:$B59, $B60 &amp;"*",$S$14:$S59)+$S60)</f>
        <v>0</v>
      </c>
      <c r="AA60" s="35">
        <f>IF(AND(INT($A60)&lt;12, $C60&lt;&gt;"Ya"),0,SUMIF($B$14:$B59, $B60&amp;"*",$T$14:$T59)+$T60)</f>
        <v>0</v>
      </c>
      <c r="AB60" s="35">
        <f>IF(AND(INT($A60)&lt;12, $C60&lt;&gt;"Ya"),0,SUMIF($B$14:$B59,$B60 &amp; "*",$U$14:$U59)+$U60)</f>
        <v>0</v>
      </c>
      <c r="AC60" s="35">
        <f t="shared" si="17"/>
        <v>0</v>
      </c>
      <c r="AD60" s="35">
        <f t="shared" si="28"/>
        <v>0</v>
      </c>
      <c r="AE60" s="35">
        <f t="shared" si="19"/>
        <v>0</v>
      </c>
      <c r="AF60" s="35">
        <f t="shared" si="25"/>
        <v>0</v>
      </c>
      <c r="AG60" s="35">
        <f>IF(AND(INT($A60)&lt;12, $C60&lt;&gt;"Ya"),0,SUMIF($B$14:$B59, $B60 &amp;"*",$Q$14:$Q59)+$Q60)</f>
        <v>0</v>
      </c>
      <c r="AH60" s="35">
        <f t="shared" si="20"/>
        <v>0</v>
      </c>
      <c r="AI60" s="35">
        <f t="shared" ca="1" si="26"/>
        <v>0</v>
      </c>
    </row>
    <row r="61" spans="1:35" x14ac:dyDescent="0.25">
      <c r="A61" s="36">
        <v>6</v>
      </c>
      <c r="B61" s="37" t="s">
        <v>84</v>
      </c>
      <c r="C61" s="38" t="str">
        <f t="shared" si="21"/>
        <v>Tidak</v>
      </c>
      <c r="D61" s="39" t="str">
        <f t="shared" si="27"/>
        <v>Test 7</v>
      </c>
      <c r="E61" s="39" t="str">
        <f t="shared" si="22"/>
        <v>K/2</v>
      </c>
      <c r="F61" s="54">
        <f t="shared" si="23"/>
        <v>1</v>
      </c>
      <c r="G61" s="35">
        <v>10000000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40">
        <f t="shared" ca="1" si="3"/>
        <v>152284.26395939087</v>
      </c>
      <c r="O61" s="35">
        <f t="shared" ca="1" si="12"/>
        <v>10152284.263959391</v>
      </c>
      <c r="P61" s="41">
        <f t="shared" ca="1" si="24"/>
        <v>1.4999999999999999E-2</v>
      </c>
      <c r="Q61" s="35">
        <f t="shared" ca="1" si="13"/>
        <v>152284.26395939087</v>
      </c>
      <c r="R61" s="35">
        <f t="shared" si="14"/>
        <v>0</v>
      </c>
      <c r="S61" s="35">
        <v>0</v>
      </c>
      <c r="T61" s="35">
        <v>0</v>
      </c>
      <c r="U61" s="35">
        <v>0</v>
      </c>
      <c r="V61" s="35">
        <f t="shared" ca="1" si="15"/>
        <v>10000000</v>
      </c>
      <c r="W61" s="42">
        <f t="shared" ca="1" si="16"/>
        <v>500000</v>
      </c>
      <c r="X61" s="35">
        <f>IF(AND(INT($A61)&lt;12, $C61&lt;&gt;"Ya"),0,SUMIF($B$14:$B60,$B61&amp;"*",$O$14:$O60)+O61)</f>
        <v>0</v>
      </c>
      <c r="Y61" s="35">
        <f>IF(AND(INT($A61)&lt;12, $C61&lt;&gt;"Ya"),0,SUMIF($B$14:$B60,$B61&amp;"*",$W$14:$W60)+W61)</f>
        <v>0</v>
      </c>
      <c r="Z61" s="35">
        <f>IF(AND(INT($A61)&lt;12, $C61&lt;&gt;"Ya"),0,SUMIF($B$14:$B60, $B61 &amp;"*",$S$14:$S60)+$S61)</f>
        <v>0</v>
      </c>
      <c r="AA61" s="35">
        <f>IF(AND(INT($A61)&lt;12, $C61&lt;&gt;"Ya"),0,SUMIF($B$14:$B60, $B61&amp;"*",$T$14:$T60)+$T61)</f>
        <v>0</v>
      </c>
      <c r="AB61" s="35">
        <f>IF(AND(INT($A61)&lt;12, $C61&lt;&gt;"Ya"),0,SUMIF($B$14:$B60,$B61 &amp; "*",$U$14:$U60)+$U61)</f>
        <v>0</v>
      </c>
      <c r="AC61" s="35">
        <f t="shared" si="17"/>
        <v>0</v>
      </c>
      <c r="AD61" s="35">
        <f t="shared" si="28"/>
        <v>0</v>
      </c>
      <c r="AE61" s="35">
        <f t="shared" si="19"/>
        <v>0</v>
      </c>
      <c r="AF61" s="35">
        <f t="shared" si="25"/>
        <v>0</v>
      </c>
      <c r="AG61" s="35">
        <f>IF(AND(INT($A61)&lt;12, $C61&lt;&gt;"Ya"),0,SUMIF($B$14:$B60, $B61 &amp;"*",$Q$14:$Q60)+$Q61)</f>
        <v>0</v>
      </c>
      <c r="AH61" s="35">
        <f t="shared" si="20"/>
        <v>0</v>
      </c>
      <c r="AI61" s="35">
        <f t="shared" ca="1" si="26"/>
        <v>0</v>
      </c>
    </row>
    <row r="62" spans="1:35" x14ac:dyDescent="0.25">
      <c r="A62" s="36">
        <v>6</v>
      </c>
      <c r="B62" s="37" t="s">
        <v>85</v>
      </c>
      <c r="C62" s="38" t="str">
        <f t="shared" si="21"/>
        <v>Tidak</v>
      </c>
      <c r="D62" s="39" t="str">
        <f t="shared" si="27"/>
        <v>Test 8</v>
      </c>
      <c r="E62" s="39" t="str">
        <f t="shared" si="22"/>
        <v>K/3</v>
      </c>
      <c r="F62" s="54">
        <f t="shared" si="23"/>
        <v>1.2</v>
      </c>
      <c r="G62" s="35">
        <v>10000000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40">
        <f t="shared" ca="1" si="3"/>
        <v>183299.38900203662</v>
      </c>
      <c r="O62" s="35">
        <f t="shared" ca="1" si="12"/>
        <v>10183299.389002036</v>
      </c>
      <c r="P62" s="41">
        <f t="shared" ca="1" si="24"/>
        <v>1.4999999999999999E-2</v>
      </c>
      <c r="Q62" s="35">
        <f t="shared" ca="1" si="13"/>
        <v>183299.38900203662</v>
      </c>
      <c r="R62" s="35">
        <f t="shared" si="14"/>
        <v>0</v>
      </c>
      <c r="S62" s="35">
        <v>0</v>
      </c>
      <c r="T62" s="35">
        <v>0</v>
      </c>
      <c r="U62" s="35">
        <v>0</v>
      </c>
      <c r="V62" s="35">
        <f t="shared" ca="1" si="15"/>
        <v>10000000</v>
      </c>
      <c r="W62" s="42">
        <f t="shared" ca="1" si="16"/>
        <v>500000</v>
      </c>
      <c r="X62" s="35">
        <f>IF(AND(INT($A62)&lt;12, $C62&lt;&gt;"Ya"),0,SUMIF($B$14:$B61,$B62&amp;"*",$O$14:$O61)+O62)</f>
        <v>0</v>
      </c>
      <c r="Y62" s="35">
        <f>IF(AND(INT($A62)&lt;12, $C62&lt;&gt;"Ya"),0,SUMIF($B$14:$B61,$B62&amp;"*",$W$14:$W61)+W62)</f>
        <v>0</v>
      </c>
      <c r="Z62" s="35">
        <f>IF(AND(INT($A62)&lt;12, $C62&lt;&gt;"Ya"),0,SUMIF($B$14:$B61, $B62 &amp;"*",$S$14:$S61)+$S62)</f>
        <v>0</v>
      </c>
      <c r="AA62" s="35">
        <f>IF(AND(INT($A62)&lt;12, $C62&lt;&gt;"Ya"),0,SUMIF($B$14:$B61, $B62&amp;"*",$T$14:$T61)+$T62)</f>
        <v>0</v>
      </c>
      <c r="AB62" s="35">
        <f>IF(AND(INT($A62)&lt;12, $C62&lt;&gt;"Ya"),0,SUMIF($B$14:$B61,$B62 &amp; "*",$U$14:$U61)+$U62)</f>
        <v>0</v>
      </c>
      <c r="AC62" s="35">
        <f t="shared" si="17"/>
        <v>0</v>
      </c>
      <c r="AD62" s="35">
        <f t="shared" si="28"/>
        <v>0</v>
      </c>
      <c r="AE62" s="35">
        <f t="shared" si="19"/>
        <v>0</v>
      </c>
      <c r="AF62" s="35">
        <f t="shared" si="25"/>
        <v>0</v>
      </c>
      <c r="AG62" s="35">
        <f>IF(AND(INT($A62)&lt;12, $C62&lt;&gt;"Ya"),0,SUMIF($B$14:$B61, $B62 &amp;"*",$Q$14:$Q61)+$Q62)</f>
        <v>0</v>
      </c>
      <c r="AH62" s="35">
        <f t="shared" si="20"/>
        <v>0</v>
      </c>
      <c r="AI62" s="35">
        <f t="shared" ca="1" si="26"/>
        <v>0</v>
      </c>
    </row>
    <row r="63" spans="1:35" x14ac:dyDescent="0.25">
      <c r="A63" s="36">
        <v>7</v>
      </c>
      <c r="B63" s="37" t="s">
        <v>67</v>
      </c>
      <c r="C63" s="38" t="str">
        <f t="shared" si="21"/>
        <v>Tidak</v>
      </c>
      <c r="D63" s="39" t="str">
        <f t="shared" si="27"/>
        <v>Test 1</v>
      </c>
      <c r="E63" s="39" t="str">
        <f t="shared" si="22"/>
        <v>TK/0</v>
      </c>
      <c r="F63" s="54">
        <f t="shared" si="23"/>
        <v>1</v>
      </c>
      <c r="G63" s="35">
        <v>10000000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40">
        <f t="shared" ca="1" si="3"/>
        <v>0</v>
      </c>
      <c r="O63" s="35">
        <f t="shared" ca="1" si="12"/>
        <v>10000000</v>
      </c>
      <c r="P63" s="41">
        <f t="shared" ca="1" si="24"/>
        <v>0.02</v>
      </c>
      <c r="Q63" s="35">
        <f t="shared" ca="1" si="13"/>
        <v>200000</v>
      </c>
      <c r="R63" s="35">
        <f t="shared" si="14"/>
        <v>0</v>
      </c>
      <c r="S63" s="35">
        <v>0</v>
      </c>
      <c r="T63" s="35">
        <v>0</v>
      </c>
      <c r="U63" s="35">
        <v>0</v>
      </c>
      <c r="V63" s="35">
        <f t="shared" ca="1" si="15"/>
        <v>9800000</v>
      </c>
      <c r="W63" s="42">
        <f t="shared" ca="1" si="16"/>
        <v>500000</v>
      </c>
      <c r="X63" s="35">
        <f>IF(AND(INT($A63)&lt;12, $C63&lt;&gt;"Ya"),0,SUMIF($B$14:$B62,$B63&amp;"*",$O$14:$O62)+O63)</f>
        <v>0</v>
      </c>
      <c r="Y63" s="35">
        <f>IF(AND(INT($A63)&lt;12, $C63&lt;&gt;"Ya"),0,SUMIF($B$14:$B62,$B63&amp;"*",$W$14:$W62)+W63)</f>
        <v>0</v>
      </c>
      <c r="Z63" s="35">
        <f>IF(AND(INT($A63)&lt;12, $C63&lt;&gt;"Ya"),0,SUMIF($B$14:$B62, $B63 &amp;"*",$S$14:$S62)+$S63)</f>
        <v>0</v>
      </c>
      <c r="AA63" s="35">
        <f>IF(AND(INT($A63)&lt;12, $C63&lt;&gt;"Ya"),0,SUMIF($B$14:$B62, $B63&amp;"*",$T$14:$T62)+$T63)</f>
        <v>0</v>
      </c>
      <c r="AB63" s="35">
        <f>IF(AND(INT($A63)&lt;12, $C63&lt;&gt;"Ya"),0,SUMIF($B$14:$B62,$B63 &amp; "*",$U$14:$U62)+$U63)</f>
        <v>0</v>
      </c>
      <c r="AC63" s="35">
        <f t="shared" si="17"/>
        <v>0</v>
      </c>
      <c r="AD63" s="35">
        <f t="shared" si="28"/>
        <v>0</v>
      </c>
      <c r="AE63" s="35">
        <f t="shared" si="19"/>
        <v>0</v>
      </c>
      <c r="AF63" s="35">
        <f t="shared" si="25"/>
        <v>0</v>
      </c>
      <c r="AG63" s="35">
        <f>IF(AND(INT($A63)&lt;12, $C63&lt;&gt;"Ya"),0,SUMIF($B$14:$B62, $B63 &amp;"*",$Q$14:$Q62)+$Q63)</f>
        <v>0</v>
      </c>
      <c r="AH63" s="35">
        <f t="shared" si="20"/>
        <v>0</v>
      </c>
      <c r="AI63" s="35">
        <f t="shared" ca="1" si="26"/>
        <v>0</v>
      </c>
    </row>
    <row r="64" spans="1:35" x14ac:dyDescent="0.25">
      <c r="A64" s="36">
        <v>7</v>
      </c>
      <c r="B64" s="37" t="s">
        <v>71</v>
      </c>
      <c r="C64" s="38" t="str">
        <f t="shared" si="21"/>
        <v>Tidak</v>
      </c>
      <c r="D64" s="39" t="str">
        <f t="shared" si="27"/>
        <v>Test 2</v>
      </c>
      <c r="E64" s="39" t="str">
        <f t="shared" si="22"/>
        <v>TK/1</v>
      </c>
      <c r="F64" s="54">
        <f t="shared" si="23"/>
        <v>1</v>
      </c>
      <c r="G64" s="35">
        <v>10000000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40">
        <f t="shared" ca="1" si="3"/>
        <v>0</v>
      </c>
      <c r="O64" s="35">
        <f t="shared" ca="1" si="12"/>
        <v>10000000</v>
      </c>
      <c r="P64" s="41">
        <f t="shared" ca="1" si="24"/>
        <v>0.02</v>
      </c>
      <c r="Q64" s="35">
        <f t="shared" ca="1" si="13"/>
        <v>200000</v>
      </c>
      <c r="R64" s="35">
        <f t="shared" si="14"/>
        <v>0</v>
      </c>
      <c r="S64" s="35">
        <v>0</v>
      </c>
      <c r="T64" s="35">
        <v>0</v>
      </c>
      <c r="U64" s="35">
        <v>0</v>
      </c>
      <c r="V64" s="35">
        <f t="shared" ca="1" si="15"/>
        <v>9800000</v>
      </c>
      <c r="W64" s="42">
        <f t="shared" ca="1" si="16"/>
        <v>500000</v>
      </c>
      <c r="X64" s="35">
        <f>IF(AND(INT($A64)&lt;12, $C64&lt;&gt;"Ya"),0,SUMIF($B$14:$B63,$B64&amp;"*",$O$14:$O63)+O64)</f>
        <v>0</v>
      </c>
      <c r="Y64" s="35">
        <f>IF(AND(INT($A64)&lt;12, $C64&lt;&gt;"Ya"),0,SUMIF($B$14:$B63,$B64&amp;"*",$W$14:$W63)+W64)</f>
        <v>0</v>
      </c>
      <c r="Z64" s="35">
        <f>IF(AND(INT($A64)&lt;12, $C64&lt;&gt;"Ya"),0,SUMIF($B$14:$B63, $B64 &amp;"*",$S$14:$S63)+$S64)</f>
        <v>0</v>
      </c>
      <c r="AA64" s="35">
        <f>IF(AND(INT($A64)&lt;12, $C64&lt;&gt;"Ya"),0,SUMIF($B$14:$B63, $B64&amp;"*",$T$14:$T63)+$T64)</f>
        <v>0</v>
      </c>
      <c r="AB64" s="35">
        <f>IF(AND(INT($A64)&lt;12, $C64&lt;&gt;"Ya"),0,SUMIF($B$14:$B63,$B64 &amp; "*",$U$14:$U63)+$U64)</f>
        <v>0</v>
      </c>
      <c r="AC64" s="35">
        <f t="shared" si="17"/>
        <v>0</v>
      </c>
      <c r="AD64" s="35">
        <f t="shared" si="28"/>
        <v>0</v>
      </c>
      <c r="AE64" s="35">
        <f t="shared" si="19"/>
        <v>0</v>
      </c>
      <c r="AF64" s="35">
        <f t="shared" si="25"/>
        <v>0</v>
      </c>
      <c r="AG64" s="35">
        <f>IF(AND(INT($A64)&lt;12, $C64&lt;&gt;"Ya"),0,SUMIF($B$14:$B63, $B64 &amp;"*",$Q$14:$Q63)+$Q64)</f>
        <v>0</v>
      </c>
      <c r="AH64" s="35">
        <f t="shared" si="20"/>
        <v>0</v>
      </c>
      <c r="AI64" s="35">
        <f t="shared" ca="1" si="26"/>
        <v>0</v>
      </c>
    </row>
    <row r="65" spans="1:35" x14ac:dyDescent="0.25">
      <c r="A65" s="36">
        <v>7</v>
      </c>
      <c r="B65" s="37" t="s">
        <v>80</v>
      </c>
      <c r="C65" s="38" t="str">
        <f t="shared" si="21"/>
        <v>Tidak</v>
      </c>
      <c r="D65" s="39" t="str">
        <f t="shared" si="27"/>
        <v>Test 3</v>
      </c>
      <c r="E65" s="39" t="str">
        <f t="shared" si="22"/>
        <v>TK/2</v>
      </c>
      <c r="F65" s="54">
        <f t="shared" si="23"/>
        <v>1</v>
      </c>
      <c r="G65" s="35">
        <v>10000000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40">
        <f t="shared" ca="1" si="3"/>
        <v>0</v>
      </c>
      <c r="O65" s="35">
        <f t="shared" ca="1" si="12"/>
        <v>10000000</v>
      </c>
      <c r="P65" s="41">
        <f t="shared" ca="1" si="24"/>
        <v>1.4999999999999999E-2</v>
      </c>
      <c r="Q65" s="35">
        <f t="shared" ca="1" si="13"/>
        <v>150000</v>
      </c>
      <c r="R65" s="35">
        <f t="shared" si="14"/>
        <v>0</v>
      </c>
      <c r="S65" s="35">
        <v>0</v>
      </c>
      <c r="T65" s="35">
        <v>0</v>
      </c>
      <c r="U65" s="35">
        <v>0</v>
      </c>
      <c r="V65" s="35">
        <f t="shared" ca="1" si="15"/>
        <v>9850000</v>
      </c>
      <c r="W65" s="42">
        <f t="shared" ca="1" si="16"/>
        <v>500000</v>
      </c>
      <c r="X65" s="35">
        <f>IF(AND(INT($A65)&lt;12, $C65&lt;&gt;"Ya"),0,SUMIF($B$14:$B64,$B65&amp;"*",$O$14:$O64)+O65)</f>
        <v>0</v>
      </c>
      <c r="Y65" s="35">
        <f>IF(AND(INT($A65)&lt;12, $C65&lt;&gt;"Ya"),0,SUMIF($B$14:$B64,$B65&amp;"*",$W$14:$W64)+W65)</f>
        <v>0</v>
      </c>
      <c r="Z65" s="35">
        <f>IF(AND(INT($A65)&lt;12, $C65&lt;&gt;"Ya"),0,SUMIF($B$14:$B64, $B65 &amp;"*",$S$14:$S64)+$S65)</f>
        <v>0</v>
      </c>
      <c r="AA65" s="35">
        <f>IF(AND(INT($A65)&lt;12, $C65&lt;&gt;"Ya"),0,SUMIF($B$14:$B64, $B65&amp;"*",$T$14:$T64)+$T65)</f>
        <v>0</v>
      </c>
      <c r="AB65" s="35">
        <f>IF(AND(INT($A65)&lt;12, $C65&lt;&gt;"Ya"),0,SUMIF($B$14:$B64,$B65 &amp; "*",$U$14:$U64)+$U65)</f>
        <v>0</v>
      </c>
      <c r="AC65" s="35">
        <f t="shared" si="17"/>
        <v>0</v>
      </c>
      <c r="AD65" s="35">
        <f t="shared" si="28"/>
        <v>0</v>
      </c>
      <c r="AE65" s="35">
        <f t="shared" si="19"/>
        <v>0</v>
      </c>
      <c r="AF65" s="35">
        <f t="shared" si="25"/>
        <v>0</v>
      </c>
      <c r="AG65" s="35">
        <f>IF(AND(INT($A65)&lt;12, $C65&lt;&gt;"Ya"),0,SUMIF($B$14:$B64, $B65 &amp;"*",$Q$14:$Q64)+$Q65)</f>
        <v>0</v>
      </c>
      <c r="AH65" s="35">
        <f t="shared" si="20"/>
        <v>0</v>
      </c>
      <c r="AI65" s="35">
        <f t="shared" ca="1" si="26"/>
        <v>0</v>
      </c>
    </row>
    <row r="66" spans="1:35" x14ac:dyDescent="0.25">
      <c r="A66" s="36">
        <v>7</v>
      </c>
      <c r="B66" s="37" t="s">
        <v>81</v>
      </c>
      <c r="C66" s="38" t="str">
        <f t="shared" si="21"/>
        <v>Tidak</v>
      </c>
      <c r="D66" s="39" t="str">
        <f t="shared" si="27"/>
        <v>Test 4</v>
      </c>
      <c r="E66" s="39" t="str">
        <f t="shared" si="22"/>
        <v>TK/3</v>
      </c>
      <c r="F66" s="54">
        <f t="shared" si="23"/>
        <v>1</v>
      </c>
      <c r="G66" s="35">
        <v>10000000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40">
        <f t="shared" ca="1" si="3"/>
        <v>0</v>
      </c>
      <c r="O66" s="35">
        <f t="shared" ca="1" si="12"/>
        <v>10000000</v>
      </c>
      <c r="P66" s="41">
        <f t="shared" ca="1" si="24"/>
        <v>1.4999999999999999E-2</v>
      </c>
      <c r="Q66" s="35">
        <f t="shared" ca="1" si="13"/>
        <v>150000</v>
      </c>
      <c r="R66" s="35">
        <f t="shared" si="14"/>
        <v>0</v>
      </c>
      <c r="S66" s="35">
        <v>0</v>
      </c>
      <c r="T66" s="35">
        <v>0</v>
      </c>
      <c r="U66" s="35">
        <v>0</v>
      </c>
      <c r="V66" s="35">
        <f t="shared" ca="1" si="15"/>
        <v>9850000</v>
      </c>
      <c r="W66" s="42">
        <f t="shared" ca="1" si="16"/>
        <v>500000</v>
      </c>
      <c r="X66" s="35">
        <f>IF(AND(INT($A66)&lt;12, $C66&lt;&gt;"Ya"),0,SUMIF($B$14:$B65,$B66&amp;"*",$O$14:$O65)+O66)</f>
        <v>0</v>
      </c>
      <c r="Y66" s="35">
        <f>IF(AND(INT($A66)&lt;12, $C66&lt;&gt;"Ya"),0,SUMIF($B$14:$B65,$B66&amp;"*",$W$14:$W65)+W66)</f>
        <v>0</v>
      </c>
      <c r="Z66" s="35">
        <f>IF(AND(INT($A66)&lt;12, $C66&lt;&gt;"Ya"),0,SUMIF($B$14:$B65, $B66 &amp;"*",$S$14:$S65)+$S66)</f>
        <v>0</v>
      </c>
      <c r="AA66" s="35">
        <f>IF(AND(INT($A66)&lt;12, $C66&lt;&gt;"Ya"),0,SUMIF($B$14:$B65, $B66&amp;"*",$T$14:$T65)+$T66)</f>
        <v>0</v>
      </c>
      <c r="AB66" s="35">
        <f>IF(AND(INT($A66)&lt;12, $C66&lt;&gt;"Ya"),0,SUMIF($B$14:$B65,$B66 &amp; "*",$U$14:$U65)+$U66)</f>
        <v>0</v>
      </c>
      <c r="AC66" s="35">
        <f t="shared" si="17"/>
        <v>0</v>
      </c>
      <c r="AD66" s="35">
        <f t="shared" si="28"/>
        <v>0</v>
      </c>
      <c r="AE66" s="35">
        <f t="shared" si="19"/>
        <v>0</v>
      </c>
      <c r="AF66" s="35">
        <f t="shared" si="25"/>
        <v>0</v>
      </c>
      <c r="AG66" s="35">
        <f>IF(AND(INT($A66)&lt;12, $C66&lt;&gt;"Ya"),0,SUMIF($B$14:$B65, $B66 &amp;"*",$Q$14:$Q65)+$Q66)</f>
        <v>0</v>
      </c>
      <c r="AH66" s="35">
        <f t="shared" si="20"/>
        <v>0</v>
      </c>
      <c r="AI66" s="35">
        <f t="shared" ca="1" si="26"/>
        <v>0</v>
      </c>
    </row>
    <row r="67" spans="1:35" x14ac:dyDescent="0.25">
      <c r="A67" s="36">
        <v>7</v>
      </c>
      <c r="B67" s="37" t="s">
        <v>82</v>
      </c>
      <c r="C67" s="38" t="str">
        <f t="shared" si="21"/>
        <v>Tidak</v>
      </c>
      <c r="D67" s="39" t="str">
        <f t="shared" si="27"/>
        <v>Test 5</v>
      </c>
      <c r="E67" s="39" t="str">
        <f t="shared" si="22"/>
        <v>K/0</v>
      </c>
      <c r="F67" s="54">
        <f t="shared" si="23"/>
        <v>1</v>
      </c>
      <c r="G67" s="35">
        <v>10000000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40">
        <f t="shared" ca="1" si="3"/>
        <v>0</v>
      </c>
      <c r="O67" s="35">
        <f t="shared" ca="1" si="12"/>
        <v>10000000</v>
      </c>
      <c r="P67" s="41">
        <f t="shared" ca="1" si="24"/>
        <v>0.02</v>
      </c>
      <c r="Q67" s="35">
        <f t="shared" ca="1" si="13"/>
        <v>200000</v>
      </c>
      <c r="R67" s="35">
        <f t="shared" si="14"/>
        <v>0</v>
      </c>
      <c r="S67" s="35">
        <v>0</v>
      </c>
      <c r="T67" s="35">
        <v>0</v>
      </c>
      <c r="U67" s="35">
        <v>0</v>
      </c>
      <c r="V67" s="35">
        <f t="shared" ca="1" si="15"/>
        <v>9800000</v>
      </c>
      <c r="W67" s="42">
        <f t="shared" ca="1" si="16"/>
        <v>500000</v>
      </c>
      <c r="X67" s="35">
        <f>IF(AND(INT($A67)&lt;12, $C67&lt;&gt;"Ya"),0,SUMIF($B$14:$B66,$B67&amp;"*",$O$14:$O66)+O67)</f>
        <v>0</v>
      </c>
      <c r="Y67" s="35">
        <f>IF(AND(INT($A67)&lt;12, $C67&lt;&gt;"Ya"),0,SUMIF($B$14:$B66,$B67&amp;"*",$W$14:$W66)+W67)</f>
        <v>0</v>
      </c>
      <c r="Z67" s="35">
        <f>IF(AND(INT($A67)&lt;12, $C67&lt;&gt;"Ya"),0,SUMIF($B$14:$B66, $B67 &amp;"*",$S$14:$S66)+$S67)</f>
        <v>0</v>
      </c>
      <c r="AA67" s="35">
        <f>IF(AND(INT($A67)&lt;12, $C67&lt;&gt;"Ya"),0,SUMIF($B$14:$B66, $B67&amp;"*",$T$14:$T66)+$T67)</f>
        <v>0</v>
      </c>
      <c r="AB67" s="35">
        <f>IF(AND(INT($A67)&lt;12, $C67&lt;&gt;"Ya"),0,SUMIF($B$14:$B66,$B67 &amp; "*",$U$14:$U66)+$U67)</f>
        <v>0</v>
      </c>
      <c r="AC67" s="35">
        <f t="shared" si="17"/>
        <v>0</v>
      </c>
      <c r="AD67" s="35">
        <f t="shared" si="28"/>
        <v>0</v>
      </c>
      <c r="AE67" s="35">
        <f t="shared" si="19"/>
        <v>0</v>
      </c>
      <c r="AF67" s="35">
        <f t="shared" si="25"/>
        <v>0</v>
      </c>
      <c r="AG67" s="35">
        <f>IF(AND(INT($A67)&lt;12, $C67&lt;&gt;"Ya"),0,SUMIF($B$14:$B66, $B67 &amp;"*",$Q$14:$Q66)+$Q67)</f>
        <v>0</v>
      </c>
      <c r="AH67" s="35">
        <f t="shared" si="20"/>
        <v>0</v>
      </c>
      <c r="AI67" s="35">
        <f t="shared" ca="1" si="26"/>
        <v>0</v>
      </c>
    </row>
    <row r="68" spans="1:35" x14ac:dyDescent="0.25">
      <c r="A68" s="36">
        <v>7</v>
      </c>
      <c r="B68" s="37" t="s">
        <v>83</v>
      </c>
      <c r="C68" s="38" t="str">
        <f t="shared" si="21"/>
        <v>Tidak</v>
      </c>
      <c r="D68" s="39" t="str">
        <f t="shared" si="27"/>
        <v>Test 6</v>
      </c>
      <c r="E68" s="39" t="str">
        <f t="shared" si="22"/>
        <v>K/1</v>
      </c>
      <c r="F68" s="54">
        <f t="shared" si="23"/>
        <v>1</v>
      </c>
      <c r="G68" s="35">
        <v>10000000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40">
        <f t="shared" ca="1" si="3"/>
        <v>0</v>
      </c>
      <c r="O68" s="35">
        <f t="shared" ca="1" si="12"/>
        <v>10000000</v>
      </c>
      <c r="P68" s="41">
        <f t="shared" ca="1" si="24"/>
        <v>1.4999999999999999E-2</v>
      </c>
      <c r="Q68" s="35">
        <f t="shared" ca="1" si="13"/>
        <v>150000</v>
      </c>
      <c r="R68" s="35">
        <f t="shared" si="14"/>
        <v>0</v>
      </c>
      <c r="S68" s="35">
        <v>0</v>
      </c>
      <c r="T68" s="35">
        <v>0</v>
      </c>
      <c r="U68" s="35">
        <v>0</v>
      </c>
      <c r="V68" s="35">
        <f t="shared" ca="1" si="15"/>
        <v>9850000</v>
      </c>
      <c r="W68" s="42">
        <f t="shared" ca="1" si="16"/>
        <v>500000</v>
      </c>
      <c r="X68" s="35">
        <f>IF(AND(INT($A68)&lt;12, $C68&lt;&gt;"Ya"),0,SUMIF($B$14:$B67,$B68&amp;"*",$O$14:$O67)+O68)</f>
        <v>0</v>
      </c>
      <c r="Y68" s="35">
        <f>IF(AND(INT($A68)&lt;12, $C68&lt;&gt;"Ya"),0,SUMIF($B$14:$B67,$B68&amp;"*",$W$14:$W67)+W68)</f>
        <v>0</v>
      </c>
      <c r="Z68" s="35">
        <f>IF(AND(INT($A68)&lt;12, $C68&lt;&gt;"Ya"),0,SUMIF($B$14:$B67, $B68 &amp;"*",$S$14:$S67)+$S68)</f>
        <v>0</v>
      </c>
      <c r="AA68" s="35">
        <f>IF(AND(INT($A68)&lt;12, $C68&lt;&gt;"Ya"),0,SUMIF($B$14:$B67, $B68&amp;"*",$T$14:$T67)+$T68)</f>
        <v>0</v>
      </c>
      <c r="AB68" s="35">
        <f>IF(AND(INT($A68)&lt;12, $C68&lt;&gt;"Ya"),0,SUMIF($B$14:$B67,$B68 &amp; "*",$U$14:$U67)+$U68)</f>
        <v>0</v>
      </c>
      <c r="AC68" s="35">
        <f t="shared" si="17"/>
        <v>0</v>
      </c>
      <c r="AD68" s="35">
        <f t="shared" si="28"/>
        <v>0</v>
      </c>
      <c r="AE68" s="35">
        <f t="shared" si="19"/>
        <v>0</v>
      </c>
      <c r="AF68" s="35">
        <f t="shared" si="25"/>
        <v>0</v>
      </c>
      <c r="AG68" s="35">
        <f>IF(AND(INT($A68)&lt;12, $C68&lt;&gt;"Ya"),0,SUMIF($B$14:$B67, $B68 &amp;"*",$Q$14:$Q67)+$Q68)</f>
        <v>0</v>
      </c>
      <c r="AH68" s="35">
        <f t="shared" si="20"/>
        <v>0</v>
      </c>
      <c r="AI68" s="35">
        <f t="shared" ca="1" si="26"/>
        <v>0</v>
      </c>
    </row>
    <row r="69" spans="1:35" x14ac:dyDescent="0.25">
      <c r="A69" s="36">
        <v>7</v>
      </c>
      <c r="B69" s="37" t="s">
        <v>84</v>
      </c>
      <c r="C69" s="38" t="str">
        <f t="shared" si="21"/>
        <v>Tidak</v>
      </c>
      <c r="D69" s="39" t="str">
        <f t="shared" si="27"/>
        <v>Test 7</v>
      </c>
      <c r="E69" s="39" t="str">
        <f t="shared" si="22"/>
        <v>K/2</v>
      </c>
      <c r="F69" s="54">
        <f t="shared" si="23"/>
        <v>1</v>
      </c>
      <c r="G69" s="35">
        <v>10000000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40">
        <f t="shared" ca="1" si="3"/>
        <v>152284.26395939087</v>
      </c>
      <c r="O69" s="35">
        <f t="shared" ca="1" si="12"/>
        <v>10152284.263959391</v>
      </c>
      <c r="P69" s="41">
        <f t="shared" ca="1" si="24"/>
        <v>1.4999999999999999E-2</v>
      </c>
      <c r="Q69" s="35">
        <f t="shared" ca="1" si="13"/>
        <v>152284.26395939087</v>
      </c>
      <c r="R69" s="35">
        <f t="shared" si="14"/>
        <v>0</v>
      </c>
      <c r="S69" s="35">
        <v>0</v>
      </c>
      <c r="T69" s="35">
        <v>0</v>
      </c>
      <c r="U69" s="35">
        <v>0</v>
      </c>
      <c r="V69" s="35">
        <f t="shared" ca="1" si="15"/>
        <v>10000000</v>
      </c>
      <c r="W69" s="42">
        <f t="shared" ca="1" si="16"/>
        <v>500000</v>
      </c>
      <c r="X69" s="35">
        <f>IF(AND(INT($A69)&lt;12, $C69&lt;&gt;"Ya"),0,SUMIF($B$14:$B68,$B69&amp;"*",$O$14:$O68)+O69)</f>
        <v>0</v>
      </c>
      <c r="Y69" s="35">
        <f>IF(AND(INT($A69)&lt;12, $C69&lt;&gt;"Ya"),0,SUMIF($B$14:$B68,$B69&amp;"*",$W$14:$W68)+W69)</f>
        <v>0</v>
      </c>
      <c r="Z69" s="35">
        <f>IF(AND(INT($A69)&lt;12, $C69&lt;&gt;"Ya"),0,SUMIF($B$14:$B68, $B69 &amp;"*",$S$14:$S68)+$S69)</f>
        <v>0</v>
      </c>
      <c r="AA69" s="35">
        <f>IF(AND(INT($A69)&lt;12, $C69&lt;&gt;"Ya"),0,SUMIF($B$14:$B68, $B69&amp;"*",$T$14:$T68)+$T69)</f>
        <v>0</v>
      </c>
      <c r="AB69" s="35">
        <f>IF(AND(INT($A69)&lt;12, $C69&lt;&gt;"Ya"),0,SUMIF($B$14:$B68,$B69 &amp; "*",$U$14:$U68)+$U69)</f>
        <v>0</v>
      </c>
      <c r="AC69" s="35">
        <f t="shared" si="17"/>
        <v>0</v>
      </c>
      <c r="AD69" s="35">
        <f t="shared" si="28"/>
        <v>0</v>
      </c>
      <c r="AE69" s="35">
        <f t="shared" si="19"/>
        <v>0</v>
      </c>
      <c r="AF69" s="35">
        <f t="shared" si="25"/>
        <v>0</v>
      </c>
      <c r="AG69" s="35">
        <f>IF(AND(INT($A69)&lt;12, $C69&lt;&gt;"Ya"),0,SUMIF($B$14:$B68, $B69 &amp;"*",$Q$14:$Q68)+$Q69)</f>
        <v>0</v>
      </c>
      <c r="AH69" s="35">
        <f t="shared" si="20"/>
        <v>0</v>
      </c>
      <c r="AI69" s="35">
        <f t="shared" ca="1" si="26"/>
        <v>0</v>
      </c>
    </row>
    <row r="70" spans="1:35" x14ac:dyDescent="0.25">
      <c r="A70" s="36">
        <v>7</v>
      </c>
      <c r="B70" s="37" t="s">
        <v>85</v>
      </c>
      <c r="C70" s="38" t="str">
        <f t="shared" si="21"/>
        <v>Tidak</v>
      </c>
      <c r="D70" s="39" t="str">
        <f t="shared" si="27"/>
        <v>Test 8</v>
      </c>
      <c r="E70" s="39" t="str">
        <f t="shared" si="22"/>
        <v>K/3</v>
      </c>
      <c r="F70" s="54">
        <f t="shared" si="23"/>
        <v>1.2</v>
      </c>
      <c r="G70" s="35">
        <v>10000000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40">
        <f t="shared" ca="1" si="3"/>
        <v>183299.38900203662</v>
      </c>
      <c r="O70" s="35">
        <f t="shared" ca="1" si="12"/>
        <v>10183299.389002036</v>
      </c>
      <c r="P70" s="41">
        <f t="shared" ca="1" si="24"/>
        <v>1.4999999999999999E-2</v>
      </c>
      <c r="Q70" s="35">
        <f t="shared" ca="1" si="13"/>
        <v>183299.38900203662</v>
      </c>
      <c r="R70" s="35">
        <f t="shared" si="14"/>
        <v>0</v>
      </c>
      <c r="S70" s="35">
        <v>0</v>
      </c>
      <c r="T70" s="35">
        <v>0</v>
      </c>
      <c r="U70" s="35">
        <v>0</v>
      </c>
      <c r="V70" s="35">
        <f t="shared" ca="1" si="15"/>
        <v>10000000</v>
      </c>
      <c r="W70" s="42">
        <f t="shared" ca="1" si="16"/>
        <v>500000</v>
      </c>
      <c r="X70" s="35">
        <f>IF(AND(INT($A70)&lt;12, $C70&lt;&gt;"Ya"),0,SUMIF($B$14:$B69,$B70&amp;"*",$O$14:$O69)+O70)</f>
        <v>0</v>
      </c>
      <c r="Y70" s="35">
        <f>IF(AND(INT($A70)&lt;12, $C70&lt;&gt;"Ya"),0,SUMIF($B$14:$B69,$B70&amp;"*",$W$14:$W69)+W70)</f>
        <v>0</v>
      </c>
      <c r="Z70" s="35">
        <f>IF(AND(INT($A70)&lt;12, $C70&lt;&gt;"Ya"),0,SUMIF($B$14:$B69, $B70 &amp;"*",$S$14:$S69)+$S70)</f>
        <v>0</v>
      </c>
      <c r="AA70" s="35">
        <f>IF(AND(INT($A70)&lt;12, $C70&lt;&gt;"Ya"),0,SUMIF($B$14:$B69, $B70&amp;"*",$T$14:$T69)+$T70)</f>
        <v>0</v>
      </c>
      <c r="AB70" s="35">
        <f>IF(AND(INT($A70)&lt;12, $C70&lt;&gt;"Ya"),0,SUMIF($B$14:$B69,$B70 &amp; "*",$U$14:$U69)+$U70)</f>
        <v>0</v>
      </c>
      <c r="AC70" s="35">
        <f t="shared" si="17"/>
        <v>0</v>
      </c>
      <c r="AD70" s="35">
        <f t="shared" si="28"/>
        <v>0</v>
      </c>
      <c r="AE70" s="35">
        <f t="shared" si="19"/>
        <v>0</v>
      </c>
      <c r="AF70" s="35">
        <f t="shared" si="25"/>
        <v>0</v>
      </c>
      <c r="AG70" s="35">
        <f>IF(AND(INT($A70)&lt;12, $C70&lt;&gt;"Ya"),0,SUMIF($B$14:$B69, $B70 &amp;"*",$Q$14:$Q69)+$Q70)</f>
        <v>0</v>
      </c>
      <c r="AH70" s="35">
        <f t="shared" si="20"/>
        <v>0</v>
      </c>
      <c r="AI70" s="35">
        <f t="shared" ca="1" si="26"/>
        <v>0</v>
      </c>
    </row>
    <row r="71" spans="1:35" x14ac:dyDescent="0.25">
      <c r="A71" s="36">
        <v>8</v>
      </c>
      <c r="B71" s="37" t="s">
        <v>67</v>
      </c>
      <c r="C71" s="38" t="str">
        <f t="shared" si="21"/>
        <v>Ya</v>
      </c>
      <c r="D71" s="39" t="str">
        <f t="shared" si="27"/>
        <v>Test 1</v>
      </c>
      <c r="E71" s="39" t="str">
        <f t="shared" si="22"/>
        <v>TK/0</v>
      </c>
      <c r="F71" s="54">
        <f t="shared" si="23"/>
        <v>1</v>
      </c>
      <c r="G71" s="35">
        <v>10000000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40">
        <f t="shared" ca="1" si="3"/>
        <v>0</v>
      </c>
      <c r="O71" s="35">
        <f t="shared" ca="1" si="12"/>
        <v>10000000</v>
      </c>
      <c r="P71" s="41" t="str">
        <f t="shared" si="24"/>
        <v>Tarif Pasal 17</v>
      </c>
      <c r="Q71" s="35">
        <f t="shared" si="13"/>
        <v>0</v>
      </c>
      <c r="R71" s="35">
        <f t="shared" ca="1" si="14"/>
        <v>-300000</v>
      </c>
      <c r="S71" s="35">
        <v>0</v>
      </c>
      <c r="T71" s="35">
        <v>0</v>
      </c>
      <c r="U71" s="35">
        <v>0</v>
      </c>
      <c r="V71" s="35">
        <f t="shared" ca="1" si="15"/>
        <v>10300000</v>
      </c>
      <c r="W71" s="42">
        <f t="shared" ca="1" si="16"/>
        <v>500000</v>
      </c>
      <c r="X71" s="35">
        <f ca="1">IF(AND(INT($A71)&lt;12, $C71&lt;&gt;"Ya"),0,SUMIF($B$14:$B70,$B71&amp;"*",$O$14:$O70)+O71)</f>
        <v>80000000</v>
      </c>
      <c r="Y71" s="35">
        <f ca="1">IF(AND(INT($A71)&lt;12, $C71&lt;&gt;"Ya"),0,SUMIF($B$14:$B70,$B71&amp;"*",$W$14:$W70)+W71)</f>
        <v>4000000</v>
      </c>
      <c r="Z71" s="35">
        <f>IF(AND(INT($A71)&lt;12, $C71&lt;&gt;"Ya"),0,SUMIF($B$14:$B70, $B71 &amp;"*",$S$14:$S70)+$S71)</f>
        <v>0</v>
      </c>
      <c r="AA71" s="35">
        <f>IF(AND(INT($A71)&lt;12, $C71&lt;&gt;"Ya"),0,SUMIF($B$14:$B70, $B71&amp;"*",$T$14:$T70)+$T71)</f>
        <v>0</v>
      </c>
      <c r="AB71" s="35">
        <f>IF(AND(INT($A71)&lt;12, $C71&lt;&gt;"Ya"),0,SUMIF($B$14:$B70,$B71 &amp; "*",$U$14:$U70)+$U71)</f>
        <v>0</v>
      </c>
      <c r="AC71" s="35">
        <f t="shared" ca="1" si="17"/>
        <v>76000000</v>
      </c>
      <c r="AD71" s="35">
        <f t="shared" si="28"/>
        <v>54000000</v>
      </c>
      <c r="AE71" s="35">
        <f t="shared" ca="1" si="19"/>
        <v>22000000</v>
      </c>
      <c r="AF71" s="35">
        <f t="shared" ca="1" si="25"/>
        <v>1100000</v>
      </c>
      <c r="AG71" s="35">
        <f ca="1">IF(AND(INT($A71)&lt;12, $C71&lt;&gt;"Ya"),0,SUMIF($B$14:$B70, $B71 &amp;"*",$Q$14:$Q70)+$Q71)</f>
        <v>1400000</v>
      </c>
      <c r="AH71" s="35">
        <f t="shared" ca="1" si="20"/>
        <v>-300000</v>
      </c>
      <c r="AI71" s="35">
        <f t="shared" ca="1" si="26"/>
        <v>0</v>
      </c>
    </row>
    <row r="72" spans="1:35" x14ac:dyDescent="0.25">
      <c r="A72" s="36">
        <v>8</v>
      </c>
      <c r="B72" s="37" t="s">
        <v>71</v>
      </c>
      <c r="C72" s="38" t="str">
        <f t="shared" si="21"/>
        <v>Tidak</v>
      </c>
      <c r="D72" s="39" t="str">
        <f t="shared" si="27"/>
        <v>Test 2</v>
      </c>
      <c r="E72" s="39" t="str">
        <f t="shared" si="22"/>
        <v>TK/1</v>
      </c>
      <c r="F72" s="54">
        <f t="shared" si="23"/>
        <v>1</v>
      </c>
      <c r="G72" s="35">
        <v>10000000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40">
        <f t="shared" ca="1" si="3"/>
        <v>0</v>
      </c>
      <c r="O72" s="35">
        <f t="shared" ca="1" si="12"/>
        <v>10000000</v>
      </c>
      <c r="P72" s="41">
        <f t="shared" ca="1" si="24"/>
        <v>0.02</v>
      </c>
      <c r="Q72" s="35">
        <f t="shared" ca="1" si="13"/>
        <v>200000</v>
      </c>
      <c r="R72" s="35">
        <f t="shared" si="14"/>
        <v>0</v>
      </c>
      <c r="S72" s="35">
        <v>0</v>
      </c>
      <c r="T72" s="35">
        <v>0</v>
      </c>
      <c r="U72" s="35">
        <v>0</v>
      </c>
      <c r="V72" s="35">
        <f t="shared" ca="1" si="15"/>
        <v>9800000</v>
      </c>
      <c r="W72" s="42">
        <f t="shared" ca="1" si="16"/>
        <v>500000</v>
      </c>
      <c r="X72" s="35">
        <f>IF(AND(INT($A72)&lt;12, $C72&lt;&gt;"Ya"),0,SUMIF($B$14:$B71,$B72&amp;"*",$O$14:$O71)+O72)</f>
        <v>0</v>
      </c>
      <c r="Y72" s="35">
        <f>IF(AND(INT($A72)&lt;12, $C72&lt;&gt;"Ya"),0,SUMIF($B$14:$B71,$B72&amp;"*",$W$14:$W71)+W72)</f>
        <v>0</v>
      </c>
      <c r="Z72" s="35">
        <f>IF(AND(INT($A72)&lt;12, $C72&lt;&gt;"Ya"),0,SUMIF($B$14:$B71, $B72 &amp;"*",$S$14:$S71)+$S72)</f>
        <v>0</v>
      </c>
      <c r="AA72" s="35">
        <f>IF(AND(INT($A72)&lt;12, $C72&lt;&gt;"Ya"),0,SUMIF($B$14:$B71, $B72&amp;"*",$T$14:$T71)+$T72)</f>
        <v>0</v>
      </c>
      <c r="AB72" s="35">
        <f>IF(AND(INT($A72)&lt;12, $C72&lt;&gt;"Ya"),0,SUMIF($B$14:$B71,$B72 &amp; "*",$U$14:$U71)+$U72)</f>
        <v>0</v>
      </c>
      <c r="AC72" s="35">
        <f t="shared" si="17"/>
        <v>0</v>
      </c>
      <c r="AD72" s="35">
        <f t="shared" si="28"/>
        <v>0</v>
      </c>
      <c r="AE72" s="35">
        <f t="shared" si="19"/>
        <v>0</v>
      </c>
      <c r="AF72" s="35">
        <f t="shared" si="25"/>
        <v>0</v>
      </c>
      <c r="AG72" s="35">
        <f>IF(AND(INT($A72)&lt;12, $C72&lt;&gt;"Ya"),0,SUMIF($B$14:$B71, $B72 &amp;"*",$Q$14:$Q71)+$Q72)</f>
        <v>0</v>
      </c>
      <c r="AH72" s="35">
        <f t="shared" si="20"/>
        <v>0</v>
      </c>
      <c r="AI72" s="35">
        <f t="shared" ca="1" si="26"/>
        <v>0</v>
      </c>
    </row>
    <row r="73" spans="1:35" x14ac:dyDescent="0.25">
      <c r="A73" s="36">
        <v>8</v>
      </c>
      <c r="B73" s="37" t="s">
        <v>80</v>
      </c>
      <c r="C73" s="38" t="str">
        <f t="shared" si="21"/>
        <v>Tidak</v>
      </c>
      <c r="D73" s="39" t="str">
        <f t="shared" si="27"/>
        <v>Test 3</v>
      </c>
      <c r="E73" s="39" t="str">
        <f t="shared" si="22"/>
        <v>TK/2</v>
      </c>
      <c r="F73" s="54">
        <f t="shared" si="23"/>
        <v>1</v>
      </c>
      <c r="G73" s="35">
        <v>10000000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40">
        <f t="shared" ca="1" si="3"/>
        <v>0</v>
      </c>
      <c r="O73" s="35">
        <f t="shared" ca="1" si="12"/>
        <v>10000000</v>
      </c>
      <c r="P73" s="41">
        <f t="shared" ca="1" si="24"/>
        <v>1.4999999999999999E-2</v>
      </c>
      <c r="Q73" s="35">
        <f t="shared" ca="1" si="13"/>
        <v>150000</v>
      </c>
      <c r="R73" s="35">
        <f t="shared" si="14"/>
        <v>0</v>
      </c>
      <c r="S73" s="35">
        <v>0</v>
      </c>
      <c r="T73" s="35">
        <v>0</v>
      </c>
      <c r="U73" s="35">
        <v>0</v>
      </c>
      <c r="V73" s="35">
        <f t="shared" ca="1" si="15"/>
        <v>9850000</v>
      </c>
      <c r="W73" s="42">
        <f t="shared" ca="1" si="16"/>
        <v>500000</v>
      </c>
      <c r="X73" s="35">
        <f>IF(AND(INT($A73)&lt;12, $C73&lt;&gt;"Ya"),0,SUMIF($B$14:$B72,$B73&amp;"*",$O$14:$O72)+O73)</f>
        <v>0</v>
      </c>
      <c r="Y73" s="35">
        <f>IF(AND(INT($A73)&lt;12, $C73&lt;&gt;"Ya"),0,SUMIF($B$14:$B72,$B73&amp;"*",$W$14:$W72)+W73)</f>
        <v>0</v>
      </c>
      <c r="Z73" s="35">
        <f>IF(AND(INT($A73)&lt;12, $C73&lt;&gt;"Ya"),0,SUMIF($B$14:$B72, $B73 &amp;"*",$S$14:$S72)+$S73)</f>
        <v>0</v>
      </c>
      <c r="AA73" s="35">
        <f>IF(AND(INT($A73)&lt;12, $C73&lt;&gt;"Ya"),0,SUMIF($B$14:$B72, $B73&amp;"*",$T$14:$T72)+$T73)</f>
        <v>0</v>
      </c>
      <c r="AB73" s="35">
        <f>IF(AND(INT($A73)&lt;12, $C73&lt;&gt;"Ya"),0,SUMIF($B$14:$B72,$B73 &amp; "*",$U$14:$U72)+$U73)</f>
        <v>0</v>
      </c>
      <c r="AC73" s="35">
        <f t="shared" si="17"/>
        <v>0</v>
      </c>
      <c r="AD73" s="35">
        <f t="shared" si="28"/>
        <v>0</v>
      </c>
      <c r="AE73" s="35">
        <f t="shared" si="19"/>
        <v>0</v>
      </c>
      <c r="AF73" s="35">
        <f t="shared" si="25"/>
        <v>0</v>
      </c>
      <c r="AG73" s="35">
        <f>IF(AND(INT($A73)&lt;12, $C73&lt;&gt;"Ya"),0,SUMIF($B$14:$B72, $B73 &amp;"*",$Q$14:$Q72)+$Q73)</f>
        <v>0</v>
      </c>
      <c r="AH73" s="35">
        <f t="shared" si="20"/>
        <v>0</v>
      </c>
      <c r="AI73" s="35">
        <f t="shared" ca="1" si="26"/>
        <v>0</v>
      </c>
    </row>
    <row r="74" spans="1:35" x14ac:dyDescent="0.25">
      <c r="A74" s="36">
        <v>8</v>
      </c>
      <c r="B74" s="37" t="s">
        <v>81</v>
      </c>
      <c r="C74" s="38" t="str">
        <f t="shared" si="21"/>
        <v>Tidak</v>
      </c>
      <c r="D74" s="39" t="str">
        <f t="shared" si="27"/>
        <v>Test 4</v>
      </c>
      <c r="E74" s="39" t="str">
        <f t="shared" si="22"/>
        <v>TK/3</v>
      </c>
      <c r="F74" s="54">
        <f t="shared" si="23"/>
        <v>1</v>
      </c>
      <c r="G74" s="35">
        <v>10000000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40">
        <f t="shared" ca="1" si="3"/>
        <v>0</v>
      </c>
      <c r="O74" s="35">
        <f t="shared" ca="1" si="12"/>
        <v>10000000</v>
      </c>
      <c r="P74" s="41">
        <f t="shared" ca="1" si="24"/>
        <v>1.4999999999999999E-2</v>
      </c>
      <c r="Q74" s="35">
        <f t="shared" ca="1" si="13"/>
        <v>150000</v>
      </c>
      <c r="R74" s="35">
        <f t="shared" si="14"/>
        <v>0</v>
      </c>
      <c r="S74" s="35">
        <v>0</v>
      </c>
      <c r="T74" s="35">
        <v>0</v>
      </c>
      <c r="U74" s="35">
        <v>0</v>
      </c>
      <c r="V74" s="35">
        <f t="shared" ca="1" si="15"/>
        <v>9850000</v>
      </c>
      <c r="W74" s="42">
        <f t="shared" ca="1" si="16"/>
        <v>500000</v>
      </c>
      <c r="X74" s="35">
        <f>IF(AND(INT($A74)&lt;12, $C74&lt;&gt;"Ya"),0,SUMIF($B$14:$B73,$B74&amp;"*",$O$14:$O73)+O74)</f>
        <v>0</v>
      </c>
      <c r="Y74" s="35">
        <f>IF(AND(INT($A74)&lt;12, $C74&lt;&gt;"Ya"),0,SUMIF($B$14:$B73,$B74&amp;"*",$W$14:$W73)+W74)</f>
        <v>0</v>
      </c>
      <c r="Z74" s="35">
        <f>IF(AND(INT($A74)&lt;12, $C74&lt;&gt;"Ya"),0,SUMIF($B$14:$B73, $B74 &amp;"*",$S$14:$S73)+$S74)</f>
        <v>0</v>
      </c>
      <c r="AA74" s="35">
        <f>IF(AND(INT($A74)&lt;12, $C74&lt;&gt;"Ya"),0,SUMIF($B$14:$B73, $B74&amp;"*",$T$14:$T73)+$T74)</f>
        <v>0</v>
      </c>
      <c r="AB74" s="35">
        <f>IF(AND(INT($A74)&lt;12, $C74&lt;&gt;"Ya"),0,SUMIF($B$14:$B73,$B74 &amp; "*",$U$14:$U73)+$U74)</f>
        <v>0</v>
      </c>
      <c r="AC74" s="35">
        <f t="shared" si="17"/>
        <v>0</v>
      </c>
      <c r="AD74" s="35">
        <f t="shared" si="28"/>
        <v>0</v>
      </c>
      <c r="AE74" s="35">
        <f t="shared" si="19"/>
        <v>0</v>
      </c>
      <c r="AF74" s="35">
        <f t="shared" si="25"/>
        <v>0</v>
      </c>
      <c r="AG74" s="35">
        <f>IF(AND(INT($A74)&lt;12, $C74&lt;&gt;"Ya"),0,SUMIF($B$14:$B73, $B74 &amp;"*",$Q$14:$Q73)+$Q74)</f>
        <v>0</v>
      </c>
      <c r="AH74" s="35">
        <f t="shared" si="20"/>
        <v>0</v>
      </c>
      <c r="AI74" s="35">
        <f t="shared" ca="1" si="26"/>
        <v>0</v>
      </c>
    </row>
    <row r="75" spans="1:35" x14ac:dyDescent="0.25">
      <c r="A75" s="36">
        <v>8</v>
      </c>
      <c r="B75" s="37" t="s">
        <v>82</v>
      </c>
      <c r="C75" s="38" t="str">
        <f t="shared" si="21"/>
        <v>Tidak</v>
      </c>
      <c r="D75" s="39" t="str">
        <f t="shared" si="27"/>
        <v>Test 5</v>
      </c>
      <c r="E75" s="39" t="str">
        <f t="shared" si="22"/>
        <v>K/0</v>
      </c>
      <c r="F75" s="54">
        <f t="shared" si="23"/>
        <v>1</v>
      </c>
      <c r="G75" s="35">
        <v>10000000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40">
        <f t="shared" ca="1" si="3"/>
        <v>0</v>
      </c>
      <c r="O75" s="35">
        <f t="shared" ca="1" si="12"/>
        <v>10000000</v>
      </c>
      <c r="P75" s="41">
        <f t="shared" ca="1" si="24"/>
        <v>0.02</v>
      </c>
      <c r="Q75" s="35">
        <f t="shared" ca="1" si="13"/>
        <v>200000</v>
      </c>
      <c r="R75" s="35">
        <f t="shared" si="14"/>
        <v>0</v>
      </c>
      <c r="S75" s="35">
        <v>0</v>
      </c>
      <c r="T75" s="35">
        <v>0</v>
      </c>
      <c r="U75" s="35">
        <v>0</v>
      </c>
      <c r="V75" s="35">
        <f t="shared" ca="1" si="15"/>
        <v>9800000</v>
      </c>
      <c r="W75" s="42">
        <f t="shared" ca="1" si="16"/>
        <v>500000</v>
      </c>
      <c r="X75" s="35">
        <f>IF(AND(INT($A75)&lt;12, $C75&lt;&gt;"Ya"),0,SUMIF($B$14:$B74,$B75&amp;"*",$O$14:$O74)+O75)</f>
        <v>0</v>
      </c>
      <c r="Y75" s="35">
        <f>IF(AND(INT($A75)&lt;12, $C75&lt;&gt;"Ya"),0,SUMIF($B$14:$B74,$B75&amp;"*",$W$14:$W74)+W75)</f>
        <v>0</v>
      </c>
      <c r="Z75" s="35">
        <f>IF(AND(INT($A75)&lt;12, $C75&lt;&gt;"Ya"),0,SUMIF($B$14:$B74, $B75 &amp;"*",$S$14:$S74)+$S75)</f>
        <v>0</v>
      </c>
      <c r="AA75" s="35">
        <f>IF(AND(INT($A75)&lt;12, $C75&lt;&gt;"Ya"),0,SUMIF($B$14:$B74, $B75&amp;"*",$T$14:$T74)+$T75)</f>
        <v>0</v>
      </c>
      <c r="AB75" s="35">
        <f>IF(AND(INT($A75)&lt;12, $C75&lt;&gt;"Ya"),0,SUMIF($B$14:$B74,$B75 &amp; "*",$U$14:$U74)+$U75)</f>
        <v>0</v>
      </c>
      <c r="AC75" s="35">
        <f t="shared" si="17"/>
        <v>0</v>
      </c>
      <c r="AD75" s="35">
        <f t="shared" si="28"/>
        <v>0</v>
      </c>
      <c r="AE75" s="35">
        <f t="shared" si="19"/>
        <v>0</v>
      </c>
      <c r="AF75" s="35">
        <f t="shared" si="25"/>
        <v>0</v>
      </c>
      <c r="AG75" s="35">
        <f>IF(AND(INT($A75)&lt;12, $C75&lt;&gt;"Ya"),0,SUMIF($B$14:$B74, $B75 &amp;"*",$Q$14:$Q74)+$Q75)</f>
        <v>0</v>
      </c>
      <c r="AH75" s="35">
        <f t="shared" si="20"/>
        <v>0</v>
      </c>
      <c r="AI75" s="35">
        <f t="shared" ca="1" si="26"/>
        <v>0</v>
      </c>
    </row>
    <row r="76" spans="1:35" x14ac:dyDescent="0.25">
      <c r="A76" s="36">
        <v>8</v>
      </c>
      <c r="B76" s="37" t="s">
        <v>83</v>
      </c>
      <c r="C76" s="38" t="str">
        <f t="shared" si="21"/>
        <v>Tidak</v>
      </c>
      <c r="D76" s="39" t="str">
        <f t="shared" si="27"/>
        <v>Test 6</v>
      </c>
      <c r="E76" s="39" t="str">
        <f t="shared" si="22"/>
        <v>K/1</v>
      </c>
      <c r="F76" s="54">
        <f t="shared" si="23"/>
        <v>1</v>
      </c>
      <c r="G76" s="35">
        <v>10000000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40">
        <f t="shared" ca="1" si="3"/>
        <v>0</v>
      </c>
      <c r="O76" s="35">
        <f t="shared" ca="1" si="12"/>
        <v>10000000</v>
      </c>
      <c r="P76" s="41">
        <f t="shared" ca="1" si="24"/>
        <v>1.4999999999999999E-2</v>
      </c>
      <c r="Q76" s="35">
        <f t="shared" ca="1" si="13"/>
        <v>150000</v>
      </c>
      <c r="R76" s="35">
        <f t="shared" si="14"/>
        <v>0</v>
      </c>
      <c r="S76" s="35">
        <v>0</v>
      </c>
      <c r="T76" s="35">
        <v>0</v>
      </c>
      <c r="U76" s="35">
        <v>0</v>
      </c>
      <c r="V76" s="35">
        <f t="shared" ca="1" si="15"/>
        <v>9850000</v>
      </c>
      <c r="W76" s="42">
        <f t="shared" ca="1" si="16"/>
        <v>500000</v>
      </c>
      <c r="X76" s="35">
        <f>IF(AND(INT($A76)&lt;12, $C76&lt;&gt;"Ya"),0,SUMIF($B$14:$B75,$B76&amp;"*",$O$14:$O75)+O76)</f>
        <v>0</v>
      </c>
      <c r="Y76" s="35">
        <f>IF(AND(INT($A76)&lt;12, $C76&lt;&gt;"Ya"),0,SUMIF($B$14:$B75,$B76&amp;"*",$W$14:$W75)+W76)</f>
        <v>0</v>
      </c>
      <c r="Z76" s="35">
        <f>IF(AND(INT($A76)&lt;12, $C76&lt;&gt;"Ya"),0,SUMIF($B$14:$B75, $B76 &amp;"*",$S$14:$S75)+$S76)</f>
        <v>0</v>
      </c>
      <c r="AA76" s="35">
        <f>IF(AND(INT($A76)&lt;12, $C76&lt;&gt;"Ya"),0,SUMIF($B$14:$B75, $B76&amp;"*",$T$14:$T75)+$T76)</f>
        <v>0</v>
      </c>
      <c r="AB76" s="35">
        <f>IF(AND(INT($A76)&lt;12, $C76&lt;&gt;"Ya"),0,SUMIF($B$14:$B75,$B76 &amp; "*",$U$14:$U75)+$U76)</f>
        <v>0</v>
      </c>
      <c r="AC76" s="35">
        <f t="shared" si="17"/>
        <v>0</v>
      </c>
      <c r="AD76" s="35">
        <f t="shared" si="28"/>
        <v>0</v>
      </c>
      <c r="AE76" s="35">
        <f t="shared" si="19"/>
        <v>0</v>
      </c>
      <c r="AF76" s="35">
        <f t="shared" si="25"/>
        <v>0</v>
      </c>
      <c r="AG76" s="35">
        <f>IF(AND(INT($A76)&lt;12, $C76&lt;&gt;"Ya"),0,SUMIF($B$14:$B75, $B76 &amp;"*",$Q$14:$Q75)+$Q76)</f>
        <v>0</v>
      </c>
      <c r="AH76" s="35">
        <f t="shared" si="20"/>
        <v>0</v>
      </c>
      <c r="AI76" s="35">
        <f t="shared" ca="1" si="26"/>
        <v>0</v>
      </c>
    </row>
    <row r="77" spans="1:35" x14ac:dyDescent="0.25">
      <c r="A77" s="36">
        <v>8</v>
      </c>
      <c r="B77" s="37" t="s">
        <v>84</v>
      </c>
      <c r="C77" s="38" t="str">
        <f t="shared" si="21"/>
        <v>Tidak</v>
      </c>
      <c r="D77" s="39" t="str">
        <f t="shared" si="27"/>
        <v>Test 7</v>
      </c>
      <c r="E77" s="39" t="str">
        <f t="shared" si="22"/>
        <v>K/2</v>
      </c>
      <c r="F77" s="54">
        <f t="shared" si="23"/>
        <v>1</v>
      </c>
      <c r="G77" s="35">
        <v>10000000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40">
        <f t="shared" ca="1" si="3"/>
        <v>152284.26395939087</v>
      </c>
      <c r="O77" s="35">
        <f t="shared" ca="1" si="12"/>
        <v>10152284.263959391</v>
      </c>
      <c r="P77" s="41">
        <f t="shared" ca="1" si="24"/>
        <v>1.4999999999999999E-2</v>
      </c>
      <c r="Q77" s="35">
        <f t="shared" ca="1" si="13"/>
        <v>152284.26395939087</v>
      </c>
      <c r="R77" s="35">
        <f t="shared" si="14"/>
        <v>0</v>
      </c>
      <c r="S77" s="35">
        <v>0</v>
      </c>
      <c r="T77" s="35">
        <v>0</v>
      </c>
      <c r="U77" s="35">
        <v>0</v>
      </c>
      <c r="V77" s="35">
        <f t="shared" ca="1" si="15"/>
        <v>10000000</v>
      </c>
      <c r="W77" s="42">
        <f t="shared" ca="1" si="16"/>
        <v>500000</v>
      </c>
      <c r="X77" s="35">
        <f>IF(AND(INT($A77)&lt;12, $C77&lt;&gt;"Ya"),0,SUMIF($B$14:$B76,$B77&amp;"*",$O$14:$O76)+O77)</f>
        <v>0</v>
      </c>
      <c r="Y77" s="35">
        <f>IF(AND(INT($A77)&lt;12, $C77&lt;&gt;"Ya"),0,SUMIF($B$14:$B76,$B77&amp;"*",$W$14:$W76)+W77)</f>
        <v>0</v>
      </c>
      <c r="Z77" s="35">
        <f>IF(AND(INT($A77)&lt;12, $C77&lt;&gt;"Ya"),0,SUMIF($B$14:$B76, $B77 &amp;"*",$S$14:$S76)+$S77)</f>
        <v>0</v>
      </c>
      <c r="AA77" s="35">
        <f>IF(AND(INT($A77)&lt;12, $C77&lt;&gt;"Ya"),0,SUMIF($B$14:$B76, $B77&amp;"*",$T$14:$T76)+$T77)</f>
        <v>0</v>
      </c>
      <c r="AB77" s="35">
        <f>IF(AND(INT($A77)&lt;12, $C77&lt;&gt;"Ya"),0,SUMIF($B$14:$B76,$B77 &amp; "*",$U$14:$U76)+$U77)</f>
        <v>0</v>
      </c>
      <c r="AC77" s="35">
        <f t="shared" si="17"/>
        <v>0</v>
      </c>
      <c r="AD77" s="35">
        <f t="shared" si="28"/>
        <v>0</v>
      </c>
      <c r="AE77" s="35">
        <f t="shared" si="19"/>
        <v>0</v>
      </c>
      <c r="AF77" s="35">
        <f t="shared" si="25"/>
        <v>0</v>
      </c>
      <c r="AG77" s="35">
        <f>IF(AND(INT($A77)&lt;12, $C77&lt;&gt;"Ya"),0,SUMIF($B$14:$B76, $B77 &amp;"*",$Q$14:$Q76)+$Q77)</f>
        <v>0</v>
      </c>
      <c r="AH77" s="35">
        <f t="shared" si="20"/>
        <v>0</v>
      </c>
      <c r="AI77" s="35">
        <f t="shared" ca="1" si="26"/>
        <v>0</v>
      </c>
    </row>
    <row r="78" spans="1:35" x14ac:dyDescent="0.25">
      <c r="A78" s="27">
        <v>8</v>
      </c>
      <c r="B78" s="28" t="s">
        <v>85</v>
      </c>
      <c r="C78" s="43" t="str">
        <f t="shared" si="21"/>
        <v>Tidak</v>
      </c>
      <c r="D78" s="29" t="str">
        <f t="shared" si="27"/>
        <v>Test 8</v>
      </c>
      <c r="E78" s="29" t="str">
        <f t="shared" si="22"/>
        <v>K/3</v>
      </c>
      <c r="F78" s="53">
        <f t="shared" si="23"/>
        <v>1.2</v>
      </c>
      <c r="G78" s="30">
        <v>10000000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1">
        <f t="shared" ca="1" si="3"/>
        <v>183299.38900203662</v>
      </c>
      <c r="O78" s="30">
        <f t="shared" ca="1" si="12"/>
        <v>10183299.389002036</v>
      </c>
      <c r="P78" s="32">
        <f t="shared" ca="1" si="24"/>
        <v>1.4999999999999999E-2</v>
      </c>
      <c r="Q78" s="30">
        <f t="shared" ca="1" si="13"/>
        <v>183299.38900203662</v>
      </c>
      <c r="R78" s="30">
        <f t="shared" si="14"/>
        <v>0</v>
      </c>
      <c r="S78" s="30">
        <v>0</v>
      </c>
      <c r="T78" s="30">
        <v>0</v>
      </c>
      <c r="U78" s="30">
        <v>0</v>
      </c>
      <c r="V78" s="30">
        <f t="shared" ca="1" si="15"/>
        <v>10000000</v>
      </c>
      <c r="W78" s="30">
        <f t="shared" ca="1" si="16"/>
        <v>500000</v>
      </c>
      <c r="X78" s="30">
        <f>IF(AND(INT($A78)&lt;12, $C78&lt;&gt;"Ya"),0,SUMIF($B$14:$B77,$B78&amp;"*",$O$14:$O77)+O78)</f>
        <v>0</v>
      </c>
      <c r="Y78" s="30">
        <f>IF(AND(INT($A78)&lt;12, $C78&lt;&gt;"Ya"),0,SUMIF($B$14:$B77,$B78&amp;"*",$W$14:$W77)+W78)</f>
        <v>0</v>
      </c>
      <c r="Z78" s="30">
        <f>IF(AND(INT($A78)&lt;12, $C78&lt;&gt;"Ya"),0,SUMIF($B$14:$B77, $B78 &amp;"*",$S$14:$S77)+$S78)</f>
        <v>0</v>
      </c>
      <c r="AA78" s="30">
        <f>IF(AND(INT($A78)&lt;12, $C78&lt;&gt;"Ya"),0,SUMIF($B$14:$B77, $B78&amp;"*",$T$14:$T77)+$T78)</f>
        <v>0</v>
      </c>
      <c r="AB78" s="30">
        <f>IF(AND(INT($A78)&lt;12, $C78&lt;&gt;"Ya"),0,SUMIF($B$14:$B77,$B78 &amp; "*",$U$14:$U77)+$U78)</f>
        <v>0</v>
      </c>
      <c r="AC78" s="30">
        <f t="shared" si="17"/>
        <v>0</v>
      </c>
      <c r="AD78" s="30">
        <f t="shared" si="28"/>
        <v>0</v>
      </c>
      <c r="AE78" s="30">
        <f t="shared" si="19"/>
        <v>0</v>
      </c>
      <c r="AF78" s="30">
        <f t="shared" si="25"/>
        <v>0</v>
      </c>
      <c r="AG78" s="30">
        <f>IF(AND(INT($A78)&lt;12, $C78&lt;&gt;"Ya"),0,SUMIF($B$14:$B77, $B78 &amp;"*",$Q$14:$Q77)+$Q78)</f>
        <v>0</v>
      </c>
      <c r="AH78" s="30">
        <f t="shared" si="20"/>
        <v>0</v>
      </c>
      <c r="AI78" s="30">
        <f t="shared" ca="1" si="26"/>
        <v>0</v>
      </c>
    </row>
    <row r="79" spans="1:35" x14ac:dyDescent="0.25">
      <c r="A79" s="36">
        <v>9</v>
      </c>
      <c r="B79" s="37" t="s">
        <v>71</v>
      </c>
      <c r="C79" s="38" t="str">
        <f t="shared" ref="C79:C110" si="29">IF(VLOOKUP(B79,MasterKaryawan,9)=0,"Tidak",IF(VLOOKUP(B79,MasterKaryawan,9)&gt;=DATE($B$13,A79+1,1),"Tidak",IF(VLOOKUP(B79,MasterKaryawan,9)&lt;DATE($B$13,A79,1),"Tidak Valid","Ya")))</f>
        <v>Tidak</v>
      </c>
      <c r="D79" s="39" t="str">
        <f t="shared" ref="D79:D103" si="30">VLOOKUP(B79,MasterKaryawan,2)</f>
        <v>Test 2</v>
      </c>
      <c r="E79" s="39" t="str">
        <f t="shared" ref="E79:E105" si="31">VLOOKUP($B79,MasterKaryawan,5)</f>
        <v>TK/1</v>
      </c>
      <c r="F79" s="54">
        <f t="shared" ref="F79:F105" si="32">IF(VLOOKUP($B79,MasterKaryawan,7)=0,120%,IF(VLOOKUP($B79,MasterKaryawan,7)&gt;DATE($B$13,$A79+1,1),120%,100%))</f>
        <v>1</v>
      </c>
      <c r="G79" s="35">
        <v>10000000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40">
        <f t="shared" ref="N79:N105" ca="1" si="33">IF(AND(INT($A79)&lt;12,$C79&lt;&gt;"Ya"),Q79,AH79)*IF(VLOOKUP(B79,MasterKaryawan,6)&lt;&gt;"Ya",0,1)</f>
        <v>0</v>
      </c>
      <c r="O79" s="35">
        <f t="shared" ref="O79:O103" ca="1" si="34">G79+H79+I79+J79+K79+L79+M79+N79</f>
        <v>10000000</v>
      </c>
      <c r="P79" s="41">
        <f t="shared" ref="P79:P105" ca="1" si="35">IF(AND(INT(A79)&lt;12,C79&lt;&gt;"Ya"),VLOOKUP(O79,CHOOSE(VLOOKUP(E79,TER,2,FALSE),TERA,TERB,TERC),4,TRUE),"Tarif Pasal 17")</f>
        <v>0.02</v>
      </c>
      <c r="Q79" s="35">
        <f t="shared" ca="1" si="13"/>
        <v>200000</v>
      </c>
      <c r="R79" s="35">
        <f t="shared" ref="R79:R103" si="36">IF(AND(INT($A79)&lt;12, $C79&lt;&gt;"Ya"),0,AH79)</f>
        <v>0</v>
      </c>
      <c r="S79" s="35">
        <v>0</v>
      </c>
      <c r="T79" s="35">
        <v>0</v>
      </c>
      <c r="U79" s="35">
        <v>0</v>
      </c>
      <c r="V79" s="35">
        <f t="shared" ref="V79:V103" ca="1" si="37">O79-Q79-R79-S79-T79-U79</f>
        <v>9800000</v>
      </c>
      <c r="W79" s="42">
        <f t="shared" ref="W79:W103" ca="1" si="38">IF(5%*O79&gt;6000000/12,6000000/12,5%*O79)</f>
        <v>500000</v>
      </c>
      <c r="X79" s="35">
        <f>IF(AND(INT($A79)&lt;12, $C79&lt;&gt;"Ya"),0,SUMIF($B$14:$B78,$B79&amp;"*",$O$14:$O78)+O79)</f>
        <v>0</v>
      </c>
      <c r="Y79" s="35">
        <f>IF(AND(INT($A79)&lt;12, $C79&lt;&gt;"Ya"),0,SUMIF($B$14:$B78,$B79&amp;"*",$W$14:$W78)+W79)</f>
        <v>0</v>
      </c>
      <c r="Z79" s="35">
        <f>IF(AND(INT($A79)&lt;12, $C79&lt;&gt;"Ya"),0,SUMIF($B$14:$B78, $B79 &amp;"*",$S$14:$S78)+$S79)</f>
        <v>0</v>
      </c>
      <c r="AA79" s="35">
        <f>IF(AND(INT($A79)&lt;12, $C79&lt;&gt;"Ya"),0,SUMIF($B$14:$B78, $B79&amp;"*",$T$14:$T78)+$T79)</f>
        <v>0</v>
      </c>
      <c r="AB79" s="35">
        <f>IF(AND(INT($A79)&lt;12, $C79&lt;&gt;"Ya"),0,SUMIF($B$14:$B78,$B79 &amp; "*",$U$14:$U78)+$U79)</f>
        <v>0</v>
      </c>
      <c r="AC79" s="35">
        <f t="shared" ref="AC79:AC103" si="39">X79-Y79-Z79-AA79-AB79</f>
        <v>0</v>
      </c>
      <c r="AD79" s="35">
        <f t="shared" si="28"/>
        <v>0</v>
      </c>
      <c r="AE79" s="35">
        <f t="shared" ref="AE79:AE103" si="40">MAX(AC79-AD79,0)</f>
        <v>0</v>
      </c>
      <c r="AF79" s="35">
        <f t="shared" ref="AF79:AF105" si="41">(VLOOKUP(AE79,LapisanPPh21,3,TRUE)*(AE79-VLOOKUP(AE79,LapisanPPh21,1))+VLOOKUP(AE79,LapisanPPh21,5))*$F79</f>
        <v>0</v>
      </c>
      <c r="AG79" s="35">
        <f>IF(AND(INT($A79)&lt;12, $C79&lt;&gt;"Ya"),0,SUMIF($B$14:$B78, $B79 &amp;"*",$Q$14:$Q78)+$Q79)</f>
        <v>0</v>
      </c>
      <c r="AH79" s="35">
        <f t="shared" ref="AH79:AH103" si="42">AF79-AG79</f>
        <v>0</v>
      </c>
      <c r="AI79" s="35">
        <f t="shared" ref="AI79:AI96" ca="1" si="43">(Q79+R79-N79)*IF(VLOOKUP(B79,MasterKaryawan,7)&lt;&gt;"Ya",0,1)</f>
        <v>0</v>
      </c>
    </row>
    <row r="80" spans="1:35" x14ac:dyDescent="0.25">
      <c r="A80" s="36">
        <v>9</v>
      </c>
      <c r="B80" s="37" t="s">
        <v>80</v>
      </c>
      <c r="C80" s="38" t="str">
        <f t="shared" si="29"/>
        <v>Tidak</v>
      </c>
      <c r="D80" s="39" t="str">
        <f t="shared" si="30"/>
        <v>Test 3</v>
      </c>
      <c r="E80" s="39" t="str">
        <f t="shared" si="31"/>
        <v>TK/2</v>
      </c>
      <c r="F80" s="54">
        <f t="shared" si="32"/>
        <v>1</v>
      </c>
      <c r="G80" s="35">
        <v>10000000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40">
        <f t="shared" ca="1" si="33"/>
        <v>0</v>
      </c>
      <c r="O80" s="35">
        <f t="shared" ca="1" si="34"/>
        <v>10000000</v>
      </c>
      <c r="P80" s="41">
        <f t="shared" ca="1" si="35"/>
        <v>1.4999999999999999E-2</v>
      </c>
      <c r="Q80" s="35">
        <f t="shared" ref="Q80:Q105" ca="1" si="44">IF(AND(INT($A80)&lt;12, $C80&lt;&gt;"Ya"),O80*P80,0)*$F80</f>
        <v>150000</v>
      </c>
      <c r="R80" s="35">
        <f t="shared" si="36"/>
        <v>0</v>
      </c>
      <c r="S80" s="35">
        <v>0</v>
      </c>
      <c r="T80" s="35">
        <v>0</v>
      </c>
      <c r="U80" s="35">
        <v>0</v>
      </c>
      <c r="V80" s="35">
        <f t="shared" ca="1" si="37"/>
        <v>9850000</v>
      </c>
      <c r="W80" s="42">
        <f t="shared" ca="1" si="38"/>
        <v>500000</v>
      </c>
      <c r="X80" s="35">
        <f>IF(AND(INT($A80)&lt;12, $C80&lt;&gt;"Ya"),0,SUMIF($B$14:$B79,$B80&amp;"*",$O$14:$O79)+O80)</f>
        <v>0</v>
      </c>
      <c r="Y80" s="35">
        <f>IF(AND(INT($A80)&lt;12, $C80&lt;&gt;"Ya"),0,SUMIF($B$14:$B79,$B80&amp;"*",$W$14:$W79)+W80)</f>
        <v>0</v>
      </c>
      <c r="Z80" s="35">
        <f>IF(AND(INT($A80)&lt;12, $C80&lt;&gt;"Ya"),0,SUMIF($B$14:$B79, $B80 &amp;"*",$S$14:$S79)+$S80)</f>
        <v>0</v>
      </c>
      <c r="AA80" s="35">
        <f>IF(AND(INT($A80)&lt;12, $C80&lt;&gt;"Ya"),0,SUMIF($B$14:$B79, $B80&amp;"*",$T$14:$T79)+$T80)</f>
        <v>0</v>
      </c>
      <c r="AB80" s="35">
        <f>IF(AND(INT($A80)&lt;12, $C80&lt;&gt;"Ya"),0,SUMIF($B$14:$B79,$B80 &amp; "*",$U$14:$U79)+$U80)</f>
        <v>0</v>
      </c>
      <c r="AC80" s="35">
        <f t="shared" si="39"/>
        <v>0</v>
      </c>
      <c r="AD80" s="35">
        <f t="shared" ref="AD80:AD96" si="45">IF(AND(INT($A80)&lt;12, $C80&lt;&gt;"Ya"),0,VLOOKUP(E80,PTKP,3,FALSE))</f>
        <v>0</v>
      </c>
      <c r="AE80" s="35">
        <f t="shared" si="40"/>
        <v>0</v>
      </c>
      <c r="AF80" s="35">
        <f t="shared" si="41"/>
        <v>0</v>
      </c>
      <c r="AG80" s="35">
        <f>IF(AND(INT($A80)&lt;12, $C80&lt;&gt;"Ya"),0,SUMIF($B$14:$B79, $B80 &amp;"*",$Q$14:$Q79)+$Q80)</f>
        <v>0</v>
      </c>
      <c r="AH80" s="35">
        <f t="shared" si="42"/>
        <v>0</v>
      </c>
      <c r="AI80" s="35">
        <f t="shared" ca="1" si="43"/>
        <v>0</v>
      </c>
    </row>
    <row r="81" spans="1:35" x14ac:dyDescent="0.25">
      <c r="A81" s="36">
        <v>9</v>
      </c>
      <c r="B81" s="37" t="s">
        <v>81</v>
      </c>
      <c r="C81" s="38" t="str">
        <f t="shared" si="29"/>
        <v>Tidak</v>
      </c>
      <c r="D81" s="39" t="str">
        <f t="shared" si="30"/>
        <v>Test 4</v>
      </c>
      <c r="E81" s="39" t="str">
        <f t="shared" si="31"/>
        <v>TK/3</v>
      </c>
      <c r="F81" s="54">
        <f t="shared" si="32"/>
        <v>1</v>
      </c>
      <c r="G81" s="35">
        <v>10000000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40">
        <f t="shared" ca="1" si="33"/>
        <v>0</v>
      </c>
      <c r="O81" s="35">
        <f t="shared" ca="1" si="34"/>
        <v>10000000</v>
      </c>
      <c r="P81" s="41">
        <f t="shared" ca="1" si="35"/>
        <v>1.4999999999999999E-2</v>
      </c>
      <c r="Q81" s="35">
        <f t="shared" ca="1" si="44"/>
        <v>150000</v>
      </c>
      <c r="R81" s="35">
        <f t="shared" si="36"/>
        <v>0</v>
      </c>
      <c r="S81" s="35">
        <v>0</v>
      </c>
      <c r="T81" s="35">
        <v>0</v>
      </c>
      <c r="U81" s="35">
        <v>0</v>
      </c>
      <c r="V81" s="35">
        <f t="shared" ca="1" si="37"/>
        <v>9850000</v>
      </c>
      <c r="W81" s="42">
        <f t="shared" ca="1" si="38"/>
        <v>500000</v>
      </c>
      <c r="X81" s="35">
        <f>IF(AND(INT($A81)&lt;12, $C81&lt;&gt;"Ya"),0,SUMIF($B$14:$B80,$B81&amp;"*",$O$14:$O80)+O81)</f>
        <v>0</v>
      </c>
      <c r="Y81" s="35">
        <f>IF(AND(INT($A81)&lt;12, $C81&lt;&gt;"Ya"),0,SUMIF($B$14:$B80,$B81&amp;"*",$W$14:$W80)+W81)</f>
        <v>0</v>
      </c>
      <c r="Z81" s="35">
        <f>IF(AND(INT($A81)&lt;12, $C81&lt;&gt;"Ya"),0,SUMIF($B$14:$B80, $B81 &amp;"*",$S$14:$S80)+$S81)</f>
        <v>0</v>
      </c>
      <c r="AA81" s="35">
        <f>IF(AND(INT($A81)&lt;12, $C81&lt;&gt;"Ya"),0,SUMIF($B$14:$B80, $B81&amp;"*",$T$14:$T80)+$T81)</f>
        <v>0</v>
      </c>
      <c r="AB81" s="35">
        <f>IF(AND(INT($A81)&lt;12, $C81&lt;&gt;"Ya"),0,SUMIF($B$14:$B80,$B81 &amp; "*",$U$14:$U80)+$U81)</f>
        <v>0</v>
      </c>
      <c r="AC81" s="35">
        <f t="shared" si="39"/>
        <v>0</v>
      </c>
      <c r="AD81" s="35">
        <f t="shared" si="45"/>
        <v>0</v>
      </c>
      <c r="AE81" s="35">
        <f t="shared" si="40"/>
        <v>0</v>
      </c>
      <c r="AF81" s="35">
        <f t="shared" si="41"/>
        <v>0</v>
      </c>
      <c r="AG81" s="35">
        <f>IF(AND(INT($A81)&lt;12, $C81&lt;&gt;"Ya"),0,SUMIF($B$14:$B80, $B81 &amp;"*",$Q$14:$Q80)+$Q81)</f>
        <v>0</v>
      </c>
      <c r="AH81" s="35">
        <f t="shared" si="42"/>
        <v>0</v>
      </c>
      <c r="AI81" s="35">
        <f t="shared" ca="1" si="43"/>
        <v>0</v>
      </c>
    </row>
    <row r="82" spans="1:35" x14ac:dyDescent="0.25">
      <c r="A82" s="36">
        <v>9</v>
      </c>
      <c r="B82" s="37" t="s">
        <v>82</v>
      </c>
      <c r="C82" s="38" t="str">
        <f t="shared" si="29"/>
        <v>Tidak</v>
      </c>
      <c r="D82" s="39" t="str">
        <f t="shared" si="30"/>
        <v>Test 5</v>
      </c>
      <c r="E82" s="39" t="str">
        <f t="shared" si="31"/>
        <v>K/0</v>
      </c>
      <c r="F82" s="54">
        <f t="shared" si="32"/>
        <v>1</v>
      </c>
      <c r="G82" s="35">
        <v>10000000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40">
        <f t="shared" ca="1" si="33"/>
        <v>0</v>
      </c>
      <c r="O82" s="35">
        <f t="shared" ca="1" si="34"/>
        <v>10000000</v>
      </c>
      <c r="P82" s="41">
        <f t="shared" ca="1" si="35"/>
        <v>0.02</v>
      </c>
      <c r="Q82" s="35">
        <f t="shared" ca="1" si="44"/>
        <v>200000</v>
      </c>
      <c r="R82" s="35">
        <f t="shared" si="36"/>
        <v>0</v>
      </c>
      <c r="S82" s="35">
        <v>0</v>
      </c>
      <c r="T82" s="35">
        <v>0</v>
      </c>
      <c r="U82" s="35">
        <v>0</v>
      </c>
      <c r="V82" s="35">
        <f t="shared" ca="1" si="37"/>
        <v>9800000</v>
      </c>
      <c r="W82" s="42">
        <f t="shared" ca="1" si="38"/>
        <v>500000</v>
      </c>
      <c r="X82" s="35">
        <f>IF(AND(INT($A82)&lt;12, $C82&lt;&gt;"Ya"),0,SUMIF($B$14:$B81,$B82&amp;"*",$O$14:$O81)+O82)</f>
        <v>0</v>
      </c>
      <c r="Y82" s="35">
        <f>IF(AND(INT($A82)&lt;12, $C82&lt;&gt;"Ya"),0,SUMIF($B$14:$B81,$B82&amp;"*",$W$14:$W81)+W82)</f>
        <v>0</v>
      </c>
      <c r="Z82" s="35">
        <f>IF(AND(INT($A82)&lt;12, $C82&lt;&gt;"Ya"),0,SUMIF($B$14:$B81, $B82 &amp;"*",$S$14:$S81)+$S82)</f>
        <v>0</v>
      </c>
      <c r="AA82" s="35">
        <f>IF(AND(INT($A82)&lt;12, $C82&lt;&gt;"Ya"),0,SUMIF($B$14:$B81, $B82&amp;"*",$T$14:$T81)+$T82)</f>
        <v>0</v>
      </c>
      <c r="AB82" s="35">
        <f>IF(AND(INT($A82)&lt;12, $C82&lt;&gt;"Ya"),0,SUMIF($B$14:$B81,$B82 &amp; "*",$U$14:$U81)+$U82)</f>
        <v>0</v>
      </c>
      <c r="AC82" s="35">
        <f t="shared" si="39"/>
        <v>0</v>
      </c>
      <c r="AD82" s="35">
        <f t="shared" si="45"/>
        <v>0</v>
      </c>
      <c r="AE82" s="35">
        <f t="shared" si="40"/>
        <v>0</v>
      </c>
      <c r="AF82" s="35">
        <f t="shared" si="41"/>
        <v>0</v>
      </c>
      <c r="AG82" s="35">
        <f>IF(AND(INT($A82)&lt;12, $C82&lt;&gt;"Ya"),0,SUMIF($B$14:$B81, $B82 &amp;"*",$Q$14:$Q81)+$Q82)</f>
        <v>0</v>
      </c>
      <c r="AH82" s="35">
        <f t="shared" si="42"/>
        <v>0</v>
      </c>
      <c r="AI82" s="35">
        <f t="shared" ca="1" si="43"/>
        <v>0</v>
      </c>
    </row>
    <row r="83" spans="1:35" x14ac:dyDescent="0.25">
      <c r="A83" s="36">
        <v>9</v>
      </c>
      <c r="B83" s="37" t="s">
        <v>83</v>
      </c>
      <c r="C83" s="38" t="str">
        <f t="shared" si="29"/>
        <v>Tidak</v>
      </c>
      <c r="D83" s="39" t="str">
        <f t="shared" si="30"/>
        <v>Test 6</v>
      </c>
      <c r="E83" s="39" t="str">
        <f t="shared" si="31"/>
        <v>K/1</v>
      </c>
      <c r="F83" s="54">
        <f t="shared" si="32"/>
        <v>1</v>
      </c>
      <c r="G83" s="35">
        <v>10000000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40">
        <f t="shared" ca="1" si="33"/>
        <v>0</v>
      </c>
      <c r="O83" s="35">
        <f t="shared" ca="1" si="34"/>
        <v>10000000</v>
      </c>
      <c r="P83" s="41">
        <f t="shared" ca="1" si="35"/>
        <v>1.4999999999999999E-2</v>
      </c>
      <c r="Q83" s="35">
        <f t="shared" ca="1" si="44"/>
        <v>150000</v>
      </c>
      <c r="R83" s="35">
        <f t="shared" si="36"/>
        <v>0</v>
      </c>
      <c r="S83" s="35">
        <v>0</v>
      </c>
      <c r="T83" s="35">
        <v>0</v>
      </c>
      <c r="U83" s="35">
        <v>0</v>
      </c>
      <c r="V83" s="35">
        <f t="shared" ca="1" si="37"/>
        <v>9850000</v>
      </c>
      <c r="W83" s="42">
        <f t="shared" ca="1" si="38"/>
        <v>500000</v>
      </c>
      <c r="X83" s="35">
        <f>IF(AND(INT($A83)&lt;12, $C83&lt;&gt;"Ya"),0,SUMIF($B$14:$B82,$B83&amp;"*",$O$14:$O82)+O83)</f>
        <v>0</v>
      </c>
      <c r="Y83" s="35">
        <f>IF(AND(INT($A83)&lt;12, $C83&lt;&gt;"Ya"),0,SUMIF($B$14:$B82,$B83&amp;"*",$W$14:$W82)+W83)</f>
        <v>0</v>
      </c>
      <c r="Z83" s="35">
        <f>IF(AND(INT($A83)&lt;12, $C83&lt;&gt;"Ya"),0,SUMIF($B$14:$B82, $B83 &amp;"*",$S$14:$S82)+$S83)</f>
        <v>0</v>
      </c>
      <c r="AA83" s="35">
        <f>IF(AND(INT($A83)&lt;12, $C83&lt;&gt;"Ya"),0,SUMIF($B$14:$B82, $B83&amp;"*",$T$14:$T82)+$T83)</f>
        <v>0</v>
      </c>
      <c r="AB83" s="35">
        <f>IF(AND(INT($A83)&lt;12, $C83&lt;&gt;"Ya"),0,SUMIF($B$14:$B82,$B83 &amp; "*",$U$14:$U82)+$U83)</f>
        <v>0</v>
      </c>
      <c r="AC83" s="35">
        <f t="shared" si="39"/>
        <v>0</v>
      </c>
      <c r="AD83" s="35">
        <f t="shared" si="45"/>
        <v>0</v>
      </c>
      <c r="AE83" s="35">
        <f t="shared" si="40"/>
        <v>0</v>
      </c>
      <c r="AF83" s="35">
        <f t="shared" si="41"/>
        <v>0</v>
      </c>
      <c r="AG83" s="35">
        <f>IF(AND(INT($A83)&lt;12, $C83&lt;&gt;"Ya"),0,SUMIF($B$14:$B82, $B83 &amp;"*",$Q$14:$Q82)+$Q83)</f>
        <v>0</v>
      </c>
      <c r="AH83" s="35">
        <f t="shared" si="42"/>
        <v>0</v>
      </c>
      <c r="AI83" s="35">
        <f t="shared" ca="1" si="43"/>
        <v>0</v>
      </c>
    </row>
    <row r="84" spans="1:35" x14ac:dyDescent="0.25">
      <c r="A84" s="36">
        <v>9</v>
      </c>
      <c r="B84" s="37" t="s">
        <v>84</v>
      </c>
      <c r="C84" s="38" t="str">
        <f t="shared" si="29"/>
        <v>Tidak</v>
      </c>
      <c r="D84" s="39" t="str">
        <f t="shared" si="30"/>
        <v>Test 7</v>
      </c>
      <c r="E84" s="39" t="str">
        <f t="shared" si="31"/>
        <v>K/2</v>
      </c>
      <c r="F84" s="54">
        <f t="shared" si="32"/>
        <v>1</v>
      </c>
      <c r="G84" s="35">
        <v>10000000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40">
        <f t="shared" ca="1" si="33"/>
        <v>152284.26395939087</v>
      </c>
      <c r="O84" s="35">
        <f t="shared" ca="1" si="34"/>
        <v>10152284.263959391</v>
      </c>
      <c r="P84" s="41">
        <f t="shared" ca="1" si="35"/>
        <v>1.4999999999999999E-2</v>
      </c>
      <c r="Q84" s="35">
        <f t="shared" ca="1" si="44"/>
        <v>152284.26395939087</v>
      </c>
      <c r="R84" s="35">
        <f t="shared" si="36"/>
        <v>0</v>
      </c>
      <c r="S84" s="35">
        <v>0</v>
      </c>
      <c r="T84" s="35">
        <v>0</v>
      </c>
      <c r="U84" s="35">
        <v>0</v>
      </c>
      <c r="V84" s="35">
        <f t="shared" ca="1" si="37"/>
        <v>10000000</v>
      </c>
      <c r="W84" s="42">
        <f t="shared" ca="1" si="38"/>
        <v>500000</v>
      </c>
      <c r="X84" s="35">
        <f>IF(AND(INT($A84)&lt;12, $C84&lt;&gt;"Ya"),0,SUMIF($B$14:$B83,$B84&amp;"*",$O$14:$O83)+O84)</f>
        <v>0</v>
      </c>
      <c r="Y84" s="35">
        <f>IF(AND(INT($A84)&lt;12, $C84&lt;&gt;"Ya"),0,SUMIF($B$14:$B83,$B84&amp;"*",$W$14:$W83)+W84)</f>
        <v>0</v>
      </c>
      <c r="Z84" s="35">
        <f>IF(AND(INT($A84)&lt;12, $C84&lt;&gt;"Ya"),0,SUMIF($B$14:$B83, $B84 &amp;"*",$S$14:$S83)+$S84)</f>
        <v>0</v>
      </c>
      <c r="AA84" s="35">
        <f>IF(AND(INT($A84)&lt;12, $C84&lt;&gt;"Ya"),0,SUMIF($B$14:$B83, $B84&amp;"*",$T$14:$T83)+$T84)</f>
        <v>0</v>
      </c>
      <c r="AB84" s="35">
        <f>IF(AND(INT($A84)&lt;12, $C84&lt;&gt;"Ya"),0,SUMIF($B$14:$B83,$B84 &amp; "*",$U$14:$U83)+$U84)</f>
        <v>0</v>
      </c>
      <c r="AC84" s="35">
        <f t="shared" si="39"/>
        <v>0</v>
      </c>
      <c r="AD84" s="35">
        <f t="shared" si="45"/>
        <v>0</v>
      </c>
      <c r="AE84" s="35">
        <f t="shared" si="40"/>
        <v>0</v>
      </c>
      <c r="AF84" s="35">
        <f t="shared" si="41"/>
        <v>0</v>
      </c>
      <c r="AG84" s="35">
        <f>IF(AND(INT($A84)&lt;12, $C84&lt;&gt;"Ya"),0,SUMIF($B$14:$B83, $B84 &amp;"*",$Q$14:$Q83)+$Q84)</f>
        <v>0</v>
      </c>
      <c r="AH84" s="35">
        <f t="shared" si="42"/>
        <v>0</v>
      </c>
      <c r="AI84" s="35">
        <f t="shared" ca="1" si="43"/>
        <v>0</v>
      </c>
    </row>
    <row r="85" spans="1:35" x14ac:dyDescent="0.25">
      <c r="A85" s="36">
        <v>9</v>
      </c>
      <c r="B85" s="37" t="s">
        <v>85</v>
      </c>
      <c r="C85" s="38" t="str">
        <f t="shared" si="29"/>
        <v>Tidak</v>
      </c>
      <c r="D85" s="39" t="str">
        <f t="shared" si="30"/>
        <v>Test 8</v>
      </c>
      <c r="E85" s="39" t="str">
        <f t="shared" si="31"/>
        <v>K/3</v>
      </c>
      <c r="F85" s="54">
        <f t="shared" si="32"/>
        <v>1.2</v>
      </c>
      <c r="G85" s="35">
        <v>10000000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40">
        <f t="shared" ca="1" si="33"/>
        <v>183299.38900203662</v>
      </c>
      <c r="O85" s="35">
        <f t="shared" ca="1" si="34"/>
        <v>10183299.389002036</v>
      </c>
      <c r="P85" s="41">
        <f t="shared" ca="1" si="35"/>
        <v>1.4999999999999999E-2</v>
      </c>
      <c r="Q85" s="35">
        <f t="shared" ca="1" si="44"/>
        <v>183299.38900203662</v>
      </c>
      <c r="R85" s="35">
        <f t="shared" si="36"/>
        <v>0</v>
      </c>
      <c r="S85" s="35">
        <v>0</v>
      </c>
      <c r="T85" s="35">
        <v>0</v>
      </c>
      <c r="U85" s="35">
        <v>0</v>
      </c>
      <c r="V85" s="35">
        <f t="shared" ca="1" si="37"/>
        <v>10000000</v>
      </c>
      <c r="W85" s="42">
        <f t="shared" ca="1" si="38"/>
        <v>500000</v>
      </c>
      <c r="X85" s="35">
        <f>IF(AND(INT($A85)&lt;12, $C85&lt;&gt;"Ya"),0,SUMIF($B$14:$B84,$B85&amp;"*",$O$14:$O84)+O85)</f>
        <v>0</v>
      </c>
      <c r="Y85" s="35">
        <f>IF(AND(INT($A85)&lt;12, $C85&lt;&gt;"Ya"),0,SUMIF($B$14:$B84,$B85&amp;"*",$W$14:$W84)+W85)</f>
        <v>0</v>
      </c>
      <c r="Z85" s="35">
        <f>IF(AND(INT($A85)&lt;12, $C85&lt;&gt;"Ya"),0,SUMIF($B$14:$B84, $B85 &amp;"*",$S$14:$S84)+$S85)</f>
        <v>0</v>
      </c>
      <c r="AA85" s="35">
        <f>IF(AND(INT($A85)&lt;12, $C85&lt;&gt;"Ya"),0,SUMIF($B$14:$B84, $B85&amp;"*",$T$14:$T84)+$T85)</f>
        <v>0</v>
      </c>
      <c r="AB85" s="35">
        <f>IF(AND(INT($A85)&lt;12, $C85&lt;&gt;"Ya"),0,SUMIF($B$14:$B84,$B85 &amp; "*",$U$14:$U84)+$U85)</f>
        <v>0</v>
      </c>
      <c r="AC85" s="35">
        <f t="shared" si="39"/>
        <v>0</v>
      </c>
      <c r="AD85" s="35">
        <f t="shared" si="45"/>
        <v>0</v>
      </c>
      <c r="AE85" s="35">
        <f t="shared" si="40"/>
        <v>0</v>
      </c>
      <c r="AF85" s="35">
        <f t="shared" si="41"/>
        <v>0</v>
      </c>
      <c r="AG85" s="35">
        <f>IF(AND(INT($A85)&lt;12, $C85&lt;&gt;"Ya"),0,SUMIF($B$14:$B84, $B85 &amp;"*",$Q$14:$Q84)+$Q85)</f>
        <v>0</v>
      </c>
      <c r="AH85" s="35">
        <f t="shared" si="42"/>
        <v>0</v>
      </c>
      <c r="AI85" s="35">
        <f t="shared" ca="1" si="43"/>
        <v>0</v>
      </c>
    </row>
    <row r="86" spans="1:35" x14ac:dyDescent="0.25">
      <c r="A86" s="36">
        <v>10</v>
      </c>
      <c r="B86" s="37" t="s">
        <v>71</v>
      </c>
      <c r="C86" s="38" t="str">
        <f t="shared" si="29"/>
        <v>Tidak</v>
      </c>
      <c r="D86" s="39" t="str">
        <f t="shared" si="30"/>
        <v>Test 2</v>
      </c>
      <c r="E86" s="39" t="str">
        <f t="shared" si="31"/>
        <v>TK/1</v>
      </c>
      <c r="F86" s="54">
        <f t="shared" si="32"/>
        <v>1</v>
      </c>
      <c r="G86" s="35">
        <v>10000000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40">
        <f t="shared" ca="1" si="33"/>
        <v>0</v>
      </c>
      <c r="O86" s="35">
        <f t="shared" ca="1" si="34"/>
        <v>10000000</v>
      </c>
      <c r="P86" s="41">
        <f t="shared" ca="1" si="35"/>
        <v>0.02</v>
      </c>
      <c r="Q86" s="35">
        <f t="shared" ca="1" si="44"/>
        <v>200000</v>
      </c>
      <c r="R86" s="35">
        <f t="shared" si="36"/>
        <v>0</v>
      </c>
      <c r="S86" s="35">
        <v>0</v>
      </c>
      <c r="T86" s="35">
        <v>0</v>
      </c>
      <c r="U86" s="35">
        <v>0</v>
      </c>
      <c r="V86" s="35">
        <f t="shared" ca="1" si="37"/>
        <v>9800000</v>
      </c>
      <c r="W86" s="42">
        <f t="shared" ca="1" si="38"/>
        <v>500000</v>
      </c>
      <c r="X86" s="35">
        <f>IF(AND(INT($A86)&lt;12, $C86&lt;&gt;"Ya"),0,SUMIF($B$14:$B85,$B86&amp;"*",$O$14:$O85)+O86)</f>
        <v>0</v>
      </c>
      <c r="Y86" s="35">
        <f>IF(AND(INT($A86)&lt;12, $C86&lt;&gt;"Ya"),0,SUMIF($B$14:$B85,$B86&amp;"*",$W$14:$W85)+W86)</f>
        <v>0</v>
      </c>
      <c r="Z86" s="35">
        <f>IF(AND(INT($A86)&lt;12, $C86&lt;&gt;"Ya"),0,SUMIF($B$14:$B85, $B86 &amp;"*",$S$14:$S85)+$S86)</f>
        <v>0</v>
      </c>
      <c r="AA86" s="35">
        <f>IF(AND(INT($A86)&lt;12, $C86&lt;&gt;"Ya"),0,SUMIF($B$14:$B85, $B86&amp;"*",$T$14:$T85)+$T86)</f>
        <v>0</v>
      </c>
      <c r="AB86" s="35">
        <f>IF(AND(INT($A86)&lt;12, $C86&lt;&gt;"Ya"),0,SUMIF($B$14:$B85,$B86 &amp; "*",$U$14:$U85)+$U86)</f>
        <v>0</v>
      </c>
      <c r="AC86" s="35">
        <f t="shared" si="39"/>
        <v>0</v>
      </c>
      <c r="AD86" s="35">
        <f t="shared" si="45"/>
        <v>0</v>
      </c>
      <c r="AE86" s="35">
        <f t="shared" si="40"/>
        <v>0</v>
      </c>
      <c r="AF86" s="35">
        <f t="shared" si="41"/>
        <v>0</v>
      </c>
      <c r="AG86" s="35">
        <f>IF(AND(INT($A86)&lt;12, $C86&lt;&gt;"Ya"),0,SUMIF($B$14:$B85, $B86 &amp;"*",$Q$14:$Q85)+$Q86)</f>
        <v>0</v>
      </c>
      <c r="AH86" s="35">
        <f t="shared" si="42"/>
        <v>0</v>
      </c>
      <c r="AI86" s="35">
        <f t="shared" ca="1" si="43"/>
        <v>0</v>
      </c>
    </row>
    <row r="87" spans="1:35" x14ac:dyDescent="0.25">
      <c r="A87" s="36">
        <v>10</v>
      </c>
      <c r="B87" s="37" t="s">
        <v>80</v>
      </c>
      <c r="C87" s="38" t="str">
        <f t="shared" si="29"/>
        <v>Tidak</v>
      </c>
      <c r="D87" s="39" t="str">
        <f t="shared" si="30"/>
        <v>Test 3</v>
      </c>
      <c r="E87" s="39" t="str">
        <f t="shared" si="31"/>
        <v>TK/2</v>
      </c>
      <c r="F87" s="54">
        <f t="shared" si="32"/>
        <v>1</v>
      </c>
      <c r="G87" s="35">
        <v>10000000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40">
        <f t="shared" ca="1" si="33"/>
        <v>0</v>
      </c>
      <c r="O87" s="35">
        <f t="shared" ca="1" si="34"/>
        <v>10000000</v>
      </c>
      <c r="P87" s="41">
        <f t="shared" ca="1" si="35"/>
        <v>1.4999999999999999E-2</v>
      </c>
      <c r="Q87" s="35">
        <f t="shared" ca="1" si="44"/>
        <v>150000</v>
      </c>
      <c r="R87" s="35">
        <f t="shared" si="36"/>
        <v>0</v>
      </c>
      <c r="S87" s="35">
        <v>0</v>
      </c>
      <c r="T87" s="35">
        <v>0</v>
      </c>
      <c r="U87" s="35">
        <v>0</v>
      </c>
      <c r="V87" s="35">
        <f t="shared" ca="1" si="37"/>
        <v>9850000</v>
      </c>
      <c r="W87" s="42">
        <f t="shared" ca="1" si="38"/>
        <v>500000</v>
      </c>
      <c r="X87" s="35">
        <f>IF(AND(INT($A87)&lt;12, $C87&lt;&gt;"Ya"),0,SUMIF($B$14:$B86,$B87&amp;"*",$O$14:$O86)+O87)</f>
        <v>0</v>
      </c>
      <c r="Y87" s="35">
        <f>IF(AND(INT($A87)&lt;12, $C87&lt;&gt;"Ya"),0,SUMIF($B$14:$B86,$B87&amp;"*",$W$14:$W86)+W87)</f>
        <v>0</v>
      </c>
      <c r="Z87" s="35">
        <f>IF(AND(INT($A87)&lt;12, $C87&lt;&gt;"Ya"),0,SUMIF($B$14:$B86, $B87 &amp;"*",$S$14:$S86)+$S87)</f>
        <v>0</v>
      </c>
      <c r="AA87" s="35">
        <f>IF(AND(INT($A87)&lt;12, $C87&lt;&gt;"Ya"),0,SUMIF($B$14:$B86, $B87&amp;"*",$T$14:$T86)+$T87)</f>
        <v>0</v>
      </c>
      <c r="AB87" s="35">
        <f>IF(AND(INT($A87)&lt;12, $C87&lt;&gt;"Ya"),0,SUMIF($B$14:$B86,$B87 &amp; "*",$U$14:$U86)+$U87)</f>
        <v>0</v>
      </c>
      <c r="AC87" s="35">
        <f t="shared" si="39"/>
        <v>0</v>
      </c>
      <c r="AD87" s="35">
        <f t="shared" si="45"/>
        <v>0</v>
      </c>
      <c r="AE87" s="35">
        <f t="shared" si="40"/>
        <v>0</v>
      </c>
      <c r="AF87" s="35">
        <f t="shared" si="41"/>
        <v>0</v>
      </c>
      <c r="AG87" s="35">
        <f>IF(AND(INT($A87)&lt;12, $C87&lt;&gt;"Ya"),0,SUMIF($B$14:$B86, $B87 &amp;"*",$Q$14:$Q86)+$Q87)</f>
        <v>0</v>
      </c>
      <c r="AH87" s="35">
        <f t="shared" si="42"/>
        <v>0</v>
      </c>
      <c r="AI87" s="35">
        <f t="shared" ca="1" si="43"/>
        <v>0</v>
      </c>
    </row>
    <row r="88" spans="1:35" x14ac:dyDescent="0.25">
      <c r="A88" s="36">
        <v>10</v>
      </c>
      <c r="B88" s="37" t="s">
        <v>81</v>
      </c>
      <c r="C88" s="38" t="str">
        <f t="shared" si="29"/>
        <v>Tidak</v>
      </c>
      <c r="D88" s="39" t="str">
        <f t="shared" si="30"/>
        <v>Test 4</v>
      </c>
      <c r="E88" s="39" t="str">
        <f t="shared" si="31"/>
        <v>TK/3</v>
      </c>
      <c r="F88" s="54">
        <f t="shared" si="32"/>
        <v>1</v>
      </c>
      <c r="G88" s="35">
        <v>10000000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40">
        <f t="shared" ca="1" si="33"/>
        <v>0</v>
      </c>
      <c r="O88" s="35">
        <f t="shared" ca="1" si="34"/>
        <v>10000000</v>
      </c>
      <c r="P88" s="41">
        <f t="shared" ca="1" si="35"/>
        <v>1.4999999999999999E-2</v>
      </c>
      <c r="Q88" s="35">
        <f t="shared" ca="1" si="44"/>
        <v>150000</v>
      </c>
      <c r="R88" s="35">
        <f t="shared" si="36"/>
        <v>0</v>
      </c>
      <c r="S88" s="35">
        <v>0</v>
      </c>
      <c r="T88" s="35">
        <v>0</v>
      </c>
      <c r="U88" s="35">
        <v>0</v>
      </c>
      <c r="V88" s="35">
        <f t="shared" ca="1" si="37"/>
        <v>9850000</v>
      </c>
      <c r="W88" s="42">
        <f t="shared" ca="1" si="38"/>
        <v>500000</v>
      </c>
      <c r="X88" s="35">
        <f>IF(AND(INT($A88)&lt;12, $C88&lt;&gt;"Ya"),0,SUMIF($B$14:$B87,$B88&amp;"*",$O$14:$O87)+O88)</f>
        <v>0</v>
      </c>
      <c r="Y88" s="35">
        <f>IF(AND(INT($A88)&lt;12, $C88&lt;&gt;"Ya"),0,SUMIF($B$14:$B87,$B88&amp;"*",$W$14:$W87)+W88)</f>
        <v>0</v>
      </c>
      <c r="Z88" s="35">
        <f>IF(AND(INT($A88)&lt;12, $C88&lt;&gt;"Ya"),0,SUMIF($B$14:$B87, $B88 &amp;"*",$S$14:$S87)+$S88)</f>
        <v>0</v>
      </c>
      <c r="AA88" s="35">
        <f>IF(AND(INT($A88)&lt;12, $C88&lt;&gt;"Ya"),0,SUMIF($B$14:$B87, $B88&amp;"*",$T$14:$T87)+$T88)</f>
        <v>0</v>
      </c>
      <c r="AB88" s="35">
        <f>IF(AND(INT($A88)&lt;12, $C88&lt;&gt;"Ya"),0,SUMIF($B$14:$B87,$B88 &amp; "*",$U$14:$U87)+$U88)</f>
        <v>0</v>
      </c>
      <c r="AC88" s="35">
        <f t="shared" si="39"/>
        <v>0</v>
      </c>
      <c r="AD88" s="35">
        <f t="shared" si="45"/>
        <v>0</v>
      </c>
      <c r="AE88" s="35">
        <f t="shared" si="40"/>
        <v>0</v>
      </c>
      <c r="AF88" s="35">
        <f t="shared" si="41"/>
        <v>0</v>
      </c>
      <c r="AG88" s="35">
        <f>IF(AND(INT($A88)&lt;12, $C88&lt;&gt;"Ya"),0,SUMIF($B$14:$B87, $B88 &amp;"*",$Q$14:$Q87)+$Q88)</f>
        <v>0</v>
      </c>
      <c r="AH88" s="35">
        <f t="shared" si="42"/>
        <v>0</v>
      </c>
      <c r="AI88" s="35">
        <f t="shared" ca="1" si="43"/>
        <v>0</v>
      </c>
    </row>
    <row r="89" spans="1:35" x14ac:dyDescent="0.25">
      <c r="A89" s="36">
        <v>10</v>
      </c>
      <c r="B89" s="37" t="s">
        <v>82</v>
      </c>
      <c r="C89" s="38" t="str">
        <f t="shared" si="29"/>
        <v>Tidak</v>
      </c>
      <c r="D89" s="39" t="str">
        <f t="shared" si="30"/>
        <v>Test 5</v>
      </c>
      <c r="E89" s="39" t="str">
        <f t="shared" si="31"/>
        <v>K/0</v>
      </c>
      <c r="F89" s="54">
        <f t="shared" si="32"/>
        <v>1</v>
      </c>
      <c r="G89" s="35">
        <v>10000000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40">
        <f t="shared" ca="1" si="33"/>
        <v>0</v>
      </c>
      <c r="O89" s="35">
        <f t="shared" ca="1" si="34"/>
        <v>10000000</v>
      </c>
      <c r="P89" s="41">
        <f t="shared" ca="1" si="35"/>
        <v>0.02</v>
      </c>
      <c r="Q89" s="35">
        <f t="shared" ca="1" si="44"/>
        <v>200000</v>
      </c>
      <c r="R89" s="35">
        <f t="shared" si="36"/>
        <v>0</v>
      </c>
      <c r="S89" s="35">
        <v>0</v>
      </c>
      <c r="T89" s="35">
        <v>0</v>
      </c>
      <c r="U89" s="35">
        <v>0</v>
      </c>
      <c r="V89" s="35">
        <f t="shared" ca="1" si="37"/>
        <v>9800000</v>
      </c>
      <c r="W89" s="42">
        <f t="shared" ca="1" si="38"/>
        <v>500000</v>
      </c>
      <c r="X89" s="35">
        <f>IF(AND(INT($A89)&lt;12, $C89&lt;&gt;"Ya"),0,SUMIF($B$14:$B88,$B89&amp;"*",$O$14:$O88)+O89)</f>
        <v>0</v>
      </c>
      <c r="Y89" s="35">
        <f>IF(AND(INT($A89)&lt;12, $C89&lt;&gt;"Ya"),0,SUMIF($B$14:$B88,$B89&amp;"*",$W$14:$W88)+W89)</f>
        <v>0</v>
      </c>
      <c r="Z89" s="35">
        <f>IF(AND(INT($A89)&lt;12, $C89&lt;&gt;"Ya"),0,SUMIF($B$14:$B88, $B89 &amp;"*",$S$14:$S88)+$S89)</f>
        <v>0</v>
      </c>
      <c r="AA89" s="35">
        <f>IF(AND(INT($A89)&lt;12, $C89&lt;&gt;"Ya"),0,SUMIF($B$14:$B88, $B89&amp;"*",$T$14:$T88)+$T89)</f>
        <v>0</v>
      </c>
      <c r="AB89" s="35">
        <f>IF(AND(INT($A89)&lt;12, $C89&lt;&gt;"Ya"),0,SUMIF($B$14:$B88,$B89 &amp; "*",$U$14:$U88)+$U89)</f>
        <v>0</v>
      </c>
      <c r="AC89" s="35">
        <f t="shared" si="39"/>
        <v>0</v>
      </c>
      <c r="AD89" s="35">
        <f t="shared" si="45"/>
        <v>0</v>
      </c>
      <c r="AE89" s="35">
        <f t="shared" si="40"/>
        <v>0</v>
      </c>
      <c r="AF89" s="35">
        <f t="shared" si="41"/>
        <v>0</v>
      </c>
      <c r="AG89" s="35">
        <f>IF(AND(INT($A89)&lt;12, $C89&lt;&gt;"Ya"),0,SUMIF($B$14:$B88, $B89 &amp;"*",$Q$14:$Q88)+$Q89)</f>
        <v>0</v>
      </c>
      <c r="AH89" s="35">
        <f t="shared" si="42"/>
        <v>0</v>
      </c>
      <c r="AI89" s="35">
        <f t="shared" ca="1" si="43"/>
        <v>0</v>
      </c>
    </row>
    <row r="90" spans="1:35" x14ac:dyDescent="0.25">
      <c r="A90" s="36">
        <v>10</v>
      </c>
      <c r="B90" s="37" t="s">
        <v>83</v>
      </c>
      <c r="C90" s="38" t="str">
        <f t="shared" si="29"/>
        <v>Tidak</v>
      </c>
      <c r="D90" s="39" t="str">
        <f t="shared" si="30"/>
        <v>Test 6</v>
      </c>
      <c r="E90" s="39" t="str">
        <f t="shared" si="31"/>
        <v>K/1</v>
      </c>
      <c r="F90" s="54">
        <f t="shared" si="32"/>
        <v>1</v>
      </c>
      <c r="G90" s="35">
        <v>10000000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40">
        <f t="shared" ca="1" si="33"/>
        <v>0</v>
      </c>
      <c r="O90" s="35">
        <f t="shared" ca="1" si="34"/>
        <v>10000000</v>
      </c>
      <c r="P90" s="41">
        <f t="shared" ca="1" si="35"/>
        <v>1.4999999999999999E-2</v>
      </c>
      <c r="Q90" s="35">
        <f t="shared" ca="1" si="44"/>
        <v>150000</v>
      </c>
      <c r="R90" s="35">
        <f t="shared" si="36"/>
        <v>0</v>
      </c>
      <c r="S90" s="35">
        <v>0</v>
      </c>
      <c r="T90" s="35">
        <v>0</v>
      </c>
      <c r="U90" s="35">
        <v>0</v>
      </c>
      <c r="V90" s="35">
        <f t="shared" ca="1" si="37"/>
        <v>9850000</v>
      </c>
      <c r="W90" s="42">
        <f t="shared" ca="1" si="38"/>
        <v>500000</v>
      </c>
      <c r="X90" s="35">
        <f>IF(AND(INT($A90)&lt;12, $C90&lt;&gt;"Ya"),0,SUMIF($B$14:$B89,$B90&amp;"*",$O$14:$O89)+O90)</f>
        <v>0</v>
      </c>
      <c r="Y90" s="35">
        <f>IF(AND(INT($A90)&lt;12, $C90&lt;&gt;"Ya"),0,SUMIF($B$14:$B89,$B90&amp;"*",$W$14:$W89)+W90)</f>
        <v>0</v>
      </c>
      <c r="Z90" s="35">
        <f>IF(AND(INT($A90)&lt;12, $C90&lt;&gt;"Ya"),0,SUMIF($B$14:$B89, $B90 &amp;"*",$S$14:$S89)+$S90)</f>
        <v>0</v>
      </c>
      <c r="AA90" s="35">
        <f>IF(AND(INT($A90)&lt;12, $C90&lt;&gt;"Ya"),0,SUMIF($B$14:$B89, $B90&amp;"*",$T$14:$T89)+$T90)</f>
        <v>0</v>
      </c>
      <c r="AB90" s="35">
        <f>IF(AND(INT($A90)&lt;12, $C90&lt;&gt;"Ya"),0,SUMIF($B$14:$B89,$B90 &amp; "*",$U$14:$U89)+$U90)</f>
        <v>0</v>
      </c>
      <c r="AC90" s="35">
        <f t="shared" si="39"/>
        <v>0</v>
      </c>
      <c r="AD90" s="35">
        <f t="shared" si="45"/>
        <v>0</v>
      </c>
      <c r="AE90" s="35">
        <f t="shared" si="40"/>
        <v>0</v>
      </c>
      <c r="AF90" s="35">
        <f t="shared" si="41"/>
        <v>0</v>
      </c>
      <c r="AG90" s="35">
        <f>IF(AND(INT($A90)&lt;12, $C90&lt;&gt;"Ya"),0,SUMIF($B$14:$B89, $B90 &amp;"*",$Q$14:$Q89)+$Q90)</f>
        <v>0</v>
      </c>
      <c r="AH90" s="35">
        <f t="shared" si="42"/>
        <v>0</v>
      </c>
      <c r="AI90" s="35">
        <f t="shared" ca="1" si="43"/>
        <v>0</v>
      </c>
    </row>
    <row r="91" spans="1:35" x14ac:dyDescent="0.25">
      <c r="A91" s="36">
        <v>10</v>
      </c>
      <c r="B91" s="37" t="s">
        <v>85</v>
      </c>
      <c r="C91" s="38" t="str">
        <f t="shared" si="29"/>
        <v>Tidak</v>
      </c>
      <c r="D91" s="39" t="str">
        <f t="shared" si="30"/>
        <v>Test 8</v>
      </c>
      <c r="E91" s="39" t="str">
        <f t="shared" si="31"/>
        <v>K/3</v>
      </c>
      <c r="F91" s="54">
        <f t="shared" si="32"/>
        <v>1.2</v>
      </c>
      <c r="G91" s="35">
        <v>10000000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40">
        <f t="shared" ca="1" si="33"/>
        <v>183299.38900203662</v>
      </c>
      <c r="O91" s="35">
        <f t="shared" ca="1" si="34"/>
        <v>10183299.389002036</v>
      </c>
      <c r="P91" s="41">
        <f t="shared" ca="1" si="35"/>
        <v>1.4999999999999999E-2</v>
      </c>
      <c r="Q91" s="35">
        <f t="shared" ca="1" si="44"/>
        <v>183299.38900203662</v>
      </c>
      <c r="R91" s="35">
        <f t="shared" si="36"/>
        <v>0</v>
      </c>
      <c r="S91" s="35">
        <v>0</v>
      </c>
      <c r="T91" s="35">
        <v>0</v>
      </c>
      <c r="U91" s="35">
        <v>0</v>
      </c>
      <c r="V91" s="35">
        <f t="shared" ca="1" si="37"/>
        <v>10000000</v>
      </c>
      <c r="W91" s="42">
        <f t="shared" ca="1" si="38"/>
        <v>500000</v>
      </c>
      <c r="X91" s="35">
        <f>IF(AND(INT($A91)&lt;12, $C91&lt;&gt;"Ya"),0,SUMIF($B$14:$B90,$B91&amp;"*",$O$14:$O90)+O91)</f>
        <v>0</v>
      </c>
      <c r="Y91" s="35">
        <f>IF(AND(INT($A91)&lt;12, $C91&lt;&gt;"Ya"),0,SUMIF($B$14:$B90,$B91&amp;"*",$W$14:$W90)+W91)</f>
        <v>0</v>
      </c>
      <c r="Z91" s="35">
        <f>IF(AND(INT($A91)&lt;12, $C91&lt;&gt;"Ya"),0,SUMIF($B$14:$B90, $B91 &amp;"*",$S$14:$S90)+$S91)</f>
        <v>0</v>
      </c>
      <c r="AA91" s="35">
        <f>IF(AND(INT($A91)&lt;12, $C91&lt;&gt;"Ya"),0,SUMIF($B$14:$B90, $B91&amp;"*",$T$14:$T90)+$T91)</f>
        <v>0</v>
      </c>
      <c r="AB91" s="35">
        <f>IF(AND(INT($A91)&lt;12, $C91&lt;&gt;"Ya"),0,SUMIF($B$14:$B90,$B91 &amp; "*",$U$14:$U90)+$U91)</f>
        <v>0</v>
      </c>
      <c r="AC91" s="35">
        <f t="shared" si="39"/>
        <v>0</v>
      </c>
      <c r="AD91" s="35">
        <f t="shared" si="45"/>
        <v>0</v>
      </c>
      <c r="AE91" s="35">
        <f t="shared" si="40"/>
        <v>0</v>
      </c>
      <c r="AF91" s="35">
        <f t="shared" si="41"/>
        <v>0</v>
      </c>
      <c r="AG91" s="35">
        <f>IF(AND(INT($A91)&lt;12, $C91&lt;&gt;"Ya"),0,SUMIF($B$14:$B90, $B91 &amp;"*",$Q$14:$Q90)+$Q91)</f>
        <v>0</v>
      </c>
      <c r="AH91" s="35">
        <f t="shared" si="42"/>
        <v>0</v>
      </c>
      <c r="AI91" s="35">
        <f t="shared" ca="1" si="43"/>
        <v>0</v>
      </c>
    </row>
    <row r="92" spans="1:35" x14ac:dyDescent="0.25">
      <c r="A92" s="36">
        <v>11</v>
      </c>
      <c r="B92" s="37" t="s">
        <v>71</v>
      </c>
      <c r="C92" s="38" t="str">
        <f t="shared" si="29"/>
        <v>Tidak</v>
      </c>
      <c r="D92" s="39" t="str">
        <f t="shared" si="30"/>
        <v>Test 2</v>
      </c>
      <c r="E92" s="39" t="str">
        <f t="shared" si="31"/>
        <v>TK/1</v>
      </c>
      <c r="F92" s="54">
        <f t="shared" si="32"/>
        <v>1</v>
      </c>
      <c r="G92" s="35">
        <v>10000000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40">
        <f t="shared" ca="1" si="33"/>
        <v>0</v>
      </c>
      <c r="O92" s="35">
        <f t="shared" ca="1" si="34"/>
        <v>10000000</v>
      </c>
      <c r="P92" s="41">
        <f t="shared" ca="1" si="35"/>
        <v>0.02</v>
      </c>
      <c r="Q92" s="35">
        <f t="shared" ca="1" si="44"/>
        <v>200000</v>
      </c>
      <c r="R92" s="35">
        <f t="shared" si="36"/>
        <v>0</v>
      </c>
      <c r="S92" s="35">
        <v>0</v>
      </c>
      <c r="T92" s="35">
        <v>0</v>
      </c>
      <c r="U92" s="35">
        <v>0</v>
      </c>
      <c r="V92" s="35">
        <f t="shared" ca="1" si="37"/>
        <v>9800000</v>
      </c>
      <c r="W92" s="42">
        <f t="shared" ca="1" si="38"/>
        <v>500000</v>
      </c>
      <c r="X92" s="35">
        <f>IF(AND(INT($A92)&lt;12, $C92&lt;&gt;"Ya"),0,SUMIF($B$14:$B91,$B92&amp;"*",$O$14:$O91)+O92)</f>
        <v>0</v>
      </c>
      <c r="Y92" s="35">
        <f>IF(AND(INT($A92)&lt;12, $C92&lt;&gt;"Ya"),0,SUMIF($B$14:$B91,$B92&amp;"*",$W$14:$W91)+W92)</f>
        <v>0</v>
      </c>
      <c r="Z92" s="35">
        <f>IF(AND(INT($A92)&lt;12, $C92&lt;&gt;"Ya"),0,SUMIF($B$14:$B91, $B92 &amp;"*",$S$14:$S91)+$S92)</f>
        <v>0</v>
      </c>
      <c r="AA92" s="35">
        <f>IF(AND(INT($A92)&lt;12, $C92&lt;&gt;"Ya"),0,SUMIF($B$14:$B91, $B92&amp;"*",$T$14:$T91)+$T92)</f>
        <v>0</v>
      </c>
      <c r="AB92" s="35">
        <f>IF(AND(INT($A92)&lt;12, $C92&lt;&gt;"Ya"),0,SUMIF($B$14:$B91,$B92 &amp; "*",$U$14:$U91)+$U92)</f>
        <v>0</v>
      </c>
      <c r="AC92" s="35">
        <f t="shared" si="39"/>
        <v>0</v>
      </c>
      <c r="AD92" s="35">
        <f t="shared" si="45"/>
        <v>0</v>
      </c>
      <c r="AE92" s="35">
        <f t="shared" si="40"/>
        <v>0</v>
      </c>
      <c r="AF92" s="35">
        <f t="shared" si="41"/>
        <v>0</v>
      </c>
      <c r="AG92" s="35">
        <f>IF(AND(INT($A92)&lt;12, $C92&lt;&gt;"Ya"),0,SUMIF($B$14:$B91, $B92 &amp;"*",$Q$14:$Q91)+$Q92)</f>
        <v>0</v>
      </c>
      <c r="AH92" s="35">
        <f t="shared" si="42"/>
        <v>0</v>
      </c>
      <c r="AI92" s="35">
        <f t="shared" ca="1" si="43"/>
        <v>0</v>
      </c>
    </row>
    <row r="93" spans="1:35" x14ac:dyDescent="0.25">
      <c r="A93" s="36">
        <v>11</v>
      </c>
      <c r="B93" s="37" t="s">
        <v>80</v>
      </c>
      <c r="C93" s="38" t="str">
        <f t="shared" si="29"/>
        <v>Tidak</v>
      </c>
      <c r="D93" s="39" t="str">
        <f t="shared" si="30"/>
        <v>Test 3</v>
      </c>
      <c r="E93" s="39" t="str">
        <f t="shared" si="31"/>
        <v>TK/2</v>
      </c>
      <c r="F93" s="54">
        <f t="shared" si="32"/>
        <v>1</v>
      </c>
      <c r="G93" s="35">
        <v>10000000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40">
        <f t="shared" ca="1" si="33"/>
        <v>0</v>
      </c>
      <c r="O93" s="35">
        <f t="shared" ca="1" si="34"/>
        <v>10000000</v>
      </c>
      <c r="P93" s="41">
        <f t="shared" ca="1" si="35"/>
        <v>1.4999999999999999E-2</v>
      </c>
      <c r="Q93" s="35">
        <f t="shared" ca="1" si="44"/>
        <v>150000</v>
      </c>
      <c r="R93" s="35">
        <f t="shared" si="36"/>
        <v>0</v>
      </c>
      <c r="S93" s="35">
        <v>0</v>
      </c>
      <c r="T93" s="35">
        <v>0</v>
      </c>
      <c r="U93" s="35">
        <v>0</v>
      </c>
      <c r="V93" s="35">
        <f t="shared" ca="1" si="37"/>
        <v>9850000</v>
      </c>
      <c r="W93" s="42">
        <f t="shared" ca="1" si="38"/>
        <v>500000</v>
      </c>
      <c r="X93" s="35">
        <f>IF(AND(INT($A93)&lt;12, $C93&lt;&gt;"Ya"),0,SUMIF($B$14:$B92,$B93&amp;"*",$O$14:$O92)+O93)</f>
        <v>0</v>
      </c>
      <c r="Y93" s="35">
        <f>IF(AND(INT($A93)&lt;12, $C93&lt;&gt;"Ya"),0,SUMIF($B$14:$B92,$B93&amp;"*",$W$14:$W92)+W93)</f>
        <v>0</v>
      </c>
      <c r="Z93" s="35">
        <f>IF(AND(INT($A93)&lt;12, $C93&lt;&gt;"Ya"),0,SUMIF($B$14:$B92, $B93 &amp;"*",$S$14:$S92)+$S93)</f>
        <v>0</v>
      </c>
      <c r="AA93" s="35">
        <f>IF(AND(INT($A93)&lt;12, $C93&lt;&gt;"Ya"),0,SUMIF($B$14:$B92, $B93&amp;"*",$T$14:$T92)+$T93)</f>
        <v>0</v>
      </c>
      <c r="AB93" s="35">
        <f>IF(AND(INT($A93)&lt;12, $C93&lt;&gt;"Ya"),0,SUMIF($B$14:$B92,$B93 &amp; "*",$U$14:$U92)+$U93)</f>
        <v>0</v>
      </c>
      <c r="AC93" s="35">
        <f t="shared" si="39"/>
        <v>0</v>
      </c>
      <c r="AD93" s="35">
        <f t="shared" si="45"/>
        <v>0</v>
      </c>
      <c r="AE93" s="35">
        <f t="shared" si="40"/>
        <v>0</v>
      </c>
      <c r="AF93" s="35">
        <f t="shared" si="41"/>
        <v>0</v>
      </c>
      <c r="AG93" s="35">
        <f>IF(AND(INT($A93)&lt;12, $C93&lt;&gt;"Ya"),0,SUMIF($B$14:$B92, $B93 &amp;"*",$Q$14:$Q92)+$Q93)</f>
        <v>0</v>
      </c>
      <c r="AH93" s="35">
        <f t="shared" si="42"/>
        <v>0</v>
      </c>
      <c r="AI93" s="35">
        <f t="shared" ca="1" si="43"/>
        <v>0</v>
      </c>
    </row>
    <row r="94" spans="1:35" x14ac:dyDescent="0.25">
      <c r="A94" s="36">
        <v>11</v>
      </c>
      <c r="B94" s="37" t="s">
        <v>81</v>
      </c>
      <c r="C94" s="38" t="str">
        <f t="shared" si="29"/>
        <v>Tidak</v>
      </c>
      <c r="D94" s="39" t="str">
        <f t="shared" si="30"/>
        <v>Test 4</v>
      </c>
      <c r="E94" s="39" t="str">
        <f t="shared" si="31"/>
        <v>TK/3</v>
      </c>
      <c r="F94" s="54">
        <f t="shared" si="32"/>
        <v>1</v>
      </c>
      <c r="G94" s="35">
        <v>10000000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0</v>
      </c>
      <c r="N94" s="40">
        <f t="shared" ca="1" si="33"/>
        <v>0</v>
      </c>
      <c r="O94" s="35">
        <f t="shared" ca="1" si="34"/>
        <v>10000000</v>
      </c>
      <c r="P94" s="41">
        <f t="shared" ca="1" si="35"/>
        <v>1.4999999999999999E-2</v>
      </c>
      <c r="Q94" s="35">
        <f t="shared" ca="1" si="44"/>
        <v>150000</v>
      </c>
      <c r="R94" s="35">
        <f t="shared" si="36"/>
        <v>0</v>
      </c>
      <c r="S94" s="35">
        <v>0</v>
      </c>
      <c r="T94" s="35">
        <v>0</v>
      </c>
      <c r="U94" s="35">
        <v>0</v>
      </c>
      <c r="V94" s="35">
        <f t="shared" ca="1" si="37"/>
        <v>9850000</v>
      </c>
      <c r="W94" s="42">
        <f t="shared" ca="1" si="38"/>
        <v>500000</v>
      </c>
      <c r="X94" s="35">
        <f>IF(AND(INT($A94)&lt;12, $C94&lt;&gt;"Ya"),0,SUMIF($B$14:$B93,$B94&amp;"*",$O$14:$O93)+O94)</f>
        <v>0</v>
      </c>
      <c r="Y94" s="35">
        <f>IF(AND(INT($A94)&lt;12, $C94&lt;&gt;"Ya"),0,SUMIF($B$14:$B93,$B94&amp;"*",$W$14:$W93)+W94)</f>
        <v>0</v>
      </c>
      <c r="Z94" s="35">
        <f>IF(AND(INT($A94)&lt;12, $C94&lt;&gt;"Ya"),0,SUMIF($B$14:$B93, $B94 &amp;"*",$S$14:$S93)+$S94)</f>
        <v>0</v>
      </c>
      <c r="AA94" s="35">
        <f>IF(AND(INT($A94)&lt;12, $C94&lt;&gt;"Ya"),0,SUMIF($B$14:$B93, $B94&amp;"*",$T$14:$T93)+$T94)</f>
        <v>0</v>
      </c>
      <c r="AB94" s="35">
        <f>IF(AND(INT($A94)&lt;12, $C94&lt;&gt;"Ya"),0,SUMIF($B$14:$B93,$B94 &amp; "*",$U$14:$U93)+$U94)</f>
        <v>0</v>
      </c>
      <c r="AC94" s="35">
        <f t="shared" si="39"/>
        <v>0</v>
      </c>
      <c r="AD94" s="35">
        <f t="shared" si="45"/>
        <v>0</v>
      </c>
      <c r="AE94" s="35">
        <f t="shared" si="40"/>
        <v>0</v>
      </c>
      <c r="AF94" s="35">
        <f t="shared" si="41"/>
        <v>0</v>
      </c>
      <c r="AG94" s="35">
        <f>IF(AND(INT($A94)&lt;12, $C94&lt;&gt;"Ya"),0,SUMIF($B$14:$B93, $B94 &amp;"*",$Q$14:$Q93)+$Q94)</f>
        <v>0</v>
      </c>
      <c r="AH94" s="35">
        <f t="shared" si="42"/>
        <v>0</v>
      </c>
      <c r="AI94" s="35">
        <f t="shared" ca="1" si="43"/>
        <v>0</v>
      </c>
    </row>
    <row r="95" spans="1:35" x14ac:dyDescent="0.25">
      <c r="A95" s="36">
        <v>11</v>
      </c>
      <c r="B95" s="37" t="s">
        <v>82</v>
      </c>
      <c r="C95" s="38" t="str">
        <f t="shared" si="29"/>
        <v>Tidak</v>
      </c>
      <c r="D95" s="39" t="str">
        <f t="shared" si="30"/>
        <v>Test 5</v>
      </c>
      <c r="E95" s="39" t="str">
        <f t="shared" si="31"/>
        <v>K/0</v>
      </c>
      <c r="F95" s="54">
        <f t="shared" si="32"/>
        <v>1</v>
      </c>
      <c r="G95" s="35">
        <v>10000000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40">
        <f t="shared" ca="1" si="33"/>
        <v>0</v>
      </c>
      <c r="O95" s="35">
        <f t="shared" ca="1" si="34"/>
        <v>10000000</v>
      </c>
      <c r="P95" s="41">
        <f t="shared" ca="1" si="35"/>
        <v>0.02</v>
      </c>
      <c r="Q95" s="35">
        <f t="shared" ca="1" si="44"/>
        <v>200000</v>
      </c>
      <c r="R95" s="35">
        <f t="shared" si="36"/>
        <v>0</v>
      </c>
      <c r="S95" s="35">
        <v>0</v>
      </c>
      <c r="T95" s="35">
        <v>0</v>
      </c>
      <c r="U95" s="35">
        <v>0</v>
      </c>
      <c r="V95" s="35">
        <f t="shared" ca="1" si="37"/>
        <v>9800000</v>
      </c>
      <c r="W95" s="42">
        <f t="shared" ca="1" si="38"/>
        <v>500000</v>
      </c>
      <c r="X95" s="35">
        <f>IF(AND(INT($A95)&lt;12, $C95&lt;&gt;"Ya"),0,SUMIF($B$14:$B94,$B95&amp;"*",$O$14:$O94)+O95)</f>
        <v>0</v>
      </c>
      <c r="Y95" s="35">
        <f>IF(AND(INT($A95)&lt;12, $C95&lt;&gt;"Ya"),0,SUMIF($B$14:$B94,$B95&amp;"*",$W$14:$W94)+W95)</f>
        <v>0</v>
      </c>
      <c r="Z95" s="35">
        <f>IF(AND(INT($A95)&lt;12, $C95&lt;&gt;"Ya"),0,SUMIF($B$14:$B94, $B95 &amp;"*",$S$14:$S94)+$S95)</f>
        <v>0</v>
      </c>
      <c r="AA95" s="35">
        <f>IF(AND(INT($A95)&lt;12, $C95&lt;&gt;"Ya"),0,SUMIF($B$14:$B94, $B95&amp;"*",$T$14:$T94)+$T95)</f>
        <v>0</v>
      </c>
      <c r="AB95" s="35">
        <f>IF(AND(INT($A95)&lt;12, $C95&lt;&gt;"Ya"),0,SUMIF($B$14:$B94,$B95 &amp; "*",$U$14:$U94)+$U95)</f>
        <v>0</v>
      </c>
      <c r="AC95" s="35">
        <f t="shared" si="39"/>
        <v>0</v>
      </c>
      <c r="AD95" s="35">
        <f t="shared" si="45"/>
        <v>0</v>
      </c>
      <c r="AE95" s="35">
        <f t="shared" si="40"/>
        <v>0</v>
      </c>
      <c r="AF95" s="35">
        <f t="shared" si="41"/>
        <v>0</v>
      </c>
      <c r="AG95" s="35">
        <f>IF(AND(INT($A95)&lt;12, $C95&lt;&gt;"Ya"),0,SUMIF($B$14:$B94, $B95 &amp;"*",$Q$14:$Q94)+$Q95)</f>
        <v>0</v>
      </c>
      <c r="AH95" s="35">
        <f t="shared" si="42"/>
        <v>0</v>
      </c>
      <c r="AI95" s="35">
        <f t="shared" ca="1" si="43"/>
        <v>0</v>
      </c>
    </row>
    <row r="96" spans="1:35" x14ac:dyDescent="0.25">
      <c r="A96" s="36">
        <v>11</v>
      </c>
      <c r="B96" s="37" t="s">
        <v>83</v>
      </c>
      <c r="C96" s="38" t="str">
        <f t="shared" si="29"/>
        <v>Tidak</v>
      </c>
      <c r="D96" s="39" t="str">
        <f t="shared" si="30"/>
        <v>Test 6</v>
      </c>
      <c r="E96" s="39" t="str">
        <f t="shared" si="31"/>
        <v>K/1</v>
      </c>
      <c r="F96" s="54">
        <f t="shared" si="32"/>
        <v>1</v>
      </c>
      <c r="G96" s="35">
        <v>10000000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40">
        <f t="shared" ca="1" si="33"/>
        <v>0</v>
      </c>
      <c r="O96" s="35">
        <f t="shared" ca="1" si="34"/>
        <v>10000000</v>
      </c>
      <c r="P96" s="41">
        <f t="shared" ca="1" si="35"/>
        <v>1.4999999999999999E-2</v>
      </c>
      <c r="Q96" s="35">
        <f t="shared" ca="1" si="44"/>
        <v>150000</v>
      </c>
      <c r="R96" s="35">
        <f t="shared" si="36"/>
        <v>0</v>
      </c>
      <c r="S96" s="35">
        <v>0</v>
      </c>
      <c r="T96" s="35">
        <v>0</v>
      </c>
      <c r="U96" s="35">
        <v>0</v>
      </c>
      <c r="V96" s="35">
        <f t="shared" ca="1" si="37"/>
        <v>9850000</v>
      </c>
      <c r="W96" s="42">
        <f t="shared" ca="1" si="38"/>
        <v>500000</v>
      </c>
      <c r="X96" s="35">
        <f>IF(AND(INT($A96)&lt;12, $C96&lt;&gt;"Ya"),0,SUMIF($B$14:$B95,$B96&amp;"*",$O$14:$O95)+O96)</f>
        <v>0</v>
      </c>
      <c r="Y96" s="35">
        <f>IF(AND(INT($A96)&lt;12, $C96&lt;&gt;"Ya"),0,SUMIF($B$14:$B95,$B96&amp;"*",$W$14:$W95)+W96)</f>
        <v>0</v>
      </c>
      <c r="Z96" s="35">
        <f>IF(AND(INT($A96)&lt;12, $C96&lt;&gt;"Ya"),0,SUMIF($B$14:$B95, $B96 &amp;"*",$S$14:$S95)+$S96)</f>
        <v>0</v>
      </c>
      <c r="AA96" s="35">
        <f>IF(AND(INT($A96)&lt;12, $C96&lt;&gt;"Ya"),0,SUMIF($B$14:$B95, $B96&amp;"*",$T$14:$T95)+$T96)</f>
        <v>0</v>
      </c>
      <c r="AB96" s="35">
        <f>IF(AND(INT($A96)&lt;12, $C96&lt;&gt;"Ya"),0,SUMIF($B$14:$B95,$B96 &amp; "*",$U$14:$U95)+$U96)</f>
        <v>0</v>
      </c>
      <c r="AC96" s="35">
        <f t="shared" si="39"/>
        <v>0</v>
      </c>
      <c r="AD96" s="35">
        <f t="shared" si="45"/>
        <v>0</v>
      </c>
      <c r="AE96" s="35">
        <f t="shared" si="40"/>
        <v>0</v>
      </c>
      <c r="AF96" s="35">
        <f t="shared" si="41"/>
        <v>0</v>
      </c>
      <c r="AG96" s="35">
        <f>IF(AND(INT($A96)&lt;12, $C96&lt;&gt;"Ya"),0,SUMIF($B$14:$B95, $B96 &amp;"*",$Q$14:$Q95)+$Q96)</f>
        <v>0</v>
      </c>
      <c r="AH96" s="35">
        <f t="shared" si="42"/>
        <v>0</v>
      </c>
      <c r="AI96" s="35">
        <f t="shared" ca="1" si="43"/>
        <v>0</v>
      </c>
    </row>
    <row r="97" spans="1:35" x14ac:dyDescent="0.25">
      <c r="A97" s="36">
        <v>11</v>
      </c>
      <c r="B97" s="37" t="s">
        <v>84</v>
      </c>
      <c r="C97" s="38" t="str">
        <f t="shared" si="29"/>
        <v>Tidak</v>
      </c>
      <c r="D97" s="39" t="str">
        <f t="shared" ref="D97" si="46">VLOOKUP(B97,MasterKaryawan,2)</f>
        <v>Test 7</v>
      </c>
      <c r="E97" s="39" t="str">
        <f t="shared" si="31"/>
        <v>K/2</v>
      </c>
      <c r="F97" s="54">
        <f t="shared" si="32"/>
        <v>1</v>
      </c>
      <c r="G97" s="35">
        <v>10000000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40">
        <f t="shared" ca="1" si="33"/>
        <v>152284.26395939087</v>
      </c>
      <c r="O97" s="35">
        <f t="shared" ref="O97" ca="1" si="47">G97+H97+I97+J97+K97+L97+M97+N97</f>
        <v>10152284.263959391</v>
      </c>
      <c r="P97" s="41">
        <f t="shared" ca="1" si="35"/>
        <v>1.4999999999999999E-2</v>
      </c>
      <c r="Q97" s="35">
        <f t="shared" ca="1" si="44"/>
        <v>152284.26395939087</v>
      </c>
      <c r="R97" s="35">
        <f t="shared" ref="R97" si="48">IF(AND(INT($A97)&lt;12, $C97&lt;&gt;"Ya"),0,AH97)</f>
        <v>0</v>
      </c>
      <c r="S97" s="35">
        <v>0</v>
      </c>
      <c r="T97" s="35">
        <v>0</v>
      </c>
      <c r="U97" s="35">
        <v>0</v>
      </c>
      <c r="V97" s="35">
        <f t="shared" ref="V97" ca="1" si="49">O97-Q97-R97-S97-T97-U97</f>
        <v>10000000</v>
      </c>
      <c r="W97" s="42">
        <f t="shared" ref="W97" ca="1" si="50">IF(5%*O97&gt;6000000/12,6000000/12,5%*O97)</f>
        <v>500000</v>
      </c>
      <c r="X97" s="35">
        <f>IF(AND(INT($A97)&lt;12, $C97&lt;&gt;"Ya"),0,SUMIF($B$14:$B96,$B97&amp;"*",$O$14:$O96)+O97)</f>
        <v>0</v>
      </c>
      <c r="Y97" s="35">
        <f>IF(AND(INT($A97)&lt;12, $C97&lt;&gt;"Ya"),0,SUMIF($B$14:$B96,$B97&amp;"*",$W$14:$W96)+W97)</f>
        <v>0</v>
      </c>
      <c r="Z97" s="35">
        <f>IF(AND(INT($A97)&lt;12, $C97&lt;&gt;"Ya"),0,SUMIF($B$14:$B96, $B97 &amp;"*",$S$14:$S96)+$S97)</f>
        <v>0</v>
      </c>
      <c r="AA97" s="35">
        <f>IF(AND(INT($A97)&lt;12, $C97&lt;&gt;"Ya"),0,SUMIF($B$14:$B96, $B97&amp;"*",$T$14:$T96)+$T97)</f>
        <v>0</v>
      </c>
      <c r="AB97" s="35">
        <f>IF(AND(INT($A97)&lt;12, $C97&lt;&gt;"Ya"),0,SUMIF($B$14:$B96,$B97 &amp; "*",$U$14:$U96)+$U97)</f>
        <v>0</v>
      </c>
      <c r="AC97" s="35">
        <f t="shared" ref="AC97" si="51">X97-Y97-Z97-AA97-AB97</f>
        <v>0</v>
      </c>
      <c r="AD97" s="35">
        <f t="shared" ref="AD97" si="52">IF(AND(INT($A97)&lt;12, $C97&lt;&gt;"Ya"),0,VLOOKUP(E97,PTKP,3,FALSE))</f>
        <v>0</v>
      </c>
      <c r="AE97" s="35">
        <f t="shared" ref="AE97" si="53">MAX(AC97-AD97,0)</f>
        <v>0</v>
      </c>
      <c r="AF97" s="35">
        <f t="shared" si="41"/>
        <v>0</v>
      </c>
      <c r="AG97" s="35">
        <f>IF(AND(INT($A97)&lt;12, $C97&lt;&gt;"Ya"),0,SUMIF($B$14:$B96, $B97 &amp;"*",$Q$14:$Q96)+$Q97)</f>
        <v>0</v>
      </c>
      <c r="AH97" s="35">
        <f t="shared" ref="AH97" si="54">AF97-AG97</f>
        <v>0</v>
      </c>
      <c r="AI97" s="35">
        <f t="shared" ref="AI97" ca="1" si="55">(Q97+R97-N97)*IF(VLOOKUP(B97,MasterKaryawan,7)&lt;&gt;"Ya",0,1)</f>
        <v>0</v>
      </c>
    </row>
    <row r="98" spans="1:35" x14ac:dyDescent="0.25">
      <c r="A98" s="36">
        <v>11</v>
      </c>
      <c r="B98" s="37" t="s">
        <v>85</v>
      </c>
      <c r="C98" s="38" t="str">
        <f t="shared" si="29"/>
        <v>Tidak</v>
      </c>
      <c r="D98" s="39" t="str">
        <f t="shared" si="30"/>
        <v>Test 8</v>
      </c>
      <c r="E98" s="39" t="str">
        <f t="shared" si="31"/>
        <v>K/3</v>
      </c>
      <c r="F98" s="54">
        <f t="shared" si="32"/>
        <v>1.2</v>
      </c>
      <c r="G98" s="35">
        <v>10000000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40">
        <f t="shared" ca="1" si="33"/>
        <v>183299.38900203662</v>
      </c>
      <c r="O98" s="35">
        <f t="shared" ca="1" si="34"/>
        <v>10183299.389002036</v>
      </c>
      <c r="P98" s="41">
        <f t="shared" ca="1" si="35"/>
        <v>1.4999999999999999E-2</v>
      </c>
      <c r="Q98" s="35">
        <f t="shared" ca="1" si="44"/>
        <v>183299.38900203662</v>
      </c>
      <c r="R98" s="35">
        <f>IF(AND(INT($A98)&lt;12, $C98&lt;&gt;"Ya"),0,AH98)</f>
        <v>0</v>
      </c>
      <c r="S98" s="35">
        <v>0</v>
      </c>
      <c r="T98" s="35">
        <v>0</v>
      </c>
      <c r="U98" s="35">
        <v>0</v>
      </c>
      <c r="V98" s="35">
        <f ca="1">O98-Q98-R98-S98-T98-U98</f>
        <v>10000000</v>
      </c>
      <c r="W98" s="35">
        <f ca="1">IF(5%*O98&gt;6000000/12,6000000/12,5%*O98)</f>
        <v>500000</v>
      </c>
      <c r="X98" s="35">
        <f>IF(AND(INT($A98)&lt;12, $C98&lt;&gt;"Ya"),0,SUMIF($B$14:$B96,$B98&amp;"*",$O$14:$O96)+O98)</f>
        <v>0</v>
      </c>
      <c r="Y98" s="35">
        <f>IF(AND(INT($A98)&lt;12, $C98&lt;&gt;"Ya"),0,SUMIF($B$14:$B96,$B98&amp;"*",$W$14:$W96)+W98)</f>
        <v>0</v>
      </c>
      <c r="Z98" s="35">
        <f>IF(AND(INT($A98)&lt;12, $C98&lt;&gt;"Ya"),0,SUMIF($B$14:$B96, $B98 &amp;"*",$S$14:$S96)+$S98)</f>
        <v>0</v>
      </c>
      <c r="AA98" s="35">
        <f>IF(AND(INT($A98)&lt;12, $C98&lt;&gt;"Ya"),0,SUMIF($B$14:$B96, $B98&amp;"*",$T$14:$T96)+$T98)</f>
        <v>0</v>
      </c>
      <c r="AB98" s="35">
        <f>IF(AND(INT($A98)&lt;12, $C98&lt;&gt;"Ya"),0,SUMIF($B$14:$B96,$B98 &amp; "*",$U$14:$U96)+$U98)</f>
        <v>0</v>
      </c>
      <c r="AC98" s="35">
        <f t="shared" si="39"/>
        <v>0</v>
      </c>
      <c r="AD98" s="35">
        <f t="shared" ref="AD98:AD103" si="56">IF(AND(INT($A98)&lt;12, $C98&lt;&gt;"Ya"),0,VLOOKUP(E98,PTKP,3,FALSE))</f>
        <v>0</v>
      </c>
      <c r="AE98" s="35">
        <f t="shared" si="40"/>
        <v>0</v>
      </c>
      <c r="AF98" s="35">
        <f t="shared" si="41"/>
        <v>0</v>
      </c>
      <c r="AG98" s="35">
        <f>IF(AND(INT($A98)&lt;12, $C98&lt;&gt;"Ya"),0,SUMIF($B$14:$B96, $B98 &amp;"*",$Q$14:$Q96)+$Q98)</f>
        <v>0</v>
      </c>
      <c r="AH98" s="35">
        <f t="shared" si="42"/>
        <v>0</v>
      </c>
      <c r="AI98" s="35">
        <f t="shared" ref="AI98:AI103" ca="1" si="57">(Q98+R98-N98)*IF(VLOOKUP(B98,MasterKaryawan,7)&lt;&gt;"Ya",0,1)</f>
        <v>0</v>
      </c>
    </row>
    <row r="99" spans="1:35" x14ac:dyDescent="0.25">
      <c r="A99" s="27">
        <v>12</v>
      </c>
      <c r="B99" s="28" t="s">
        <v>71</v>
      </c>
      <c r="C99" s="43" t="str">
        <f t="shared" si="29"/>
        <v>Tidak</v>
      </c>
      <c r="D99" s="29" t="str">
        <f t="shared" si="30"/>
        <v>Test 2</v>
      </c>
      <c r="E99" s="29" t="str">
        <f t="shared" si="31"/>
        <v>TK/1</v>
      </c>
      <c r="F99" s="53">
        <f t="shared" si="32"/>
        <v>1</v>
      </c>
      <c r="G99" s="30">
        <v>10000000</v>
      </c>
      <c r="H99" s="30">
        <v>0</v>
      </c>
      <c r="I99" s="30">
        <v>0</v>
      </c>
      <c r="J99" s="30">
        <v>0</v>
      </c>
      <c r="K99" s="30">
        <v>0</v>
      </c>
      <c r="L99" s="30">
        <v>0</v>
      </c>
      <c r="M99" s="30">
        <v>0</v>
      </c>
      <c r="N99" s="31">
        <f t="shared" ca="1" si="33"/>
        <v>0</v>
      </c>
      <c r="O99" s="30">
        <f t="shared" ca="1" si="34"/>
        <v>10000000</v>
      </c>
      <c r="P99" s="32" t="str">
        <f t="shared" si="35"/>
        <v>Tarif Pasal 17</v>
      </c>
      <c r="Q99" s="30">
        <f t="shared" si="44"/>
        <v>0</v>
      </c>
      <c r="R99" s="30">
        <f t="shared" ca="1" si="36"/>
        <v>575000</v>
      </c>
      <c r="S99" s="30">
        <v>0</v>
      </c>
      <c r="T99" s="30">
        <v>0</v>
      </c>
      <c r="U99" s="30">
        <v>0</v>
      </c>
      <c r="V99" s="30">
        <f t="shared" ca="1" si="37"/>
        <v>9425000</v>
      </c>
      <c r="W99" s="30">
        <f t="shared" ca="1" si="38"/>
        <v>500000</v>
      </c>
      <c r="X99" s="30">
        <f ca="1">IF(AND(INT($A99)&lt;12, $C99&lt;&gt;"Ya"),0,SUMIF($B$14:$B98,$B99&amp;"*",$O$14:$O98)+O99)</f>
        <v>120000000</v>
      </c>
      <c r="Y99" s="30">
        <f ca="1">IF(AND(INT($A99)&lt;12, $C99&lt;&gt;"Ya"),0,SUMIF($B$14:$B98,$B99&amp;"*",$W$14:$W98)+W99)</f>
        <v>6000000</v>
      </c>
      <c r="Z99" s="30">
        <f>IF(AND(INT($A99)&lt;12, $C99&lt;&gt;"Ya"),0,SUMIF($B$14:$B98, $B99 &amp;"*",$S$14:$S98)+$S99)</f>
        <v>0</v>
      </c>
      <c r="AA99" s="30">
        <f>IF(AND(INT($A99)&lt;12, $C99&lt;&gt;"Ya"),0,SUMIF($B$14:$B98, $B99&amp;"*",$T$14:$T98)+$T99)</f>
        <v>0</v>
      </c>
      <c r="AB99" s="30">
        <f>IF(AND(INT($A99)&lt;12, $C99&lt;&gt;"Ya"),0,SUMIF($B$14:$B98,$B99 &amp; "*",$U$14:$U98)+$U99)</f>
        <v>0</v>
      </c>
      <c r="AC99" s="30">
        <f t="shared" ca="1" si="39"/>
        <v>114000000</v>
      </c>
      <c r="AD99" s="30">
        <f t="shared" si="56"/>
        <v>58500000</v>
      </c>
      <c r="AE99" s="30">
        <f t="shared" ca="1" si="40"/>
        <v>55500000</v>
      </c>
      <c r="AF99" s="30">
        <f t="shared" ca="1" si="41"/>
        <v>2775000</v>
      </c>
      <c r="AG99" s="30">
        <f ca="1">IF(AND(INT($A99)&lt;12, $C99&lt;&gt;"Ya"),0,SUMIF($B$14:$B98, $B99 &amp;"*",$Q$14:$Q98)+$Q99)</f>
        <v>2200000</v>
      </c>
      <c r="AH99" s="30">
        <f t="shared" ca="1" si="42"/>
        <v>575000</v>
      </c>
      <c r="AI99" s="30">
        <f t="shared" ca="1" si="57"/>
        <v>0</v>
      </c>
    </row>
    <row r="100" spans="1:35" x14ac:dyDescent="0.25">
      <c r="A100" s="27">
        <v>12</v>
      </c>
      <c r="B100" s="28" t="s">
        <v>80</v>
      </c>
      <c r="C100" s="43" t="str">
        <f t="shared" si="29"/>
        <v>Tidak</v>
      </c>
      <c r="D100" s="29" t="str">
        <f t="shared" si="30"/>
        <v>Test 3</v>
      </c>
      <c r="E100" s="29" t="str">
        <f t="shared" si="31"/>
        <v>TK/2</v>
      </c>
      <c r="F100" s="53">
        <f t="shared" si="32"/>
        <v>1</v>
      </c>
      <c r="G100" s="30">
        <v>10000000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0</v>
      </c>
      <c r="N100" s="31">
        <f t="shared" ca="1" si="33"/>
        <v>0</v>
      </c>
      <c r="O100" s="30">
        <f t="shared" ca="1" si="34"/>
        <v>10000000</v>
      </c>
      <c r="P100" s="32" t="str">
        <f t="shared" si="35"/>
        <v>Tarif Pasal 17</v>
      </c>
      <c r="Q100" s="30">
        <f t="shared" si="44"/>
        <v>0</v>
      </c>
      <c r="R100" s="30">
        <f t="shared" ca="1" si="36"/>
        <v>900000</v>
      </c>
      <c r="S100" s="30">
        <v>0</v>
      </c>
      <c r="T100" s="30">
        <v>0</v>
      </c>
      <c r="U100" s="30">
        <v>0</v>
      </c>
      <c r="V100" s="30">
        <f t="shared" ca="1" si="37"/>
        <v>9100000</v>
      </c>
      <c r="W100" s="30">
        <f t="shared" ca="1" si="38"/>
        <v>500000</v>
      </c>
      <c r="X100" s="30">
        <f ca="1">IF(AND(INT($A100)&lt;12, $C100&lt;&gt;"Ya"),0,SUMIF($B$14:$B99,$B100&amp;"*",$O$14:$O99)+O100)</f>
        <v>120000000</v>
      </c>
      <c r="Y100" s="30">
        <f ca="1">IF(AND(INT($A100)&lt;12, $C100&lt;&gt;"Ya"),0,SUMIF($B$14:$B99,$B100&amp;"*",$W$14:$W99)+W100)</f>
        <v>6000000</v>
      </c>
      <c r="Z100" s="30">
        <f>IF(AND(INT($A100)&lt;12, $C100&lt;&gt;"Ya"),0,SUMIF($B$14:$B99, $B100 &amp;"*",$S$14:$S99)+$S100)</f>
        <v>0</v>
      </c>
      <c r="AA100" s="30">
        <f>IF(AND(INT($A100)&lt;12, $C100&lt;&gt;"Ya"),0,SUMIF($B$14:$B99, $B100&amp;"*",$T$14:$T99)+$T100)</f>
        <v>0</v>
      </c>
      <c r="AB100" s="30">
        <f>IF(AND(INT($A100)&lt;12, $C100&lt;&gt;"Ya"),0,SUMIF($B$14:$B99,$B100 &amp; "*",$U$14:$U99)+$U100)</f>
        <v>0</v>
      </c>
      <c r="AC100" s="30">
        <f t="shared" ca="1" si="39"/>
        <v>114000000</v>
      </c>
      <c r="AD100" s="30">
        <f t="shared" si="56"/>
        <v>63000000</v>
      </c>
      <c r="AE100" s="30">
        <f t="shared" ca="1" si="40"/>
        <v>51000000</v>
      </c>
      <c r="AF100" s="30">
        <f t="shared" ca="1" si="41"/>
        <v>2550000</v>
      </c>
      <c r="AG100" s="30">
        <f ca="1">IF(AND(INT($A100)&lt;12, $C100&lt;&gt;"Ya"),0,SUMIF($B$14:$B99, $B100 &amp;"*",$Q$14:$Q99)+$Q100)</f>
        <v>1650000</v>
      </c>
      <c r="AH100" s="30">
        <f t="shared" ca="1" si="42"/>
        <v>900000</v>
      </c>
      <c r="AI100" s="30">
        <f t="shared" ca="1" si="57"/>
        <v>0</v>
      </c>
    </row>
    <row r="101" spans="1:35" x14ac:dyDescent="0.25">
      <c r="A101" s="27">
        <v>12</v>
      </c>
      <c r="B101" s="28" t="s">
        <v>81</v>
      </c>
      <c r="C101" s="43" t="str">
        <f t="shared" si="29"/>
        <v>Tidak</v>
      </c>
      <c r="D101" s="29" t="str">
        <f t="shared" si="30"/>
        <v>Test 4</v>
      </c>
      <c r="E101" s="29" t="str">
        <f t="shared" si="31"/>
        <v>TK/3</v>
      </c>
      <c r="F101" s="53">
        <f t="shared" si="32"/>
        <v>1</v>
      </c>
      <c r="G101" s="30">
        <v>10000000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30">
        <v>0</v>
      </c>
      <c r="N101" s="31">
        <f t="shared" ca="1" si="33"/>
        <v>0</v>
      </c>
      <c r="O101" s="30">
        <f t="shared" ca="1" si="34"/>
        <v>10000000</v>
      </c>
      <c r="P101" s="32" t="str">
        <f t="shared" si="35"/>
        <v>Tarif Pasal 17</v>
      </c>
      <c r="Q101" s="30">
        <f t="shared" si="44"/>
        <v>0</v>
      </c>
      <c r="R101" s="30">
        <f t="shared" ca="1" si="36"/>
        <v>675000</v>
      </c>
      <c r="S101" s="30">
        <v>0</v>
      </c>
      <c r="T101" s="30">
        <v>0</v>
      </c>
      <c r="U101" s="30">
        <v>0</v>
      </c>
      <c r="V101" s="30">
        <f t="shared" ca="1" si="37"/>
        <v>9325000</v>
      </c>
      <c r="W101" s="30">
        <f ca="1">IF(5%*O101&gt;6000000/12,6000000/12,5%*O101)</f>
        <v>500000</v>
      </c>
      <c r="X101" s="30">
        <f ca="1">IF(AND(INT($A101)&lt;12, $C101&lt;&gt;"Ya"),0,SUMIF($B$14:$B100,$B101&amp;"*",$O$14:$O100)+O101)</f>
        <v>120000000</v>
      </c>
      <c r="Y101" s="30">
        <f ca="1">IF(AND(INT($A101)&lt;12, $C101&lt;&gt;"Ya"),0,SUMIF($B$14:$B100,$B101&amp;"*",$W$14:$W100)+W101)</f>
        <v>6000000</v>
      </c>
      <c r="Z101" s="30">
        <f>IF(AND(INT($A101)&lt;12, $C101&lt;&gt;"Ya"),0,SUMIF($B$14:$B100, $B101 &amp;"*",$S$14:$S100)+$S101)</f>
        <v>0</v>
      </c>
      <c r="AA101" s="30">
        <f>IF(AND(INT($A101)&lt;12, $C101&lt;&gt;"Ya"),0,SUMIF($B$14:$B100, $B101&amp;"*",$T$14:$T100)+$T101)</f>
        <v>0</v>
      </c>
      <c r="AB101" s="30">
        <f>IF(AND(INT($A101)&lt;12, $C101&lt;&gt;"Ya"),0,SUMIF($B$14:$B100,$B101 &amp; "*",$U$14:$U100)+$U101)</f>
        <v>0</v>
      </c>
      <c r="AC101" s="30">
        <f t="shared" ca="1" si="39"/>
        <v>114000000</v>
      </c>
      <c r="AD101" s="30">
        <f t="shared" si="56"/>
        <v>67500000</v>
      </c>
      <c r="AE101" s="30">
        <f t="shared" ca="1" si="40"/>
        <v>46500000</v>
      </c>
      <c r="AF101" s="30">
        <f t="shared" ca="1" si="41"/>
        <v>2325000</v>
      </c>
      <c r="AG101" s="30">
        <f ca="1">IF(AND(INT($A101)&lt;12, $C101&lt;&gt;"Ya"),0,SUMIF($B$14:$B100, $B101 &amp;"*",$Q$14:$Q100)+$Q101)</f>
        <v>1650000</v>
      </c>
      <c r="AH101" s="30">
        <f t="shared" ca="1" si="42"/>
        <v>675000</v>
      </c>
      <c r="AI101" s="30">
        <f t="shared" ca="1" si="57"/>
        <v>0</v>
      </c>
    </row>
    <row r="102" spans="1:35" x14ac:dyDescent="0.25">
      <c r="A102" s="27">
        <v>12</v>
      </c>
      <c r="B102" s="28" t="s">
        <v>82</v>
      </c>
      <c r="C102" s="43" t="str">
        <f t="shared" si="29"/>
        <v>Tidak</v>
      </c>
      <c r="D102" s="29" t="str">
        <f t="shared" si="30"/>
        <v>Test 5</v>
      </c>
      <c r="E102" s="29" t="str">
        <f t="shared" si="31"/>
        <v>K/0</v>
      </c>
      <c r="F102" s="53">
        <f t="shared" si="32"/>
        <v>1</v>
      </c>
      <c r="G102" s="30">
        <v>10000000</v>
      </c>
      <c r="H102" s="30">
        <v>0</v>
      </c>
      <c r="I102" s="30">
        <v>0</v>
      </c>
      <c r="J102" s="30">
        <v>0</v>
      </c>
      <c r="K102" s="30">
        <v>0</v>
      </c>
      <c r="L102" s="30">
        <v>0</v>
      </c>
      <c r="M102" s="30">
        <v>0</v>
      </c>
      <c r="N102" s="31">
        <f t="shared" ca="1" si="33"/>
        <v>0</v>
      </c>
      <c r="O102" s="30">
        <f t="shared" ca="1" si="34"/>
        <v>10000000</v>
      </c>
      <c r="P102" s="32" t="str">
        <f t="shared" si="35"/>
        <v>Tarif Pasal 17</v>
      </c>
      <c r="Q102" s="30">
        <f t="shared" si="44"/>
        <v>0</v>
      </c>
      <c r="R102" s="30">
        <f t="shared" ca="1" si="36"/>
        <v>575000</v>
      </c>
      <c r="S102" s="30">
        <v>0</v>
      </c>
      <c r="T102" s="30">
        <v>0</v>
      </c>
      <c r="U102" s="30">
        <v>0</v>
      </c>
      <c r="V102" s="30">
        <f t="shared" ca="1" si="37"/>
        <v>9425000</v>
      </c>
      <c r="W102" s="30">
        <f t="shared" ca="1" si="38"/>
        <v>500000</v>
      </c>
      <c r="X102" s="30">
        <f ca="1">IF(AND(INT($A102)&lt;12, $C102&lt;&gt;"Ya"),0,SUMIF($B$14:$B101,$B102&amp;"*",$O$14:$O101)+O102)</f>
        <v>120000000</v>
      </c>
      <c r="Y102" s="30">
        <f ca="1">IF(AND(INT($A102)&lt;12, $C102&lt;&gt;"Ya"),0,SUMIF($B$14:$B101,$B102&amp;"*",$W$14:$W101)+W102)</f>
        <v>6000000</v>
      </c>
      <c r="Z102" s="30">
        <f>IF(AND(INT($A102)&lt;12, $C102&lt;&gt;"Ya"),0,SUMIF($B$14:$B101, $B102 &amp;"*",$S$14:$S101)+$S102)</f>
        <v>0</v>
      </c>
      <c r="AA102" s="30">
        <f>IF(AND(INT($A102)&lt;12, $C102&lt;&gt;"Ya"),0,SUMIF($B$14:$B101, $B102&amp;"*",$T$14:$T101)+$T102)</f>
        <v>0</v>
      </c>
      <c r="AB102" s="30">
        <f>IF(AND(INT($A102)&lt;12, $C102&lt;&gt;"Ya"),0,SUMIF($B$14:$B101,$B102 &amp; "*",$U$14:$U101)+$U102)</f>
        <v>0</v>
      </c>
      <c r="AC102" s="30">
        <f t="shared" ca="1" si="39"/>
        <v>114000000</v>
      </c>
      <c r="AD102" s="30">
        <f t="shared" si="56"/>
        <v>58500000</v>
      </c>
      <c r="AE102" s="30">
        <f t="shared" ca="1" si="40"/>
        <v>55500000</v>
      </c>
      <c r="AF102" s="30">
        <f t="shared" ca="1" si="41"/>
        <v>2775000</v>
      </c>
      <c r="AG102" s="30">
        <f ca="1">IF(AND(INT($A102)&lt;12, $C102&lt;&gt;"Ya"),0,SUMIF($B$14:$B101, $B102 &amp;"*",$Q$14:$Q101)+$Q102)</f>
        <v>2200000</v>
      </c>
      <c r="AH102" s="30">
        <f t="shared" ca="1" si="42"/>
        <v>575000</v>
      </c>
      <c r="AI102" s="30">
        <f t="shared" ca="1" si="57"/>
        <v>0</v>
      </c>
    </row>
    <row r="103" spans="1:35" x14ac:dyDescent="0.25">
      <c r="A103" s="27">
        <v>12</v>
      </c>
      <c r="B103" s="28" t="s">
        <v>83</v>
      </c>
      <c r="C103" s="43" t="str">
        <f t="shared" si="29"/>
        <v>Tidak</v>
      </c>
      <c r="D103" s="29" t="str">
        <f t="shared" si="30"/>
        <v>Test 6</v>
      </c>
      <c r="E103" s="29" t="str">
        <f t="shared" si="31"/>
        <v>K/1</v>
      </c>
      <c r="F103" s="53">
        <f t="shared" si="32"/>
        <v>1</v>
      </c>
      <c r="G103" s="30">
        <v>10000000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1">
        <f t="shared" ca="1" si="33"/>
        <v>0</v>
      </c>
      <c r="O103" s="30">
        <f t="shared" ca="1" si="34"/>
        <v>10000000</v>
      </c>
      <c r="P103" s="32" t="str">
        <f t="shared" si="35"/>
        <v>Tarif Pasal 17</v>
      </c>
      <c r="Q103" s="30">
        <f t="shared" si="44"/>
        <v>0</v>
      </c>
      <c r="R103" s="30">
        <f t="shared" ca="1" si="36"/>
        <v>900000</v>
      </c>
      <c r="S103" s="30">
        <v>0</v>
      </c>
      <c r="T103" s="30">
        <v>0</v>
      </c>
      <c r="U103" s="30">
        <v>0</v>
      </c>
      <c r="V103" s="30">
        <f t="shared" ca="1" si="37"/>
        <v>9100000</v>
      </c>
      <c r="W103" s="30">
        <f t="shared" ca="1" si="38"/>
        <v>500000</v>
      </c>
      <c r="X103" s="30">
        <f ca="1">IF(AND(INT($A103)&lt;12, $C103&lt;&gt;"Ya"),0,SUMIF($B$14:$B102,$B103&amp;"*",$O$14:$O102)+O103)</f>
        <v>120000000</v>
      </c>
      <c r="Y103" s="30">
        <f ca="1">IF(AND(INT($A103)&lt;12, $C103&lt;&gt;"Ya"),0,SUMIF($B$14:$B102,$B103&amp;"*",$W$14:$W102)+W103)</f>
        <v>6000000</v>
      </c>
      <c r="Z103" s="30">
        <f>IF(AND(INT($A103)&lt;12, $C103&lt;&gt;"Ya"),0,SUMIF($B$14:$B102, $B103 &amp;"*",$S$14:$S102)+$S103)</f>
        <v>0</v>
      </c>
      <c r="AA103" s="30">
        <f>IF(AND(INT($A103)&lt;12, $C103&lt;&gt;"Ya"),0,SUMIF($B$14:$B102, $B103&amp;"*",$T$14:$T102)+$T103)</f>
        <v>0</v>
      </c>
      <c r="AB103" s="30">
        <f>IF(AND(INT($A103)&lt;12, $C103&lt;&gt;"Ya"),0,SUMIF($B$14:$B102,$B103 &amp; "*",$U$14:$U102)+$U103)</f>
        <v>0</v>
      </c>
      <c r="AC103" s="30">
        <f t="shared" ca="1" si="39"/>
        <v>114000000</v>
      </c>
      <c r="AD103" s="30">
        <f t="shared" si="56"/>
        <v>63000000</v>
      </c>
      <c r="AE103" s="30">
        <f t="shared" ca="1" si="40"/>
        <v>51000000</v>
      </c>
      <c r="AF103" s="30">
        <f t="shared" ca="1" si="41"/>
        <v>2550000</v>
      </c>
      <c r="AG103" s="30">
        <f ca="1">IF(AND(INT($A103)&lt;12, $C103&lt;&gt;"Ya"),0,SUMIF($B$14:$B102, $B103 &amp;"*",$Q$14:$Q102)+$Q103)</f>
        <v>1650000</v>
      </c>
      <c r="AH103" s="30">
        <f t="shared" ca="1" si="42"/>
        <v>900000</v>
      </c>
      <c r="AI103" s="30">
        <f t="shared" ca="1" si="57"/>
        <v>0</v>
      </c>
    </row>
    <row r="104" spans="1:35" x14ac:dyDescent="0.25">
      <c r="A104" s="47">
        <v>12</v>
      </c>
      <c r="B104" s="28" t="s">
        <v>84</v>
      </c>
      <c r="C104" s="43" t="str">
        <f t="shared" si="29"/>
        <v>Tidak</v>
      </c>
      <c r="D104" s="29" t="str">
        <f t="shared" ref="D104:D105" si="58">VLOOKUP(B104,MasterKaryawan,2)</f>
        <v>Test 7</v>
      </c>
      <c r="E104" s="29" t="str">
        <f t="shared" si="31"/>
        <v>K/2</v>
      </c>
      <c r="F104" s="53">
        <f t="shared" si="32"/>
        <v>1</v>
      </c>
      <c r="G104" s="30">
        <v>10000000</v>
      </c>
      <c r="H104" s="30">
        <v>0</v>
      </c>
      <c r="I104" s="30">
        <v>0</v>
      </c>
      <c r="J104" s="30">
        <v>0</v>
      </c>
      <c r="K104" s="30">
        <v>0</v>
      </c>
      <c r="L104" s="30">
        <v>0</v>
      </c>
      <c r="M104" s="30">
        <v>0</v>
      </c>
      <c r="N104" s="31">
        <f t="shared" ca="1" si="33"/>
        <v>424525.78145872359</v>
      </c>
      <c r="O104" s="30">
        <f t="shared" ref="O104:O105" ca="1" si="59">G104+H104+I104+J104+K104+L104+M104+N104</f>
        <v>10424525.781458724</v>
      </c>
      <c r="P104" s="32" t="str">
        <f t="shared" si="35"/>
        <v>Tarif Pasal 17</v>
      </c>
      <c r="Q104" s="30">
        <f t="shared" si="44"/>
        <v>0</v>
      </c>
      <c r="R104" s="30">
        <f t="shared" ref="R104:R105" ca="1" si="60">IF(AND(INT($A104)&lt;12, $C104&lt;&gt;"Ya"),0,AH104)</f>
        <v>424525.78145872359</v>
      </c>
      <c r="S104" s="30">
        <v>0</v>
      </c>
      <c r="T104" s="30">
        <v>0</v>
      </c>
      <c r="U104" s="30">
        <v>0</v>
      </c>
      <c r="V104" s="30">
        <f t="shared" ref="V104:V105" ca="1" si="61">O104-Q104-R104-S104-T104-U104</f>
        <v>10000000</v>
      </c>
      <c r="W104" s="30">
        <f t="shared" ref="W104:W105" ca="1" si="62">IF(5%*O104&gt;6000000/12,6000000/12,5%*O104)</f>
        <v>500000</v>
      </c>
      <c r="X104" s="30">
        <f ca="1">IF(AND(INT($A104)&lt;12, $C104&lt;&gt;"Ya"),0,SUMIF($B$14:$B103,$B104&amp;"*",$O$14:$O103)+O104)</f>
        <v>111947368.42105263</v>
      </c>
      <c r="Y104" s="30">
        <f ca="1">IF(AND(INT($A104)&lt;12, $C104&lt;&gt;"Ya"),0,SUMIF($B$14:$B103,$B104&amp;"*",$W$14:$W103)+W104)</f>
        <v>5500000</v>
      </c>
      <c r="Z104" s="30">
        <f>IF(AND(INT($A104)&lt;12, $C104&lt;&gt;"Ya"),0,SUMIF($B$14:$B103, $B104 &amp;"*",$S$14:$S103)+$S104)</f>
        <v>0</v>
      </c>
      <c r="AA104" s="30">
        <f>IF(AND(INT($A104)&lt;12, $C104&lt;&gt;"Ya"),0,SUMIF($B$14:$B103, $B104&amp;"*",$T$14:$T103)+$T104)</f>
        <v>0</v>
      </c>
      <c r="AB104" s="30">
        <f>IF(AND(INT($A104)&lt;12, $C104&lt;&gt;"Ya"),0,SUMIF($B$14:$B103,$B104 &amp; "*",$U$14:$U103)+$U104)</f>
        <v>0</v>
      </c>
      <c r="AC104" s="30">
        <f t="shared" ref="AC104:AC105" ca="1" si="63">X104-Y104-Z104-AA104-AB104</f>
        <v>106447368.42105263</v>
      </c>
      <c r="AD104" s="30">
        <f t="shared" ref="AD104:AD105" si="64">IF(AND(INT($A104)&lt;12, $C104&lt;&gt;"Ya"),0,VLOOKUP(E104,PTKP,3,FALSE))</f>
        <v>67500000</v>
      </c>
      <c r="AE104" s="30">
        <f t="shared" ref="AE104:AE105" ca="1" si="65">MAX(AC104-AD104,0)</f>
        <v>38947368.421052635</v>
      </c>
      <c r="AF104" s="30">
        <f t="shared" ca="1" si="41"/>
        <v>1947368.4210526319</v>
      </c>
      <c r="AG104" s="30">
        <f ca="1">IF(AND(INT($A104)&lt;12, $C104&lt;&gt;"Ya"),0,SUMIF($B$14:$B103, $B104 &amp;"*",$Q$14:$Q103)+$Q104)</f>
        <v>1522842.6395939083</v>
      </c>
      <c r="AH104" s="30">
        <f t="shared" ref="AH104:AH105" ca="1" si="66">AF104-AG104</f>
        <v>424525.78145872359</v>
      </c>
      <c r="AI104" s="30">
        <f t="shared" ref="AI104:AI105" ca="1" si="67">(Q104+R104-N104)*IF(VLOOKUP(B104,MasterKaryawan,7)&lt;&gt;"Ya",0,1)</f>
        <v>0</v>
      </c>
    </row>
    <row r="105" spans="1:35" x14ac:dyDescent="0.25">
      <c r="A105" s="47">
        <v>12</v>
      </c>
      <c r="B105" s="28" t="s">
        <v>85</v>
      </c>
      <c r="C105" s="43" t="str">
        <f t="shared" si="29"/>
        <v>Tidak</v>
      </c>
      <c r="D105" s="29" t="str">
        <f t="shared" si="58"/>
        <v>Test 8</v>
      </c>
      <c r="E105" s="29" t="str">
        <f t="shared" si="31"/>
        <v>K/3</v>
      </c>
      <c r="F105" s="53">
        <f t="shared" si="32"/>
        <v>1.2</v>
      </c>
      <c r="G105" s="30">
        <v>10000000</v>
      </c>
      <c r="H105" s="30">
        <v>0</v>
      </c>
      <c r="I105" s="30">
        <v>0</v>
      </c>
      <c r="J105" s="30">
        <v>0</v>
      </c>
      <c r="K105" s="30">
        <v>0</v>
      </c>
      <c r="L105" s="30">
        <v>0</v>
      </c>
      <c r="M105" s="30">
        <v>0</v>
      </c>
      <c r="N105" s="31">
        <f t="shared" ca="1" si="33"/>
        <v>951791.82736057718</v>
      </c>
      <c r="O105" s="30">
        <f t="shared" ca="1" si="59"/>
        <v>10951791.827360578</v>
      </c>
      <c r="P105" s="32" t="str">
        <f t="shared" si="35"/>
        <v>Tarif Pasal 17</v>
      </c>
      <c r="Q105" s="30">
        <f t="shared" si="44"/>
        <v>0</v>
      </c>
      <c r="R105" s="30">
        <f t="shared" ca="1" si="60"/>
        <v>951791.82736057718</v>
      </c>
      <c r="S105" s="30">
        <v>0</v>
      </c>
      <c r="T105" s="30">
        <v>0</v>
      </c>
      <c r="U105" s="30">
        <v>0</v>
      </c>
      <c r="V105" s="30">
        <f t="shared" ca="1" si="61"/>
        <v>10000000</v>
      </c>
      <c r="W105" s="30">
        <f t="shared" ca="1" si="62"/>
        <v>500000</v>
      </c>
      <c r="X105" s="30">
        <f ca="1">IF(AND(INT($A105)&lt;12, $C105&lt;&gt;"Ya"),0,SUMIF($B$14:$B104,$B105&amp;"*",$O$14:$O104)+O105)</f>
        <v>122968085.106383</v>
      </c>
      <c r="Y105" s="30">
        <f ca="1">IF(AND(INT($A105)&lt;12, $C105&lt;&gt;"Ya"),0,SUMIF($B$14:$B104,$B105&amp;"*",$W$14:$W104)+W105)</f>
        <v>6000000</v>
      </c>
      <c r="Z105" s="30">
        <f>IF(AND(INT($A105)&lt;12, $C105&lt;&gt;"Ya"),0,SUMIF($B$14:$B104, $B105 &amp;"*",$S$14:$S104)+$S105)</f>
        <v>0</v>
      </c>
      <c r="AA105" s="30">
        <f>IF(AND(INT($A105)&lt;12, $C105&lt;&gt;"Ya"),0,SUMIF($B$14:$B104, $B105&amp;"*",$T$14:$T104)+$T105)</f>
        <v>0</v>
      </c>
      <c r="AB105" s="30">
        <f>IF(AND(INT($A105)&lt;12, $C105&lt;&gt;"Ya"),0,SUMIF($B$14:$B104,$B105 &amp; "*",$U$14:$U104)+$U105)</f>
        <v>0</v>
      </c>
      <c r="AC105" s="30">
        <f t="shared" ca="1" si="63"/>
        <v>116968085.106383</v>
      </c>
      <c r="AD105" s="30">
        <f t="shared" si="64"/>
        <v>67500000</v>
      </c>
      <c r="AE105" s="30">
        <f t="shared" ca="1" si="65"/>
        <v>49468085.106382996</v>
      </c>
      <c r="AF105" s="30">
        <f t="shared" ca="1" si="41"/>
        <v>2968085.1063829795</v>
      </c>
      <c r="AG105" s="30">
        <f ca="1">IF(AND(INT($A105)&lt;12, $C105&lt;&gt;"Ya"),0,SUMIF($B$14:$B104, $B105 &amp;"*",$Q$14:$Q104)+$Q105)</f>
        <v>2016293.2790224024</v>
      </c>
      <c r="AH105" s="30">
        <f t="shared" ca="1" si="66"/>
        <v>951791.82736057718</v>
      </c>
      <c r="AI105" s="30">
        <f t="shared" ca="1" si="67"/>
        <v>0</v>
      </c>
    </row>
    <row r="106" spans="1:35" x14ac:dyDescent="0.25">
      <c r="M106" s="37"/>
    </row>
    <row r="107" spans="1:35" x14ac:dyDescent="0.25">
      <c r="M107" s="37"/>
    </row>
    <row r="108" spans="1:35" x14ac:dyDescent="0.25">
      <c r="M108" s="37"/>
    </row>
    <row r="109" spans="1:35" x14ac:dyDescent="0.25">
      <c r="M109" s="37"/>
    </row>
  </sheetData>
  <mergeCells count="2">
    <mergeCell ref="X13:AH13"/>
    <mergeCell ref="O13:Q13"/>
  </mergeCells>
  <phoneticPr fontId="5" type="noConversion"/>
  <dataValidations count="1">
    <dataValidation showInputMessage="1" showErrorMessage="1" sqref="C15:C105" xr:uid="{0ED868B9-A6BB-4AD5-B1A6-A7B6D9C592DA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8"/>
  <sheetViews>
    <sheetView showGridLines="0" zoomScale="85" zoomScaleNormal="85" workbookViewId="0">
      <pane ySplit="3" topLeftCell="A4" activePane="bottomLeft" state="frozen"/>
      <selection pane="bottomLeft" activeCell="J36" sqref="J36"/>
    </sheetView>
  </sheetViews>
  <sheetFormatPr defaultRowHeight="15" x14ac:dyDescent="0.25"/>
  <cols>
    <col min="1" max="1" width="11.28515625" customWidth="1"/>
    <col min="2" max="2" width="17.28515625" bestFit="1" customWidth="1"/>
    <col min="3" max="3" width="15.85546875" customWidth="1"/>
    <col min="4" max="4" width="18" bestFit="1" customWidth="1"/>
    <col min="7" max="7" width="10.42578125" customWidth="1"/>
    <col min="8" max="8" width="10.5703125" customWidth="1"/>
    <col min="10" max="10" width="14.28515625" customWidth="1"/>
    <col min="12" max="12" width="7.5703125" bestFit="1" customWidth="1"/>
    <col min="13" max="14" width="18" bestFit="1" customWidth="1"/>
    <col min="15" max="15" width="13.140625" customWidth="1"/>
    <col min="16" max="16" width="18.85546875" customWidth="1"/>
    <col min="17" max="17" width="32.7109375" bestFit="1" customWidth="1"/>
  </cols>
  <sheetData>
    <row r="1" spans="1:17" x14ac:dyDescent="0.25">
      <c r="A1" s="18" t="s">
        <v>23</v>
      </c>
    </row>
    <row r="2" spans="1:17" ht="15.75" thickBot="1" x14ac:dyDescent="0.3"/>
    <row r="3" spans="1:17" ht="15.75" thickBot="1" x14ac:dyDescent="0.3">
      <c r="A3" s="8" t="s">
        <v>0</v>
      </c>
      <c r="B3" s="58" t="s">
        <v>1</v>
      </c>
      <c r="C3" s="59"/>
      <c r="D3" s="60"/>
      <c r="E3" s="7" t="s">
        <v>2</v>
      </c>
      <c r="G3" s="8" t="s">
        <v>0</v>
      </c>
      <c r="H3" s="7" t="s">
        <v>3</v>
      </c>
      <c r="I3" s="7" t="s">
        <v>19</v>
      </c>
      <c r="J3" s="7" t="s">
        <v>18</v>
      </c>
      <c r="L3" s="8" t="s">
        <v>30</v>
      </c>
      <c r="M3" s="8" t="s">
        <v>36</v>
      </c>
      <c r="N3" s="8" t="s">
        <v>37</v>
      </c>
      <c r="O3" s="8" t="s">
        <v>38</v>
      </c>
      <c r="P3" s="8" t="s">
        <v>39</v>
      </c>
      <c r="Q3" s="7" t="s">
        <v>40</v>
      </c>
    </row>
    <row r="4" spans="1:17" x14ac:dyDescent="0.25">
      <c r="A4" s="9" t="s">
        <v>4</v>
      </c>
      <c r="B4" s="11">
        <v>0</v>
      </c>
      <c r="C4" s="3" t="s">
        <v>15</v>
      </c>
      <c r="D4" s="12">
        <v>5400000</v>
      </c>
      <c r="E4" s="4">
        <v>0</v>
      </c>
      <c r="F4" s="2"/>
      <c r="G4" s="9" t="s">
        <v>4</v>
      </c>
      <c r="H4" s="13" t="s">
        <v>5</v>
      </c>
      <c r="I4" s="13">
        <v>1</v>
      </c>
      <c r="J4" s="12">
        <f>54000000</f>
        <v>54000000</v>
      </c>
      <c r="L4" s="9" t="s">
        <v>31</v>
      </c>
      <c r="M4" s="23">
        <v>0</v>
      </c>
      <c r="N4" s="23">
        <v>60000000</v>
      </c>
      <c r="O4" s="25">
        <v>0.05</v>
      </c>
      <c r="P4" s="23">
        <f>(N4-M4)*O4</f>
        <v>3000000</v>
      </c>
      <c r="Q4" s="22">
        <v>0</v>
      </c>
    </row>
    <row r="5" spans="1:17" x14ac:dyDescent="0.25">
      <c r="A5" s="9" t="s">
        <v>4</v>
      </c>
      <c r="B5" s="11">
        <f>D4</f>
        <v>5400000</v>
      </c>
      <c r="C5" s="3" t="s">
        <v>15</v>
      </c>
      <c r="D5" s="12">
        <v>5650000</v>
      </c>
      <c r="E5" s="5">
        <v>2.5000000000000001E-3</v>
      </c>
      <c r="F5" s="1"/>
      <c r="G5" s="9" t="s">
        <v>4</v>
      </c>
      <c r="H5" s="13" t="s">
        <v>6</v>
      </c>
      <c r="I5" s="13">
        <v>1</v>
      </c>
      <c r="J5" s="12">
        <f>54000000+1*4500000</f>
        <v>58500000</v>
      </c>
      <c r="L5" s="9" t="s">
        <v>32</v>
      </c>
      <c r="M5" s="23">
        <f>N4</f>
        <v>60000000</v>
      </c>
      <c r="N5" s="23">
        <v>250000000</v>
      </c>
      <c r="O5" s="25">
        <v>0.15</v>
      </c>
      <c r="P5" s="23">
        <f t="shared" ref="P5:P7" si="0">(N5-M5)*O5</f>
        <v>28500000</v>
      </c>
      <c r="Q5" s="22">
        <f>SUM($P$4:P4)</f>
        <v>3000000</v>
      </c>
    </row>
    <row r="6" spans="1:17" x14ac:dyDescent="0.25">
      <c r="A6" s="9" t="s">
        <v>4</v>
      </c>
      <c r="B6" s="11">
        <f>D5</f>
        <v>5650000</v>
      </c>
      <c r="C6" s="3" t="s">
        <v>15</v>
      </c>
      <c r="D6" s="12">
        <v>5950000</v>
      </c>
      <c r="E6" s="5">
        <v>5.0000000000000001E-3</v>
      </c>
      <c r="F6" s="1"/>
      <c r="G6" s="9" t="s">
        <v>4</v>
      </c>
      <c r="H6" s="13" t="s">
        <v>7</v>
      </c>
      <c r="I6" s="13">
        <v>1</v>
      </c>
      <c r="J6" s="12">
        <f>54000000+4500000</f>
        <v>58500000</v>
      </c>
      <c r="L6" s="9" t="s">
        <v>33</v>
      </c>
      <c r="M6" s="23">
        <f t="shared" ref="M6:M8" si="1">N5</f>
        <v>250000000</v>
      </c>
      <c r="N6" s="23">
        <v>500000000</v>
      </c>
      <c r="O6" s="25">
        <v>0.25</v>
      </c>
      <c r="P6" s="23">
        <f t="shared" si="0"/>
        <v>62500000</v>
      </c>
      <c r="Q6" s="22">
        <f>SUM($P$4:P5)</f>
        <v>31500000</v>
      </c>
    </row>
    <row r="7" spans="1:17" x14ac:dyDescent="0.25">
      <c r="A7" s="9" t="s">
        <v>4</v>
      </c>
      <c r="B7" s="11">
        <f t="shared" ref="B7:B70" si="2">D6</f>
        <v>5950000</v>
      </c>
      <c r="C7" s="3" t="s">
        <v>15</v>
      </c>
      <c r="D7" s="12">
        <v>6300000</v>
      </c>
      <c r="E7" s="5">
        <v>7.4999999999999997E-3</v>
      </c>
      <c r="F7" s="1"/>
      <c r="G7" s="9" t="s">
        <v>8</v>
      </c>
      <c r="H7" s="13" t="s">
        <v>10</v>
      </c>
      <c r="I7" s="13">
        <v>2</v>
      </c>
      <c r="J7" s="12">
        <f>54000000+2*4500000</f>
        <v>63000000</v>
      </c>
      <c r="L7" s="9" t="s">
        <v>34</v>
      </c>
      <c r="M7" s="23">
        <f t="shared" si="1"/>
        <v>500000000</v>
      </c>
      <c r="N7" s="23">
        <v>5000000000</v>
      </c>
      <c r="O7" s="25">
        <v>0.3</v>
      </c>
      <c r="P7" s="23">
        <f t="shared" si="0"/>
        <v>1350000000</v>
      </c>
      <c r="Q7" s="22">
        <f>SUM($P$4:P6)</f>
        <v>94000000</v>
      </c>
    </row>
    <row r="8" spans="1:17" x14ac:dyDescent="0.25">
      <c r="A8" s="9" t="s">
        <v>4</v>
      </c>
      <c r="B8" s="11">
        <f t="shared" si="2"/>
        <v>6300000</v>
      </c>
      <c r="C8" s="3" t="s">
        <v>15</v>
      </c>
      <c r="D8" s="12">
        <v>6750000</v>
      </c>
      <c r="E8" s="4">
        <v>0.01</v>
      </c>
      <c r="F8" s="2"/>
      <c r="G8" s="9" t="s">
        <v>8</v>
      </c>
      <c r="H8" s="13" t="s">
        <v>11</v>
      </c>
      <c r="I8" s="13">
        <v>2</v>
      </c>
      <c r="J8" s="12">
        <f>54000000+3*4500000</f>
        <v>67500000</v>
      </c>
      <c r="L8" s="9" t="s">
        <v>35</v>
      </c>
      <c r="M8" s="23">
        <f t="shared" si="1"/>
        <v>5000000000</v>
      </c>
      <c r="N8" s="23">
        <v>1000000000000</v>
      </c>
      <c r="O8" s="25">
        <v>0.35</v>
      </c>
      <c r="P8" s="23"/>
      <c r="Q8" s="22">
        <f>SUM($P$4:P7)</f>
        <v>1444000000</v>
      </c>
    </row>
    <row r="9" spans="1:17" ht="15.75" thickBot="1" x14ac:dyDescent="0.3">
      <c r="A9" s="9" t="s">
        <v>4</v>
      </c>
      <c r="B9" s="11">
        <f t="shared" si="2"/>
        <v>6750000</v>
      </c>
      <c r="C9" s="3" t="s">
        <v>15</v>
      </c>
      <c r="D9" s="12">
        <v>7500000</v>
      </c>
      <c r="E9" s="5">
        <v>1.2500000000000001E-2</v>
      </c>
      <c r="F9" s="1"/>
      <c r="G9" s="9" t="s">
        <v>8</v>
      </c>
      <c r="H9" s="13" t="s">
        <v>12</v>
      </c>
      <c r="I9" s="13">
        <v>2</v>
      </c>
      <c r="J9" s="12">
        <f>54000000+4500000+1*4500000</f>
        <v>63000000</v>
      </c>
      <c r="L9" s="26" t="s">
        <v>41</v>
      </c>
      <c r="M9" s="24">
        <f>N8</f>
        <v>1000000000000</v>
      </c>
      <c r="N9" s="10"/>
      <c r="O9" s="10"/>
      <c r="P9" s="10"/>
      <c r="Q9" s="14"/>
    </row>
    <row r="10" spans="1:17" x14ac:dyDescent="0.25">
      <c r="A10" s="9" t="s">
        <v>4</v>
      </c>
      <c r="B10" s="11">
        <f t="shared" si="2"/>
        <v>7500000</v>
      </c>
      <c r="C10" s="3" t="s">
        <v>15</v>
      </c>
      <c r="D10" s="12">
        <v>8550000</v>
      </c>
      <c r="E10" s="5">
        <v>1.4999999999999999E-2</v>
      </c>
      <c r="F10" s="1"/>
      <c r="G10" s="9" t="s">
        <v>8</v>
      </c>
      <c r="H10" s="13" t="s">
        <v>13</v>
      </c>
      <c r="I10" s="13">
        <v>2</v>
      </c>
      <c r="J10" s="12">
        <f>54000000+4500000+2*4500000</f>
        <v>67500000</v>
      </c>
    </row>
    <row r="11" spans="1:17" ht="15.75" thickBot="1" x14ac:dyDescent="0.3">
      <c r="A11" s="9" t="s">
        <v>4</v>
      </c>
      <c r="B11" s="11">
        <f t="shared" si="2"/>
        <v>8550000</v>
      </c>
      <c r="C11" s="3" t="s">
        <v>15</v>
      </c>
      <c r="D11" s="12">
        <v>9650000</v>
      </c>
      <c r="E11" s="5">
        <v>1.7500000000000002E-2</v>
      </c>
      <c r="F11" s="1"/>
      <c r="G11" s="10" t="s">
        <v>9</v>
      </c>
      <c r="H11" s="14" t="s">
        <v>14</v>
      </c>
      <c r="I11" s="14">
        <v>3</v>
      </c>
      <c r="J11" s="20">
        <f>54000000+4500000+2*4500000</f>
        <v>67500000</v>
      </c>
    </row>
    <row r="12" spans="1:17" x14ac:dyDescent="0.25">
      <c r="A12" s="9" t="s">
        <v>4</v>
      </c>
      <c r="B12" s="11">
        <f t="shared" si="2"/>
        <v>9650000</v>
      </c>
      <c r="C12" s="3" t="s">
        <v>15</v>
      </c>
      <c r="D12" s="12">
        <v>10050000</v>
      </c>
      <c r="E12" s="4">
        <v>0.02</v>
      </c>
      <c r="F12" s="2"/>
    </row>
    <row r="13" spans="1:17" x14ac:dyDescent="0.25">
      <c r="A13" s="9" t="s">
        <v>4</v>
      </c>
      <c r="B13" s="11">
        <f t="shared" si="2"/>
        <v>10050000</v>
      </c>
      <c r="C13" s="3" t="s">
        <v>15</v>
      </c>
      <c r="D13" s="12">
        <v>10350000</v>
      </c>
      <c r="E13" s="5">
        <v>2.2499999999999999E-2</v>
      </c>
      <c r="F13" s="1"/>
    </row>
    <row r="14" spans="1:17" x14ac:dyDescent="0.25">
      <c r="A14" s="9" t="s">
        <v>4</v>
      </c>
      <c r="B14" s="11">
        <f t="shared" si="2"/>
        <v>10350000</v>
      </c>
      <c r="C14" s="3" t="s">
        <v>15</v>
      </c>
      <c r="D14" s="12">
        <v>10700000</v>
      </c>
      <c r="E14" s="5">
        <v>2.5000000000000001E-2</v>
      </c>
      <c r="F14" s="1"/>
    </row>
    <row r="15" spans="1:17" x14ac:dyDescent="0.25">
      <c r="A15" s="9" t="s">
        <v>4</v>
      </c>
      <c r="B15" s="11">
        <f t="shared" si="2"/>
        <v>10700000</v>
      </c>
      <c r="C15" s="3" t="s">
        <v>15</v>
      </c>
      <c r="D15" s="12">
        <v>11050000</v>
      </c>
      <c r="E15" s="4">
        <v>0.03</v>
      </c>
      <c r="F15" s="2"/>
    </row>
    <row r="16" spans="1:17" x14ac:dyDescent="0.25">
      <c r="A16" s="9" t="s">
        <v>4</v>
      </c>
      <c r="B16" s="11">
        <f t="shared" si="2"/>
        <v>11050000</v>
      </c>
      <c r="C16" s="3" t="s">
        <v>15</v>
      </c>
      <c r="D16" s="12">
        <v>11600000</v>
      </c>
      <c r="E16" s="5">
        <v>3.5000000000000003E-2</v>
      </c>
      <c r="F16" s="1"/>
    </row>
    <row r="17" spans="1:15" x14ac:dyDescent="0.25">
      <c r="A17" s="9" t="s">
        <v>4</v>
      </c>
      <c r="B17" s="11">
        <f t="shared" si="2"/>
        <v>11600000</v>
      </c>
      <c r="C17" s="3" t="s">
        <v>15</v>
      </c>
      <c r="D17" s="12">
        <v>12500000</v>
      </c>
      <c r="E17" s="4">
        <v>0.04</v>
      </c>
      <c r="F17" s="2"/>
    </row>
    <row r="18" spans="1:15" x14ac:dyDescent="0.25">
      <c r="A18" s="9" t="s">
        <v>4</v>
      </c>
      <c r="B18" s="11">
        <f t="shared" si="2"/>
        <v>12500000</v>
      </c>
      <c r="C18" s="3" t="s">
        <v>15</v>
      </c>
      <c r="D18" s="12">
        <v>13750000</v>
      </c>
      <c r="E18" s="4">
        <v>0.05</v>
      </c>
      <c r="F18" s="2"/>
      <c r="O18" s="21"/>
    </row>
    <row r="19" spans="1:15" x14ac:dyDescent="0.25">
      <c r="A19" s="9" t="s">
        <v>4</v>
      </c>
      <c r="B19" s="11">
        <f t="shared" si="2"/>
        <v>13750000</v>
      </c>
      <c r="C19" s="3" t="s">
        <v>15</v>
      </c>
      <c r="D19" s="12">
        <v>15100000</v>
      </c>
      <c r="E19" s="4">
        <v>0.06</v>
      </c>
      <c r="F19" s="2"/>
      <c r="O19" s="21"/>
    </row>
    <row r="20" spans="1:15" x14ac:dyDescent="0.25">
      <c r="A20" s="9" t="s">
        <v>4</v>
      </c>
      <c r="B20" s="11">
        <f t="shared" si="2"/>
        <v>15100000</v>
      </c>
      <c r="C20" s="3" t="s">
        <v>15</v>
      </c>
      <c r="D20" s="12">
        <v>16950000</v>
      </c>
      <c r="E20" s="4">
        <v>7.0000000000000007E-2</v>
      </c>
      <c r="F20" s="2"/>
    </row>
    <row r="21" spans="1:15" x14ac:dyDescent="0.25">
      <c r="A21" s="9" t="s">
        <v>4</v>
      </c>
      <c r="B21" s="11">
        <f t="shared" si="2"/>
        <v>16950000</v>
      </c>
      <c r="C21" s="3" t="s">
        <v>15</v>
      </c>
      <c r="D21" s="12">
        <v>19750000</v>
      </c>
      <c r="E21" s="4">
        <v>0.08</v>
      </c>
      <c r="F21" s="2"/>
    </row>
    <row r="22" spans="1:15" x14ac:dyDescent="0.25">
      <c r="A22" s="9" t="s">
        <v>4</v>
      </c>
      <c r="B22" s="11">
        <f t="shared" si="2"/>
        <v>19750000</v>
      </c>
      <c r="C22" s="3" t="s">
        <v>15</v>
      </c>
      <c r="D22" s="12">
        <v>24150000</v>
      </c>
      <c r="E22" s="4">
        <v>0.09</v>
      </c>
      <c r="F22" s="2"/>
    </row>
    <row r="23" spans="1:15" x14ac:dyDescent="0.25">
      <c r="A23" s="9" t="s">
        <v>4</v>
      </c>
      <c r="B23" s="11">
        <f t="shared" si="2"/>
        <v>24150000</v>
      </c>
      <c r="C23" s="3" t="s">
        <v>15</v>
      </c>
      <c r="D23" s="12">
        <v>26450000</v>
      </c>
      <c r="E23" s="4">
        <v>0.1</v>
      </c>
      <c r="F23" s="2"/>
    </row>
    <row r="24" spans="1:15" x14ac:dyDescent="0.25">
      <c r="A24" s="9" t="s">
        <v>4</v>
      </c>
      <c r="B24" s="11">
        <f t="shared" si="2"/>
        <v>26450000</v>
      </c>
      <c r="C24" s="3" t="s">
        <v>15</v>
      </c>
      <c r="D24" s="12">
        <v>28000000</v>
      </c>
      <c r="E24" s="4">
        <v>0.11</v>
      </c>
      <c r="F24" s="2"/>
    </row>
    <row r="25" spans="1:15" x14ac:dyDescent="0.25">
      <c r="A25" s="9" t="s">
        <v>4</v>
      </c>
      <c r="B25" s="11">
        <f t="shared" si="2"/>
        <v>28000000</v>
      </c>
      <c r="C25" s="3" t="s">
        <v>15</v>
      </c>
      <c r="D25" s="12">
        <v>30050000</v>
      </c>
      <c r="E25" s="4">
        <v>0.12</v>
      </c>
      <c r="F25" s="2"/>
    </row>
    <row r="26" spans="1:15" x14ac:dyDescent="0.25">
      <c r="A26" s="9" t="s">
        <v>4</v>
      </c>
      <c r="B26" s="11">
        <f t="shared" si="2"/>
        <v>30050000</v>
      </c>
      <c r="C26" s="3" t="s">
        <v>15</v>
      </c>
      <c r="D26" s="12">
        <v>32400000</v>
      </c>
      <c r="E26" s="4">
        <v>0.13</v>
      </c>
      <c r="F26" s="2"/>
    </row>
    <row r="27" spans="1:15" x14ac:dyDescent="0.25">
      <c r="A27" s="9" t="s">
        <v>4</v>
      </c>
      <c r="B27" s="11">
        <f t="shared" si="2"/>
        <v>32400000</v>
      </c>
      <c r="C27" s="3" t="s">
        <v>15</v>
      </c>
      <c r="D27" s="12">
        <v>35400000</v>
      </c>
      <c r="E27" s="4">
        <v>0.14000000000000001</v>
      </c>
      <c r="F27" s="2"/>
    </row>
    <row r="28" spans="1:15" x14ac:dyDescent="0.25">
      <c r="A28" s="9" t="s">
        <v>4</v>
      </c>
      <c r="B28" s="11">
        <f t="shared" si="2"/>
        <v>35400000</v>
      </c>
      <c r="C28" s="3" t="s">
        <v>15</v>
      </c>
      <c r="D28" s="12">
        <v>39100000</v>
      </c>
      <c r="E28" s="4">
        <v>0.15</v>
      </c>
      <c r="F28" s="2"/>
    </row>
    <row r="29" spans="1:15" x14ac:dyDescent="0.25">
      <c r="A29" s="9" t="s">
        <v>4</v>
      </c>
      <c r="B29" s="11">
        <f t="shared" si="2"/>
        <v>39100000</v>
      </c>
      <c r="C29" s="3" t="s">
        <v>15</v>
      </c>
      <c r="D29" s="12">
        <v>43850000</v>
      </c>
      <c r="E29" s="4">
        <v>0.16</v>
      </c>
      <c r="F29" s="2"/>
    </row>
    <row r="30" spans="1:15" x14ac:dyDescent="0.25">
      <c r="A30" s="9" t="s">
        <v>4</v>
      </c>
      <c r="B30" s="11">
        <f t="shared" si="2"/>
        <v>43850000</v>
      </c>
      <c r="C30" s="3" t="s">
        <v>15</v>
      </c>
      <c r="D30" s="12">
        <v>47800000</v>
      </c>
      <c r="E30" s="4">
        <v>0.17</v>
      </c>
      <c r="F30" s="2"/>
    </row>
    <row r="31" spans="1:15" x14ac:dyDescent="0.25">
      <c r="A31" s="9" t="s">
        <v>4</v>
      </c>
      <c r="B31" s="11">
        <f t="shared" si="2"/>
        <v>47800000</v>
      </c>
      <c r="C31" s="3" t="s">
        <v>15</v>
      </c>
      <c r="D31" s="12">
        <v>51400000</v>
      </c>
      <c r="E31" s="4">
        <v>0.18</v>
      </c>
      <c r="F31" s="2"/>
    </row>
    <row r="32" spans="1:15" x14ac:dyDescent="0.25">
      <c r="A32" s="9" t="s">
        <v>4</v>
      </c>
      <c r="B32" s="11">
        <f t="shared" si="2"/>
        <v>51400000</v>
      </c>
      <c r="C32" s="3" t="s">
        <v>15</v>
      </c>
      <c r="D32" s="12">
        <v>56300000</v>
      </c>
      <c r="E32" s="4">
        <v>0.19</v>
      </c>
      <c r="F32" s="2"/>
    </row>
    <row r="33" spans="1:6" x14ac:dyDescent="0.25">
      <c r="A33" s="9" t="s">
        <v>4</v>
      </c>
      <c r="B33" s="11">
        <f t="shared" si="2"/>
        <v>56300000</v>
      </c>
      <c r="C33" s="3" t="s">
        <v>15</v>
      </c>
      <c r="D33" s="12">
        <v>62200000</v>
      </c>
      <c r="E33" s="4">
        <v>0.2</v>
      </c>
      <c r="F33" s="2"/>
    </row>
    <row r="34" spans="1:6" x14ac:dyDescent="0.25">
      <c r="A34" s="9" t="s">
        <v>4</v>
      </c>
      <c r="B34" s="11">
        <f t="shared" si="2"/>
        <v>62200000</v>
      </c>
      <c r="C34" s="3" t="s">
        <v>15</v>
      </c>
      <c r="D34" s="12">
        <v>68600000</v>
      </c>
      <c r="E34" s="4">
        <v>0.21</v>
      </c>
      <c r="F34" s="2"/>
    </row>
    <row r="35" spans="1:6" x14ac:dyDescent="0.25">
      <c r="A35" s="9" t="s">
        <v>4</v>
      </c>
      <c r="B35" s="11">
        <f t="shared" si="2"/>
        <v>68600000</v>
      </c>
      <c r="C35" s="3" t="s">
        <v>15</v>
      </c>
      <c r="D35" s="12">
        <v>77500000</v>
      </c>
      <c r="E35" s="4">
        <v>0.22</v>
      </c>
      <c r="F35" s="2"/>
    </row>
    <row r="36" spans="1:6" x14ac:dyDescent="0.25">
      <c r="A36" s="9" t="s">
        <v>4</v>
      </c>
      <c r="B36" s="11">
        <f t="shared" si="2"/>
        <v>77500000</v>
      </c>
      <c r="C36" s="3" t="s">
        <v>15</v>
      </c>
      <c r="D36" s="12">
        <v>89000000</v>
      </c>
      <c r="E36" s="4">
        <v>0.23</v>
      </c>
      <c r="F36" s="2"/>
    </row>
    <row r="37" spans="1:6" x14ac:dyDescent="0.25">
      <c r="A37" s="9" t="s">
        <v>4</v>
      </c>
      <c r="B37" s="11">
        <f t="shared" si="2"/>
        <v>89000000</v>
      </c>
      <c r="C37" s="3" t="s">
        <v>15</v>
      </c>
      <c r="D37" s="12">
        <v>103000000</v>
      </c>
      <c r="E37" s="4">
        <v>0.24</v>
      </c>
      <c r="F37" s="2"/>
    </row>
    <row r="38" spans="1:6" x14ac:dyDescent="0.25">
      <c r="A38" s="9" t="s">
        <v>4</v>
      </c>
      <c r="B38" s="11">
        <f t="shared" si="2"/>
        <v>103000000</v>
      </c>
      <c r="C38" s="3" t="s">
        <v>15</v>
      </c>
      <c r="D38" s="12">
        <v>125000000</v>
      </c>
      <c r="E38" s="4">
        <v>0.25</v>
      </c>
      <c r="F38" s="2"/>
    </row>
    <row r="39" spans="1:6" x14ac:dyDescent="0.25">
      <c r="A39" s="9" t="s">
        <v>4</v>
      </c>
      <c r="B39" s="11">
        <f t="shared" si="2"/>
        <v>125000000</v>
      </c>
      <c r="C39" s="3" t="s">
        <v>15</v>
      </c>
      <c r="D39" s="12">
        <v>157000000</v>
      </c>
      <c r="E39" s="4">
        <v>0.26</v>
      </c>
      <c r="F39" s="2"/>
    </row>
    <row r="40" spans="1:6" x14ac:dyDescent="0.25">
      <c r="A40" s="9" t="s">
        <v>4</v>
      </c>
      <c r="B40" s="11">
        <f t="shared" si="2"/>
        <v>157000000</v>
      </c>
      <c r="C40" s="3" t="s">
        <v>15</v>
      </c>
      <c r="D40" s="12">
        <v>206000000</v>
      </c>
      <c r="E40" s="4">
        <v>0.27</v>
      </c>
      <c r="F40" s="2"/>
    </row>
    <row r="41" spans="1:6" x14ac:dyDescent="0.25">
      <c r="A41" s="9" t="s">
        <v>4</v>
      </c>
      <c r="B41" s="11">
        <f t="shared" si="2"/>
        <v>206000000</v>
      </c>
      <c r="C41" s="3" t="s">
        <v>15</v>
      </c>
      <c r="D41" s="12">
        <v>337000000</v>
      </c>
      <c r="E41" s="4">
        <v>0.28000000000000003</v>
      </c>
      <c r="F41" s="2"/>
    </row>
    <row r="42" spans="1:6" x14ac:dyDescent="0.25">
      <c r="A42" s="9" t="s">
        <v>4</v>
      </c>
      <c r="B42" s="11">
        <f t="shared" si="2"/>
        <v>337000000</v>
      </c>
      <c r="C42" s="3" t="s">
        <v>15</v>
      </c>
      <c r="D42" s="12">
        <v>454000000</v>
      </c>
      <c r="E42" s="4">
        <v>0.28999999999999998</v>
      </c>
      <c r="F42" s="2"/>
    </row>
    <row r="43" spans="1:6" x14ac:dyDescent="0.25">
      <c r="A43" s="9" t="s">
        <v>4</v>
      </c>
      <c r="B43" s="11">
        <f t="shared" si="2"/>
        <v>454000000</v>
      </c>
      <c r="C43" s="3" t="s">
        <v>15</v>
      </c>
      <c r="D43" s="12">
        <v>550000000</v>
      </c>
      <c r="E43" s="4">
        <v>0.3</v>
      </c>
      <c r="F43" s="2"/>
    </row>
    <row r="44" spans="1:6" x14ac:dyDescent="0.25">
      <c r="A44" s="9" t="s">
        <v>4</v>
      </c>
      <c r="B44" s="11">
        <f t="shared" si="2"/>
        <v>550000000</v>
      </c>
      <c r="C44" s="3" t="s">
        <v>15</v>
      </c>
      <c r="D44" s="12">
        <v>695000000</v>
      </c>
      <c r="E44" s="4">
        <v>0.31</v>
      </c>
      <c r="F44" s="2"/>
    </row>
    <row r="45" spans="1:6" x14ac:dyDescent="0.25">
      <c r="A45" s="9" t="s">
        <v>4</v>
      </c>
      <c r="B45" s="11">
        <f t="shared" si="2"/>
        <v>695000000</v>
      </c>
      <c r="C45" s="3" t="s">
        <v>15</v>
      </c>
      <c r="D45" s="12">
        <v>910000000</v>
      </c>
      <c r="E45" s="4">
        <v>0.32</v>
      </c>
      <c r="F45" s="2"/>
    </row>
    <row r="46" spans="1:6" x14ac:dyDescent="0.25">
      <c r="A46" s="9" t="s">
        <v>4</v>
      </c>
      <c r="B46" s="11">
        <f t="shared" si="2"/>
        <v>910000000</v>
      </c>
      <c r="C46" s="3" t="s">
        <v>15</v>
      </c>
      <c r="D46" s="12">
        <v>1400000000</v>
      </c>
      <c r="E46" s="4">
        <v>0.33</v>
      </c>
      <c r="F46" s="2"/>
    </row>
    <row r="47" spans="1:6" x14ac:dyDescent="0.25">
      <c r="A47" s="9" t="s">
        <v>4</v>
      </c>
      <c r="B47" s="15">
        <v>1400000000</v>
      </c>
      <c r="C47" s="3" t="s">
        <v>15</v>
      </c>
      <c r="D47" s="16">
        <v>1000000000000</v>
      </c>
      <c r="E47" s="4">
        <v>0.34</v>
      </c>
      <c r="F47" s="2"/>
    </row>
    <row r="48" spans="1:6" x14ac:dyDescent="0.25">
      <c r="A48" s="9" t="s">
        <v>8</v>
      </c>
      <c r="B48" s="11">
        <v>0</v>
      </c>
      <c r="C48" s="3" t="s">
        <v>15</v>
      </c>
      <c r="D48" s="12">
        <v>6200000</v>
      </c>
      <c r="E48" s="4">
        <v>0</v>
      </c>
      <c r="F48" s="2"/>
    </row>
    <row r="49" spans="1:6" x14ac:dyDescent="0.25">
      <c r="A49" s="9" t="s">
        <v>8</v>
      </c>
      <c r="B49" s="11">
        <f t="shared" si="2"/>
        <v>6200000</v>
      </c>
      <c r="C49" s="3" t="s">
        <v>15</v>
      </c>
      <c r="D49" s="12">
        <v>6500000</v>
      </c>
      <c r="E49" s="5">
        <v>2.5000000000000001E-3</v>
      </c>
      <c r="F49" s="1"/>
    </row>
    <row r="50" spans="1:6" x14ac:dyDescent="0.25">
      <c r="A50" s="9" t="s">
        <v>8</v>
      </c>
      <c r="B50" s="11">
        <f t="shared" si="2"/>
        <v>6500000</v>
      </c>
      <c r="C50" s="3" t="s">
        <v>15</v>
      </c>
      <c r="D50" s="12">
        <v>6850000</v>
      </c>
      <c r="E50" s="5">
        <v>5.0000000000000001E-3</v>
      </c>
      <c r="F50" s="1"/>
    </row>
    <row r="51" spans="1:6" x14ac:dyDescent="0.25">
      <c r="A51" s="9" t="s">
        <v>8</v>
      </c>
      <c r="B51" s="11">
        <f t="shared" si="2"/>
        <v>6850000</v>
      </c>
      <c r="C51" s="3" t="s">
        <v>15</v>
      </c>
      <c r="D51" s="12">
        <v>7300000</v>
      </c>
      <c r="E51" s="5">
        <v>7.4999999999999997E-3</v>
      </c>
      <c r="F51" s="1"/>
    </row>
    <row r="52" spans="1:6" x14ac:dyDescent="0.25">
      <c r="A52" s="9" t="s">
        <v>8</v>
      </c>
      <c r="B52" s="11">
        <f t="shared" si="2"/>
        <v>7300000</v>
      </c>
      <c r="C52" s="3" t="s">
        <v>15</v>
      </c>
      <c r="D52" s="12">
        <v>9200000</v>
      </c>
      <c r="E52" s="4">
        <v>0.01</v>
      </c>
      <c r="F52" s="2"/>
    </row>
    <row r="53" spans="1:6" x14ac:dyDescent="0.25">
      <c r="A53" s="9" t="s">
        <v>8</v>
      </c>
      <c r="B53" s="11">
        <f t="shared" si="2"/>
        <v>9200000</v>
      </c>
      <c r="C53" s="3" t="s">
        <v>15</v>
      </c>
      <c r="D53" s="12">
        <v>10750000</v>
      </c>
      <c r="E53" s="5">
        <v>1.4999999999999999E-2</v>
      </c>
      <c r="F53" s="1"/>
    </row>
    <row r="54" spans="1:6" x14ac:dyDescent="0.25">
      <c r="A54" s="9" t="s">
        <v>8</v>
      </c>
      <c r="B54" s="11">
        <f t="shared" si="2"/>
        <v>10750000</v>
      </c>
      <c r="C54" s="3" t="s">
        <v>15</v>
      </c>
      <c r="D54" s="12">
        <v>11250000</v>
      </c>
      <c r="E54" s="4">
        <v>0.02</v>
      </c>
      <c r="F54" s="2"/>
    </row>
    <row r="55" spans="1:6" x14ac:dyDescent="0.25">
      <c r="A55" s="9" t="s">
        <v>8</v>
      </c>
      <c r="B55" s="11">
        <f t="shared" si="2"/>
        <v>11250000</v>
      </c>
      <c r="C55" s="3" t="s">
        <v>15</v>
      </c>
      <c r="D55" s="12">
        <v>11600000</v>
      </c>
      <c r="E55" s="5">
        <v>2.5000000000000001E-2</v>
      </c>
      <c r="F55" s="1"/>
    </row>
    <row r="56" spans="1:6" x14ac:dyDescent="0.25">
      <c r="A56" s="9" t="s">
        <v>8</v>
      </c>
      <c r="B56" s="11">
        <f t="shared" si="2"/>
        <v>11600000</v>
      </c>
      <c r="C56" s="3" t="s">
        <v>15</v>
      </c>
      <c r="D56" s="12">
        <v>12600000</v>
      </c>
      <c r="E56" s="4">
        <v>0.03</v>
      </c>
      <c r="F56" s="2"/>
    </row>
    <row r="57" spans="1:6" x14ac:dyDescent="0.25">
      <c r="A57" s="9" t="s">
        <v>8</v>
      </c>
      <c r="B57" s="11">
        <f t="shared" si="2"/>
        <v>12600000</v>
      </c>
      <c r="C57" s="3" t="s">
        <v>15</v>
      </c>
      <c r="D57" s="12">
        <v>13600000</v>
      </c>
      <c r="E57" s="4">
        <v>0.04</v>
      </c>
      <c r="F57" s="2"/>
    </row>
    <row r="58" spans="1:6" x14ac:dyDescent="0.25">
      <c r="A58" s="9" t="s">
        <v>8</v>
      </c>
      <c r="B58" s="11">
        <f t="shared" si="2"/>
        <v>13600000</v>
      </c>
      <c r="C58" s="3" t="s">
        <v>15</v>
      </c>
      <c r="D58" s="12">
        <v>14950000</v>
      </c>
      <c r="E58" s="4">
        <v>0.05</v>
      </c>
      <c r="F58" s="2"/>
    </row>
    <row r="59" spans="1:6" x14ac:dyDescent="0.25">
      <c r="A59" s="9" t="s">
        <v>8</v>
      </c>
      <c r="B59" s="11">
        <f t="shared" si="2"/>
        <v>14950000</v>
      </c>
      <c r="C59" s="3" t="s">
        <v>15</v>
      </c>
      <c r="D59" s="12">
        <v>16400000</v>
      </c>
      <c r="E59" s="4">
        <v>0.06</v>
      </c>
      <c r="F59" s="2"/>
    </row>
    <row r="60" spans="1:6" x14ac:dyDescent="0.25">
      <c r="A60" s="9" t="s">
        <v>8</v>
      </c>
      <c r="B60" s="11">
        <f t="shared" si="2"/>
        <v>16400000</v>
      </c>
      <c r="C60" s="3" t="s">
        <v>15</v>
      </c>
      <c r="D60" s="12">
        <v>18450000</v>
      </c>
      <c r="E60" s="4">
        <v>7.0000000000000007E-2</v>
      </c>
      <c r="F60" s="2"/>
    </row>
    <row r="61" spans="1:6" x14ac:dyDescent="0.25">
      <c r="A61" s="9" t="s">
        <v>8</v>
      </c>
      <c r="B61" s="11">
        <f t="shared" si="2"/>
        <v>18450000</v>
      </c>
      <c r="C61" s="3" t="s">
        <v>15</v>
      </c>
      <c r="D61" s="12">
        <v>21850000</v>
      </c>
      <c r="E61" s="4">
        <v>0.08</v>
      </c>
      <c r="F61" s="2"/>
    </row>
    <row r="62" spans="1:6" x14ac:dyDescent="0.25">
      <c r="A62" s="9" t="s">
        <v>8</v>
      </c>
      <c r="B62" s="11">
        <f t="shared" si="2"/>
        <v>21850000</v>
      </c>
      <c r="C62" s="3" t="s">
        <v>15</v>
      </c>
      <c r="D62" s="12">
        <v>26000000</v>
      </c>
      <c r="E62" s="4">
        <v>0.09</v>
      </c>
      <c r="F62" s="2"/>
    </row>
    <row r="63" spans="1:6" x14ac:dyDescent="0.25">
      <c r="A63" s="9" t="s">
        <v>8</v>
      </c>
      <c r="B63" s="11">
        <f t="shared" si="2"/>
        <v>26000000</v>
      </c>
      <c r="C63" s="3" t="s">
        <v>15</v>
      </c>
      <c r="D63" s="12">
        <v>27700000</v>
      </c>
      <c r="E63" s="4">
        <v>0.1</v>
      </c>
      <c r="F63" s="2"/>
    </row>
    <row r="64" spans="1:6" x14ac:dyDescent="0.25">
      <c r="A64" s="9" t="s">
        <v>8</v>
      </c>
      <c r="B64" s="11">
        <f t="shared" si="2"/>
        <v>27700000</v>
      </c>
      <c r="C64" s="3" t="s">
        <v>15</v>
      </c>
      <c r="D64" s="12">
        <v>29350000</v>
      </c>
      <c r="E64" s="4">
        <v>0.11</v>
      </c>
      <c r="F64" s="2"/>
    </row>
    <row r="65" spans="1:6" x14ac:dyDescent="0.25">
      <c r="A65" s="9" t="s">
        <v>8</v>
      </c>
      <c r="B65" s="11">
        <f t="shared" si="2"/>
        <v>29350000</v>
      </c>
      <c r="C65" s="3" t="s">
        <v>15</v>
      </c>
      <c r="D65" s="12">
        <v>31450000</v>
      </c>
      <c r="E65" s="4">
        <v>0.12</v>
      </c>
      <c r="F65" s="2"/>
    </row>
    <row r="66" spans="1:6" x14ac:dyDescent="0.25">
      <c r="A66" s="9" t="s">
        <v>8</v>
      </c>
      <c r="B66" s="11">
        <f t="shared" si="2"/>
        <v>31450000</v>
      </c>
      <c r="C66" s="3" t="s">
        <v>15</v>
      </c>
      <c r="D66" s="12">
        <v>33950000</v>
      </c>
      <c r="E66" s="4">
        <v>0.13</v>
      </c>
      <c r="F66" s="2"/>
    </row>
    <row r="67" spans="1:6" x14ac:dyDescent="0.25">
      <c r="A67" s="9" t="s">
        <v>8</v>
      </c>
      <c r="B67" s="11">
        <f t="shared" si="2"/>
        <v>33950000</v>
      </c>
      <c r="C67" s="3" t="s">
        <v>15</v>
      </c>
      <c r="D67" s="12">
        <v>37100000</v>
      </c>
      <c r="E67" s="4">
        <v>0.14000000000000001</v>
      </c>
      <c r="F67" s="2"/>
    </row>
    <row r="68" spans="1:6" x14ac:dyDescent="0.25">
      <c r="A68" s="9" t="s">
        <v>8</v>
      </c>
      <c r="B68" s="11">
        <f t="shared" si="2"/>
        <v>37100000</v>
      </c>
      <c r="C68" s="3" t="s">
        <v>15</v>
      </c>
      <c r="D68" s="12">
        <v>41100000</v>
      </c>
      <c r="E68" s="4">
        <v>0.15</v>
      </c>
      <c r="F68" s="2"/>
    </row>
    <row r="69" spans="1:6" x14ac:dyDescent="0.25">
      <c r="A69" s="9" t="s">
        <v>8</v>
      </c>
      <c r="B69" s="11">
        <f t="shared" si="2"/>
        <v>41100000</v>
      </c>
      <c r="C69" s="3" t="s">
        <v>15</v>
      </c>
      <c r="D69" s="12">
        <v>45800000</v>
      </c>
      <c r="E69" s="4">
        <v>0.16</v>
      </c>
      <c r="F69" s="2"/>
    </row>
    <row r="70" spans="1:6" x14ac:dyDescent="0.25">
      <c r="A70" s="9" t="s">
        <v>8</v>
      </c>
      <c r="B70" s="11">
        <f t="shared" si="2"/>
        <v>45800000</v>
      </c>
      <c r="C70" s="3" t="s">
        <v>15</v>
      </c>
      <c r="D70" s="12">
        <v>49500000</v>
      </c>
      <c r="E70" s="4">
        <v>0.17</v>
      </c>
      <c r="F70" s="2"/>
    </row>
    <row r="71" spans="1:6" x14ac:dyDescent="0.25">
      <c r="A71" s="9" t="s">
        <v>8</v>
      </c>
      <c r="B71" s="11">
        <f t="shared" ref="B71:B127" si="3">D70</f>
        <v>49500000</v>
      </c>
      <c r="C71" s="3" t="s">
        <v>15</v>
      </c>
      <c r="D71" s="12">
        <v>53800000</v>
      </c>
      <c r="E71" s="4">
        <v>0.18</v>
      </c>
      <c r="F71" s="2"/>
    </row>
    <row r="72" spans="1:6" x14ac:dyDescent="0.25">
      <c r="A72" s="9" t="s">
        <v>8</v>
      </c>
      <c r="B72" s="11">
        <f t="shared" si="3"/>
        <v>53800000</v>
      </c>
      <c r="C72" s="3" t="s">
        <v>15</v>
      </c>
      <c r="D72" s="12">
        <v>58500000</v>
      </c>
      <c r="E72" s="4">
        <v>0.19</v>
      </c>
      <c r="F72" s="2"/>
    </row>
    <row r="73" spans="1:6" x14ac:dyDescent="0.25">
      <c r="A73" s="9" t="s">
        <v>8</v>
      </c>
      <c r="B73" s="11">
        <f t="shared" si="3"/>
        <v>58500000</v>
      </c>
      <c r="C73" s="3" t="s">
        <v>15</v>
      </c>
      <c r="D73" s="12">
        <v>64000000</v>
      </c>
      <c r="E73" s="4">
        <v>0.2</v>
      </c>
      <c r="F73" s="2"/>
    </row>
    <row r="74" spans="1:6" x14ac:dyDescent="0.25">
      <c r="A74" s="9" t="s">
        <v>8</v>
      </c>
      <c r="B74" s="11">
        <f t="shared" si="3"/>
        <v>64000000</v>
      </c>
      <c r="C74" s="3" t="s">
        <v>15</v>
      </c>
      <c r="D74" s="12">
        <v>71000000</v>
      </c>
      <c r="E74" s="4">
        <v>0.21</v>
      </c>
      <c r="F74" s="2"/>
    </row>
    <row r="75" spans="1:6" x14ac:dyDescent="0.25">
      <c r="A75" s="9" t="s">
        <v>8</v>
      </c>
      <c r="B75" s="11">
        <f t="shared" si="3"/>
        <v>71000000</v>
      </c>
      <c r="C75" s="3" t="s">
        <v>15</v>
      </c>
      <c r="D75" s="12">
        <v>80000000</v>
      </c>
      <c r="E75" s="4">
        <v>0.22</v>
      </c>
      <c r="F75" s="2"/>
    </row>
    <row r="76" spans="1:6" x14ac:dyDescent="0.25">
      <c r="A76" s="9" t="s">
        <v>8</v>
      </c>
      <c r="B76" s="11">
        <f t="shared" si="3"/>
        <v>80000000</v>
      </c>
      <c r="C76" s="3" t="s">
        <v>15</v>
      </c>
      <c r="D76" s="12">
        <v>93000000</v>
      </c>
      <c r="E76" s="4">
        <v>0.23</v>
      </c>
      <c r="F76" s="2"/>
    </row>
    <row r="77" spans="1:6" x14ac:dyDescent="0.25">
      <c r="A77" s="9" t="s">
        <v>8</v>
      </c>
      <c r="B77" s="11">
        <f t="shared" si="3"/>
        <v>93000000</v>
      </c>
      <c r="C77" s="3" t="s">
        <v>15</v>
      </c>
      <c r="D77" s="12">
        <v>109000000</v>
      </c>
      <c r="E77" s="4">
        <v>0.24</v>
      </c>
      <c r="F77" s="2"/>
    </row>
    <row r="78" spans="1:6" x14ac:dyDescent="0.25">
      <c r="A78" s="9" t="s">
        <v>8</v>
      </c>
      <c r="B78" s="11">
        <f t="shared" si="3"/>
        <v>109000000</v>
      </c>
      <c r="C78" s="3" t="s">
        <v>15</v>
      </c>
      <c r="D78" s="12">
        <v>129000000</v>
      </c>
      <c r="E78" s="4">
        <v>0.25</v>
      </c>
      <c r="F78" s="2"/>
    </row>
    <row r="79" spans="1:6" x14ac:dyDescent="0.25">
      <c r="A79" s="9" t="s">
        <v>8</v>
      </c>
      <c r="B79" s="11">
        <f t="shared" si="3"/>
        <v>129000000</v>
      </c>
      <c r="C79" s="3" t="s">
        <v>15</v>
      </c>
      <c r="D79" s="12">
        <v>163000000</v>
      </c>
      <c r="E79" s="4">
        <v>0.26</v>
      </c>
      <c r="F79" s="2"/>
    </row>
    <row r="80" spans="1:6" x14ac:dyDescent="0.25">
      <c r="A80" s="9" t="s">
        <v>8</v>
      </c>
      <c r="B80" s="11">
        <f t="shared" si="3"/>
        <v>163000000</v>
      </c>
      <c r="C80" s="3" t="s">
        <v>15</v>
      </c>
      <c r="D80" s="12">
        <v>211000000</v>
      </c>
      <c r="E80" s="4">
        <v>0.27</v>
      </c>
      <c r="F80" s="2"/>
    </row>
    <row r="81" spans="1:6" x14ac:dyDescent="0.25">
      <c r="A81" s="9" t="s">
        <v>8</v>
      </c>
      <c r="B81" s="11">
        <f t="shared" si="3"/>
        <v>211000000</v>
      </c>
      <c r="C81" s="3" t="s">
        <v>15</v>
      </c>
      <c r="D81" s="12">
        <v>374000000</v>
      </c>
      <c r="E81" s="4">
        <v>0.28000000000000003</v>
      </c>
      <c r="F81" s="2"/>
    </row>
    <row r="82" spans="1:6" x14ac:dyDescent="0.25">
      <c r="A82" s="9" t="s">
        <v>8</v>
      </c>
      <c r="B82" s="11">
        <f t="shared" si="3"/>
        <v>374000000</v>
      </c>
      <c r="C82" s="3" t="s">
        <v>15</v>
      </c>
      <c r="D82" s="12">
        <v>459000000</v>
      </c>
      <c r="E82" s="4">
        <v>0.28999999999999998</v>
      </c>
      <c r="F82" s="2"/>
    </row>
    <row r="83" spans="1:6" x14ac:dyDescent="0.25">
      <c r="A83" s="9" t="s">
        <v>8</v>
      </c>
      <c r="B83" s="11">
        <f t="shared" si="3"/>
        <v>459000000</v>
      </c>
      <c r="C83" s="3" t="s">
        <v>15</v>
      </c>
      <c r="D83" s="12">
        <v>555000000</v>
      </c>
      <c r="E83" s="4">
        <v>0.3</v>
      </c>
      <c r="F83" s="2"/>
    </row>
    <row r="84" spans="1:6" x14ac:dyDescent="0.25">
      <c r="A84" s="9" t="s">
        <v>8</v>
      </c>
      <c r="B84" s="11">
        <f t="shared" si="3"/>
        <v>555000000</v>
      </c>
      <c r="C84" s="3" t="s">
        <v>15</v>
      </c>
      <c r="D84" s="12">
        <v>704000000</v>
      </c>
      <c r="E84" s="4">
        <v>0.31</v>
      </c>
      <c r="F84" s="2"/>
    </row>
    <row r="85" spans="1:6" x14ac:dyDescent="0.25">
      <c r="A85" s="9" t="s">
        <v>8</v>
      </c>
      <c r="B85" s="11">
        <f t="shared" si="3"/>
        <v>704000000</v>
      </c>
      <c r="C85" s="3" t="s">
        <v>15</v>
      </c>
      <c r="D85" s="12">
        <v>957000000</v>
      </c>
      <c r="E85" s="4">
        <v>0.32</v>
      </c>
      <c r="F85" s="2"/>
    </row>
    <row r="86" spans="1:6" x14ac:dyDescent="0.25">
      <c r="A86" s="9" t="s">
        <v>8</v>
      </c>
      <c r="B86" s="11">
        <f t="shared" si="3"/>
        <v>957000000</v>
      </c>
      <c r="C86" s="3" t="s">
        <v>15</v>
      </c>
      <c r="D86" s="12">
        <v>1405000000</v>
      </c>
      <c r="E86" s="4">
        <v>0.33</v>
      </c>
      <c r="F86" s="2"/>
    </row>
    <row r="87" spans="1:6" x14ac:dyDescent="0.25">
      <c r="A87" s="9" t="s">
        <v>8</v>
      </c>
      <c r="B87" s="15">
        <v>1400000000</v>
      </c>
      <c r="C87" s="3" t="s">
        <v>15</v>
      </c>
      <c r="D87" s="16">
        <v>1000000000000</v>
      </c>
      <c r="E87" s="4">
        <v>0.34</v>
      </c>
      <c r="F87" s="2"/>
    </row>
    <row r="88" spans="1:6" x14ac:dyDescent="0.25">
      <c r="A88" s="9" t="s">
        <v>9</v>
      </c>
      <c r="B88" s="11">
        <v>0</v>
      </c>
      <c r="C88" s="3" t="s">
        <v>15</v>
      </c>
      <c r="D88" s="12">
        <v>6600000</v>
      </c>
      <c r="E88" s="4">
        <v>0</v>
      </c>
      <c r="F88" s="2"/>
    </row>
    <row r="89" spans="1:6" x14ac:dyDescent="0.25">
      <c r="A89" s="9" t="s">
        <v>9</v>
      </c>
      <c r="B89" s="11">
        <f t="shared" si="3"/>
        <v>6600000</v>
      </c>
      <c r="C89" s="3" t="s">
        <v>15</v>
      </c>
      <c r="D89" s="12">
        <v>6950000</v>
      </c>
      <c r="E89" s="5">
        <v>2.5000000000000001E-3</v>
      </c>
      <c r="F89" s="1"/>
    </row>
    <row r="90" spans="1:6" x14ac:dyDescent="0.25">
      <c r="A90" s="9" t="s">
        <v>9</v>
      </c>
      <c r="B90" s="11">
        <f t="shared" si="3"/>
        <v>6950000</v>
      </c>
      <c r="C90" s="3" t="s">
        <v>15</v>
      </c>
      <c r="D90" s="12">
        <v>7350000</v>
      </c>
      <c r="E90" s="5">
        <v>5.0000000000000001E-3</v>
      </c>
      <c r="F90" s="1"/>
    </row>
    <row r="91" spans="1:6" x14ac:dyDescent="0.25">
      <c r="A91" s="9" t="s">
        <v>9</v>
      </c>
      <c r="B91" s="11">
        <f t="shared" si="3"/>
        <v>7350000</v>
      </c>
      <c r="C91" s="3" t="s">
        <v>15</v>
      </c>
      <c r="D91" s="12">
        <v>7800000</v>
      </c>
      <c r="E91" s="5">
        <v>7.4999999999999997E-3</v>
      </c>
      <c r="F91" s="1"/>
    </row>
    <row r="92" spans="1:6" x14ac:dyDescent="0.25">
      <c r="A92" s="9" t="s">
        <v>9</v>
      </c>
      <c r="B92" s="11">
        <f t="shared" si="3"/>
        <v>7800000</v>
      </c>
      <c r="C92" s="3" t="s">
        <v>15</v>
      </c>
      <c r="D92" s="12">
        <v>8850000</v>
      </c>
      <c r="E92" s="4">
        <v>0.01</v>
      </c>
      <c r="F92" s="2"/>
    </row>
    <row r="93" spans="1:6" x14ac:dyDescent="0.25">
      <c r="A93" s="9" t="s">
        <v>9</v>
      </c>
      <c r="B93" s="11">
        <f t="shared" si="3"/>
        <v>8850000</v>
      </c>
      <c r="C93" s="3" t="s">
        <v>15</v>
      </c>
      <c r="D93" s="12">
        <v>9800000</v>
      </c>
      <c r="E93" s="5">
        <v>1.2500000000000001E-2</v>
      </c>
      <c r="F93" s="1"/>
    </row>
    <row r="94" spans="1:6" x14ac:dyDescent="0.25">
      <c r="A94" s="9" t="s">
        <v>9</v>
      </c>
      <c r="B94" s="11">
        <f t="shared" si="3"/>
        <v>9800000</v>
      </c>
      <c r="C94" s="3" t="s">
        <v>15</v>
      </c>
      <c r="D94" s="12">
        <v>10950000</v>
      </c>
      <c r="E94" s="5">
        <v>1.4999999999999999E-2</v>
      </c>
      <c r="F94" s="1"/>
    </row>
    <row r="95" spans="1:6" x14ac:dyDescent="0.25">
      <c r="A95" s="9" t="s">
        <v>9</v>
      </c>
      <c r="B95" s="11">
        <f t="shared" si="3"/>
        <v>10950000</v>
      </c>
      <c r="C95" s="3" t="s">
        <v>15</v>
      </c>
      <c r="D95" s="12">
        <v>11200000</v>
      </c>
      <c r="E95" s="5">
        <v>1.7500000000000002E-2</v>
      </c>
      <c r="F95" s="1"/>
    </row>
    <row r="96" spans="1:6" x14ac:dyDescent="0.25">
      <c r="A96" s="9" t="s">
        <v>9</v>
      </c>
      <c r="B96" s="11">
        <f t="shared" si="3"/>
        <v>11200000</v>
      </c>
      <c r="C96" s="3" t="s">
        <v>15</v>
      </c>
      <c r="D96" s="12">
        <v>12050000</v>
      </c>
      <c r="E96" s="4">
        <v>0.02</v>
      </c>
      <c r="F96" s="2"/>
    </row>
    <row r="97" spans="1:6" x14ac:dyDescent="0.25">
      <c r="A97" s="9" t="s">
        <v>9</v>
      </c>
      <c r="B97" s="11">
        <f t="shared" si="3"/>
        <v>12050000</v>
      </c>
      <c r="C97" s="3" t="s">
        <v>15</v>
      </c>
      <c r="D97" s="12">
        <v>12950000</v>
      </c>
      <c r="E97" s="4">
        <v>0.03</v>
      </c>
      <c r="F97" s="2"/>
    </row>
    <row r="98" spans="1:6" x14ac:dyDescent="0.25">
      <c r="A98" s="9" t="s">
        <v>9</v>
      </c>
      <c r="B98" s="11">
        <f t="shared" si="3"/>
        <v>12950000</v>
      </c>
      <c r="C98" s="3" t="s">
        <v>15</v>
      </c>
      <c r="D98" s="12">
        <v>14150000</v>
      </c>
      <c r="E98" s="4">
        <v>0.04</v>
      </c>
      <c r="F98" s="2"/>
    </row>
    <row r="99" spans="1:6" x14ac:dyDescent="0.25">
      <c r="A99" s="9" t="s">
        <v>9</v>
      </c>
      <c r="B99" s="11">
        <f t="shared" si="3"/>
        <v>14150000</v>
      </c>
      <c r="C99" s="3" t="s">
        <v>15</v>
      </c>
      <c r="D99" s="12">
        <v>15550000</v>
      </c>
      <c r="E99" s="4">
        <v>0.05</v>
      </c>
      <c r="F99" s="2"/>
    </row>
    <row r="100" spans="1:6" x14ac:dyDescent="0.25">
      <c r="A100" s="9" t="s">
        <v>9</v>
      </c>
      <c r="B100" s="11">
        <f t="shared" si="3"/>
        <v>15550000</v>
      </c>
      <c r="C100" s="3" t="s">
        <v>15</v>
      </c>
      <c r="D100" s="12">
        <v>17050000</v>
      </c>
      <c r="E100" s="4">
        <v>0.06</v>
      </c>
      <c r="F100" s="2"/>
    </row>
    <row r="101" spans="1:6" x14ac:dyDescent="0.25">
      <c r="A101" s="9" t="s">
        <v>9</v>
      </c>
      <c r="B101" s="11">
        <f t="shared" si="3"/>
        <v>17050000</v>
      </c>
      <c r="C101" s="3" t="s">
        <v>15</v>
      </c>
      <c r="D101" s="12">
        <v>19500000</v>
      </c>
      <c r="E101" s="4">
        <v>7.0000000000000007E-2</v>
      </c>
      <c r="F101" s="2"/>
    </row>
    <row r="102" spans="1:6" x14ac:dyDescent="0.25">
      <c r="A102" s="9" t="s">
        <v>9</v>
      </c>
      <c r="B102" s="11">
        <f t="shared" si="3"/>
        <v>19500000</v>
      </c>
      <c r="C102" s="3" t="s">
        <v>15</v>
      </c>
      <c r="D102" s="12">
        <v>22700000</v>
      </c>
      <c r="E102" s="4">
        <v>0.08</v>
      </c>
      <c r="F102" s="2"/>
    </row>
    <row r="103" spans="1:6" x14ac:dyDescent="0.25">
      <c r="A103" s="9" t="s">
        <v>9</v>
      </c>
      <c r="B103" s="11">
        <f t="shared" si="3"/>
        <v>22700000</v>
      </c>
      <c r="C103" s="3" t="s">
        <v>15</v>
      </c>
      <c r="D103" s="12">
        <v>26600000</v>
      </c>
      <c r="E103" s="4">
        <v>0.09</v>
      </c>
      <c r="F103" s="2"/>
    </row>
    <row r="104" spans="1:6" x14ac:dyDescent="0.25">
      <c r="A104" s="9" t="s">
        <v>9</v>
      </c>
      <c r="B104" s="11">
        <f t="shared" si="3"/>
        <v>26600000</v>
      </c>
      <c r="C104" s="3" t="s">
        <v>15</v>
      </c>
      <c r="D104" s="12">
        <v>28100000</v>
      </c>
      <c r="E104" s="4">
        <v>0.1</v>
      </c>
      <c r="F104" s="2"/>
    </row>
    <row r="105" spans="1:6" x14ac:dyDescent="0.25">
      <c r="A105" s="9" t="s">
        <v>9</v>
      </c>
      <c r="B105" s="11">
        <f t="shared" si="3"/>
        <v>28100000</v>
      </c>
      <c r="C105" s="3" t="s">
        <v>15</v>
      </c>
      <c r="D105" s="12">
        <v>30100000</v>
      </c>
      <c r="E105" s="4">
        <v>0.11</v>
      </c>
      <c r="F105" s="2"/>
    </row>
    <row r="106" spans="1:6" x14ac:dyDescent="0.25">
      <c r="A106" s="9" t="s">
        <v>9</v>
      </c>
      <c r="B106" s="11">
        <f t="shared" si="3"/>
        <v>30100000</v>
      </c>
      <c r="C106" s="3" t="s">
        <v>15</v>
      </c>
      <c r="D106" s="12">
        <v>32600000</v>
      </c>
      <c r="E106" s="4">
        <v>0.12</v>
      </c>
      <c r="F106" s="2"/>
    </row>
    <row r="107" spans="1:6" x14ac:dyDescent="0.25">
      <c r="A107" s="9" t="s">
        <v>9</v>
      </c>
      <c r="B107" s="11">
        <f t="shared" si="3"/>
        <v>32600000</v>
      </c>
      <c r="C107" s="3" t="s">
        <v>15</v>
      </c>
      <c r="D107" s="12">
        <v>35400000</v>
      </c>
      <c r="E107" s="4">
        <v>0.13</v>
      </c>
      <c r="F107" s="2"/>
    </row>
    <row r="108" spans="1:6" x14ac:dyDescent="0.25">
      <c r="A108" s="9" t="s">
        <v>9</v>
      </c>
      <c r="B108" s="11">
        <f t="shared" si="3"/>
        <v>35400000</v>
      </c>
      <c r="C108" s="3" t="s">
        <v>15</v>
      </c>
      <c r="D108" s="12">
        <v>38900000</v>
      </c>
      <c r="E108" s="4">
        <v>0.14000000000000001</v>
      </c>
      <c r="F108" s="2"/>
    </row>
    <row r="109" spans="1:6" x14ac:dyDescent="0.25">
      <c r="A109" s="9" t="s">
        <v>9</v>
      </c>
      <c r="B109" s="11">
        <f t="shared" si="3"/>
        <v>38900000</v>
      </c>
      <c r="C109" s="3" t="s">
        <v>15</v>
      </c>
      <c r="D109" s="12">
        <v>43000000</v>
      </c>
      <c r="E109" s="4">
        <v>0.15</v>
      </c>
      <c r="F109" s="2"/>
    </row>
    <row r="110" spans="1:6" x14ac:dyDescent="0.25">
      <c r="A110" s="9" t="s">
        <v>9</v>
      </c>
      <c r="B110" s="11">
        <f t="shared" si="3"/>
        <v>43000000</v>
      </c>
      <c r="C110" s="3" t="s">
        <v>15</v>
      </c>
      <c r="D110" s="12">
        <v>47400000</v>
      </c>
      <c r="E110" s="4">
        <v>0.16</v>
      </c>
      <c r="F110" s="2"/>
    </row>
    <row r="111" spans="1:6" x14ac:dyDescent="0.25">
      <c r="A111" s="9" t="s">
        <v>9</v>
      </c>
      <c r="B111" s="11">
        <f t="shared" si="3"/>
        <v>47400000</v>
      </c>
      <c r="C111" s="3" t="s">
        <v>15</v>
      </c>
      <c r="D111" s="12">
        <v>51200000</v>
      </c>
      <c r="E111" s="4">
        <v>0.17</v>
      </c>
      <c r="F111" s="2"/>
    </row>
    <row r="112" spans="1:6" x14ac:dyDescent="0.25">
      <c r="A112" s="9" t="s">
        <v>9</v>
      </c>
      <c r="B112" s="11">
        <f t="shared" si="3"/>
        <v>51200000</v>
      </c>
      <c r="C112" s="3" t="s">
        <v>15</v>
      </c>
      <c r="D112" s="12">
        <v>55800000</v>
      </c>
      <c r="E112" s="4">
        <v>0.18</v>
      </c>
      <c r="F112" s="2"/>
    </row>
    <row r="113" spans="1:6" x14ac:dyDescent="0.25">
      <c r="A113" s="9" t="s">
        <v>9</v>
      </c>
      <c r="B113" s="11">
        <f t="shared" si="3"/>
        <v>55800000</v>
      </c>
      <c r="C113" s="3" t="s">
        <v>15</v>
      </c>
      <c r="D113" s="12">
        <v>60400000</v>
      </c>
      <c r="E113" s="4">
        <v>0.19</v>
      </c>
      <c r="F113" s="2"/>
    </row>
    <row r="114" spans="1:6" x14ac:dyDescent="0.25">
      <c r="A114" s="9" t="s">
        <v>9</v>
      </c>
      <c r="B114" s="11">
        <f t="shared" si="3"/>
        <v>60400000</v>
      </c>
      <c r="C114" s="3" t="s">
        <v>15</v>
      </c>
      <c r="D114" s="12">
        <v>66700000</v>
      </c>
      <c r="E114" s="4">
        <v>0.2</v>
      </c>
      <c r="F114" s="2"/>
    </row>
    <row r="115" spans="1:6" x14ac:dyDescent="0.25">
      <c r="A115" s="9" t="s">
        <v>9</v>
      </c>
      <c r="B115" s="11">
        <f t="shared" si="3"/>
        <v>66700000</v>
      </c>
      <c r="C115" s="3" t="s">
        <v>15</v>
      </c>
      <c r="D115" s="12">
        <v>74500000</v>
      </c>
      <c r="E115" s="4">
        <v>0.21</v>
      </c>
      <c r="F115" s="2"/>
    </row>
    <row r="116" spans="1:6" x14ac:dyDescent="0.25">
      <c r="A116" s="9" t="s">
        <v>9</v>
      </c>
      <c r="B116" s="11">
        <f t="shared" si="3"/>
        <v>74500000</v>
      </c>
      <c r="C116" s="3" t="s">
        <v>15</v>
      </c>
      <c r="D116" s="12">
        <v>83200000</v>
      </c>
      <c r="E116" s="4">
        <v>0.22</v>
      </c>
      <c r="F116" s="2"/>
    </row>
    <row r="117" spans="1:6" x14ac:dyDescent="0.25">
      <c r="A117" s="9" t="s">
        <v>9</v>
      </c>
      <c r="B117" s="11">
        <f t="shared" si="3"/>
        <v>83200000</v>
      </c>
      <c r="C117" s="3" t="s">
        <v>15</v>
      </c>
      <c r="D117" s="12">
        <v>95600000</v>
      </c>
      <c r="E117" s="4">
        <v>0.23</v>
      </c>
      <c r="F117" s="2"/>
    </row>
    <row r="118" spans="1:6" x14ac:dyDescent="0.25">
      <c r="A118" s="9" t="s">
        <v>9</v>
      </c>
      <c r="B118" s="11">
        <f t="shared" si="3"/>
        <v>95600000</v>
      </c>
      <c r="C118" s="3" t="s">
        <v>15</v>
      </c>
      <c r="D118" s="12">
        <v>110000000</v>
      </c>
      <c r="E118" s="4">
        <v>0.24</v>
      </c>
      <c r="F118" s="2"/>
    </row>
    <row r="119" spans="1:6" x14ac:dyDescent="0.25">
      <c r="A119" s="9" t="s">
        <v>9</v>
      </c>
      <c r="B119" s="11">
        <f t="shared" si="3"/>
        <v>110000000</v>
      </c>
      <c r="C119" s="3" t="s">
        <v>15</v>
      </c>
      <c r="D119" s="12">
        <v>134000000</v>
      </c>
      <c r="E119" s="4">
        <v>0.25</v>
      </c>
      <c r="F119" s="2"/>
    </row>
    <row r="120" spans="1:6" x14ac:dyDescent="0.25">
      <c r="A120" s="9" t="s">
        <v>9</v>
      </c>
      <c r="B120" s="11">
        <f t="shared" si="3"/>
        <v>134000000</v>
      </c>
      <c r="C120" s="3" t="s">
        <v>15</v>
      </c>
      <c r="D120" s="12">
        <v>169000000</v>
      </c>
      <c r="E120" s="4">
        <v>0.26</v>
      </c>
      <c r="F120" s="2"/>
    </row>
    <row r="121" spans="1:6" x14ac:dyDescent="0.25">
      <c r="A121" s="9" t="s">
        <v>9</v>
      </c>
      <c r="B121" s="11">
        <f t="shared" si="3"/>
        <v>169000000</v>
      </c>
      <c r="C121" s="3" t="s">
        <v>15</v>
      </c>
      <c r="D121" s="12">
        <v>221000000</v>
      </c>
      <c r="E121" s="4">
        <v>0.27</v>
      </c>
      <c r="F121" s="2"/>
    </row>
    <row r="122" spans="1:6" x14ac:dyDescent="0.25">
      <c r="A122" s="9" t="s">
        <v>9</v>
      </c>
      <c r="B122" s="11">
        <f t="shared" si="3"/>
        <v>221000000</v>
      </c>
      <c r="C122" s="3" t="s">
        <v>15</v>
      </c>
      <c r="D122" s="12">
        <v>390000000</v>
      </c>
      <c r="E122" s="4">
        <v>0.28000000000000003</v>
      </c>
      <c r="F122" s="2"/>
    </row>
    <row r="123" spans="1:6" x14ac:dyDescent="0.25">
      <c r="A123" s="9" t="s">
        <v>9</v>
      </c>
      <c r="B123" s="11">
        <f t="shared" si="3"/>
        <v>390000000</v>
      </c>
      <c r="C123" s="3" t="s">
        <v>15</v>
      </c>
      <c r="D123" s="12">
        <v>463000000</v>
      </c>
      <c r="E123" s="4">
        <v>0.28999999999999998</v>
      </c>
      <c r="F123" s="2"/>
    </row>
    <row r="124" spans="1:6" x14ac:dyDescent="0.25">
      <c r="A124" s="9" t="s">
        <v>9</v>
      </c>
      <c r="B124" s="11">
        <f t="shared" si="3"/>
        <v>463000000</v>
      </c>
      <c r="C124" s="3" t="s">
        <v>15</v>
      </c>
      <c r="D124" s="12">
        <v>561000000</v>
      </c>
      <c r="E124" s="4">
        <v>0.3</v>
      </c>
      <c r="F124" s="2"/>
    </row>
    <row r="125" spans="1:6" x14ac:dyDescent="0.25">
      <c r="A125" s="9" t="s">
        <v>9</v>
      </c>
      <c r="B125" s="11">
        <f t="shared" si="3"/>
        <v>561000000</v>
      </c>
      <c r="C125" s="3" t="s">
        <v>15</v>
      </c>
      <c r="D125" s="12">
        <v>709000000</v>
      </c>
      <c r="E125" s="4">
        <v>0.31</v>
      </c>
      <c r="F125" s="2"/>
    </row>
    <row r="126" spans="1:6" x14ac:dyDescent="0.25">
      <c r="A126" s="9" t="s">
        <v>9</v>
      </c>
      <c r="B126" s="11">
        <f t="shared" si="3"/>
        <v>709000000</v>
      </c>
      <c r="C126" s="3" t="s">
        <v>15</v>
      </c>
      <c r="D126" s="12">
        <v>965000000</v>
      </c>
      <c r="E126" s="4">
        <v>0.32</v>
      </c>
      <c r="F126" s="2"/>
    </row>
    <row r="127" spans="1:6" x14ac:dyDescent="0.25">
      <c r="A127" s="9" t="s">
        <v>9</v>
      </c>
      <c r="B127" s="11">
        <f t="shared" si="3"/>
        <v>965000000</v>
      </c>
      <c r="C127" s="3" t="s">
        <v>15</v>
      </c>
      <c r="D127" s="12">
        <v>1419000000</v>
      </c>
      <c r="E127" s="4">
        <v>0.33</v>
      </c>
      <c r="F127" s="2"/>
    </row>
    <row r="128" spans="1:6" ht="15.75" thickBot="1" x14ac:dyDescent="0.3">
      <c r="A128" s="10" t="s">
        <v>9</v>
      </c>
      <c r="B128" s="15">
        <v>1400000000</v>
      </c>
      <c r="C128" s="3" t="s">
        <v>15</v>
      </c>
      <c r="D128" s="16">
        <v>1000000000000</v>
      </c>
      <c r="E128" s="6">
        <v>0.34</v>
      </c>
      <c r="F128" s="2"/>
    </row>
  </sheetData>
  <mergeCells count="1">
    <mergeCell ref="B3:D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K s k W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Y q y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K s k W C i K R 7 g O A A A A E Q A A A B M A H A B G b 3 J t d W x h c y 9 T Z W N 0 a W 9 u M S 5 t I K I Y A C i g F A A A A A A A A A A A A A A A A A A A A A A A A A A A A C t O T S 7 J z M 9 T C I b Q h t Y A U E s B A i 0 A F A A C A A g A G K s k W O n 8 W i q m A A A A + A A A A B I A A A A A A A A A A A A A A A A A A A A A A E N v b m Z p Z y 9 Q Y W N r Y W d l L n h t b F B L A Q I t A B Q A A g A I A B i r J F g P y u m r p A A A A O k A A A A T A A A A A A A A A A A A A A A A A P I A A A B b Q 2 9 u d G V u d F 9 U e X B l c 1 0 u e G 1 s U E s B A i 0 A F A A C A A g A G K s k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L z 8 l y L I H 5 N i R N m t L R F Q j Y A A A A A A g A A A A A A E G Y A A A A B A A A g A A A A I c O + y X T r o M V w v 8 X p C b W q 0 B j M C 9 u R i e V Z u x t 0 S O 1 X O V g A A A A A D o A A A A A C A A A g A A A A T x U 6 t e i S 1 Y j u K + n K A + f o X q X Y Q I o t l X 1 e e O E t T y F o G s d Q A A A A J O X C N l 7 E W g + 5 s J / M T e z 6 x z c v t 6 l H I E 3 i l c 3 l 9 S k h + G r q L A 5 Q g 7 t j c o u m V r v d A M P 0 q c r + g o e F C w u W 4 v O 7 f 8 V u 8 1 c 5 u v l n M z C J k J L Q 5 w d 6 J a B A A A A A Q d 5 2 K / D 5 Q C 3 / n e j 5 3 h 6 U V 0 3 H 7 4 g Y T W a X d 8 L O / Q 8 / E x r h 9 C i P 6 z 1 o s r a u r 0 J w y G C T T c J I 2 e C 5 Y / F j E Z B 4 n w 3 q a w = = < / D a t a M a s h u p > 
</file>

<file path=customXml/itemProps1.xml><?xml version="1.0" encoding="utf-8"?>
<ds:datastoreItem xmlns:ds="http://schemas.openxmlformats.org/officeDocument/2006/customXml" ds:itemID="{311EEC09-EAA6-4508-A431-2C8A7A81C7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MasterKaryawan</vt:lpstr>
      <vt:lpstr>PPh21</vt:lpstr>
      <vt:lpstr>DaftarTarifEfektif</vt:lpstr>
      <vt:lpstr>JenisPTKP</vt:lpstr>
      <vt:lpstr>LapisanPPh21</vt:lpstr>
      <vt:lpstr>MasterKaryawan</vt:lpstr>
      <vt:lpstr>PTKP</vt:lpstr>
      <vt:lpstr>TER</vt:lpstr>
      <vt:lpstr>TERA</vt:lpstr>
      <vt:lpstr>TERB</vt:lpstr>
      <vt:lpstr>TERC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10051065</dc:creator>
  <cp:lastModifiedBy>hendra</cp:lastModifiedBy>
  <dcterms:created xsi:type="dcterms:W3CDTF">2023-12-29T02:10:28Z</dcterms:created>
  <dcterms:modified xsi:type="dcterms:W3CDTF">2024-02-05T14:27:40Z</dcterms:modified>
</cp:coreProperties>
</file>