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bones\Downloads\"/>
    </mc:Choice>
  </mc:AlternateContent>
  <bookViews>
    <workbookView xWindow="0" yWindow="0" windowWidth="16815" windowHeight="7500" firstSheet="7" activeTab="10"/>
  </bookViews>
  <sheets>
    <sheet name="Budget" sheetId="1" r:id="rId1"/>
    <sheet name="T-shirt vendor" sheetId="2" r:id="rId2"/>
    <sheet name="Annual price" sheetId="4" r:id="rId3"/>
    <sheet name="Exercise 1" sheetId="5" r:id="rId4"/>
    <sheet name="what if analysis" sheetId="6" r:id="rId5"/>
    <sheet name="exercise 2" sheetId="7" r:id="rId6"/>
    <sheet name="Sheet2" sheetId="8" r:id="rId7"/>
    <sheet name="Sheet1" sheetId="9" r:id="rId8"/>
    <sheet name="Sheet3" sheetId="10" r:id="rId9"/>
    <sheet name="The hole" sheetId="11" r:id="rId10"/>
    <sheet name="Trenline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1" l="1"/>
  <c r="C41" i="11" s="1"/>
  <c r="C44" i="11" s="1"/>
  <c r="H23" i="11"/>
  <c r="H27" i="11"/>
  <c r="H31" i="11"/>
  <c r="G23" i="11"/>
  <c r="G27" i="11"/>
  <c r="G31" i="11"/>
  <c r="D23" i="11"/>
  <c r="D24" i="11"/>
  <c r="H24" i="11" s="1"/>
  <c r="D25" i="11"/>
  <c r="H25" i="11" s="1"/>
  <c r="D26" i="11"/>
  <c r="H26" i="11" s="1"/>
  <c r="D27" i="11"/>
  <c r="D28" i="11"/>
  <c r="H28" i="11" s="1"/>
  <c r="D29" i="11"/>
  <c r="H29" i="11" s="1"/>
  <c r="D30" i="11"/>
  <c r="H30" i="11" s="1"/>
  <c r="D31" i="11"/>
  <c r="D32" i="11"/>
  <c r="H32" i="11" s="1"/>
  <c r="D33" i="11"/>
  <c r="H33" i="11" s="1"/>
  <c r="D22" i="11"/>
  <c r="H22" i="11" s="1"/>
  <c r="H34" i="11" s="1"/>
  <c r="C23" i="11"/>
  <c r="C24" i="11"/>
  <c r="G24" i="11" s="1"/>
  <c r="C25" i="11"/>
  <c r="G25" i="11" s="1"/>
  <c r="C26" i="11"/>
  <c r="G26" i="11" s="1"/>
  <c r="C27" i="11"/>
  <c r="C28" i="11"/>
  <c r="G28" i="11" s="1"/>
  <c r="C29" i="11"/>
  <c r="G29" i="11" s="1"/>
  <c r="C30" i="11"/>
  <c r="G30" i="11" s="1"/>
  <c r="C31" i="11"/>
  <c r="C32" i="11"/>
  <c r="G32" i="11" s="1"/>
  <c r="C33" i="11"/>
  <c r="G33" i="11" s="1"/>
  <c r="C22" i="11"/>
  <c r="G22" i="11" s="1"/>
  <c r="G34" i="11" s="1"/>
  <c r="B23" i="11"/>
  <c r="F23" i="11" s="1"/>
  <c r="B24" i="11"/>
  <c r="F24" i="11" s="1"/>
  <c r="B25" i="11"/>
  <c r="F25" i="11" s="1"/>
  <c r="B26" i="11"/>
  <c r="F26" i="11" s="1"/>
  <c r="B27" i="11"/>
  <c r="F27" i="11" s="1"/>
  <c r="B28" i="11"/>
  <c r="F28" i="11" s="1"/>
  <c r="B29" i="11"/>
  <c r="F29" i="11" s="1"/>
  <c r="B30" i="11"/>
  <c r="F30" i="11" s="1"/>
  <c r="B31" i="11"/>
  <c r="F31" i="11" s="1"/>
  <c r="B32" i="11"/>
  <c r="F32" i="11" s="1"/>
  <c r="B33" i="11"/>
  <c r="F33" i="11" s="1"/>
  <c r="B22" i="11"/>
  <c r="F22" i="11" s="1"/>
  <c r="E40" i="11"/>
  <c r="E43" i="11"/>
  <c r="E41" i="11"/>
  <c r="F34" i="11" l="1"/>
  <c r="C43" i="11"/>
  <c r="C45" i="11" s="1"/>
  <c r="C8" i="9"/>
  <c r="C21" i="9"/>
  <c r="C15" i="9"/>
  <c r="C23" i="9" s="1"/>
  <c r="C3" i="9"/>
  <c r="C11" i="9" s="1"/>
  <c r="D23" i="9"/>
  <c r="G17" i="9"/>
  <c r="D15" i="9"/>
  <c r="D8" i="9"/>
  <c r="D3" i="9"/>
  <c r="H39" i="11" l="1"/>
  <c r="B106" i="11"/>
  <c r="F17" i="9"/>
  <c r="F18" i="9" s="1"/>
  <c r="B18" i="8"/>
  <c r="B15" i="8"/>
  <c r="B14" i="8"/>
  <c r="B20" i="8" s="1"/>
  <c r="C18" i="8"/>
  <c r="C20" i="8"/>
  <c r="C22" i="8"/>
  <c r="C14" i="8"/>
  <c r="C15" i="8"/>
  <c r="F5" i="9" l="1"/>
  <c r="N4" i="9"/>
  <c r="B22" i="8"/>
  <c r="G12" i="8" s="1"/>
  <c r="C14" i="7"/>
  <c r="C18" i="7" s="1"/>
  <c r="C17" i="7" l="1"/>
  <c r="C19" i="7" s="1"/>
  <c r="K4" i="7" s="1"/>
  <c r="C16" i="6"/>
  <c r="C11" i="6" s="1"/>
  <c r="D20" i="6"/>
  <c r="D11" i="6"/>
  <c r="D21" i="6"/>
  <c r="D16" i="6"/>
  <c r="C20" i="6" l="1"/>
  <c r="C21" i="6" s="1"/>
  <c r="H8" i="6" s="1"/>
  <c r="C20" i="5"/>
  <c r="C18" i="5"/>
  <c r="E15" i="5"/>
  <c r="E16" i="5"/>
  <c r="E14" i="5"/>
  <c r="D18" i="5"/>
  <c r="C17" i="4" l="1"/>
  <c r="C18" i="4" s="1"/>
  <c r="B17" i="4"/>
  <c r="E17" i="4" s="1"/>
  <c r="C10" i="4"/>
  <c r="D17" i="4" s="1"/>
  <c r="B10" i="4"/>
  <c r="B12" i="4" s="1"/>
  <c r="C7" i="4"/>
  <c r="B7" i="4"/>
  <c r="C19" i="4" l="1"/>
  <c r="F17" i="4"/>
  <c r="D18" i="4"/>
  <c r="D19" i="4" s="1"/>
  <c r="D20" i="4" s="1"/>
  <c r="D21" i="4" s="1"/>
  <c r="D22" i="4" s="1"/>
  <c r="C12" i="4"/>
  <c r="B18" i="4"/>
  <c r="B19" i="2"/>
  <c r="B16" i="2"/>
  <c r="B15" i="2"/>
  <c r="B20" i="2" s="1"/>
  <c r="B21" i="2" s="1"/>
  <c r="B23" i="1"/>
  <c r="B7" i="1"/>
  <c r="B11" i="1" s="1"/>
  <c r="B24" i="1" s="1"/>
  <c r="C15" i="2"/>
  <c r="C24" i="1"/>
  <c r="C20" i="2"/>
  <c r="C11" i="1"/>
  <c r="C7" i="1"/>
  <c r="C21" i="2"/>
  <c r="C19" i="2"/>
  <c r="C16" i="2"/>
  <c r="B19" i="4" l="1"/>
  <c r="E18" i="4"/>
  <c r="F18" i="4"/>
  <c r="C20" i="4"/>
  <c r="F19" i="4"/>
  <c r="F20" i="4" l="1"/>
  <c r="C21" i="4"/>
  <c r="B20" i="4"/>
  <c r="E19" i="4"/>
  <c r="F21" i="4" l="1"/>
  <c r="C22" i="4"/>
  <c r="F22" i="4" s="1"/>
  <c r="E20" i="4"/>
  <c r="B21" i="4"/>
  <c r="B22" i="4" l="1"/>
  <c r="E22" i="4" s="1"/>
  <c r="E21" i="4"/>
</calcChain>
</file>

<file path=xl/sharedStrings.xml><?xml version="1.0" encoding="utf-8"?>
<sst xmlns="http://schemas.openxmlformats.org/spreadsheetml/2006/main" count="200" uniqueCount="162">
  <si>
    <t>Budget</t>
  </si>
  <si>
    <t>Income:</t>
  </si>
  <si>
    <t>Salary</t>
  </si>
  <si>
    <t>Taxes(22%)</t>
  </si>
  <si>
    <t>Medical</t>
  </si>
  <si>
    <t>Dental:</t>
  </si>
  <si>
    <t>Retirement:</t>
  </si>
  <si>
    <t>Net Income</t>
  </si>
  <si>
    <t>Expense:</t>
  </si>
  <si>
    <t>Rent :</t>
  </si>
  <si>
    <t>Food:</t>
  </si>
  <si>
    <t>Car/Transportation</t>
  </si>
  <si>
    <t xml:space="preserve">Travel </t>
  </si>
  <si>
    <t>Apt Items</t>
  </si>
  <si>
    <t>Pet:</t>
  </si>
  <si>
    <t>Saving:</t>
  </si>
  <si>
    <t>Loan:</t>
  </si>
  <si>
    <t>Total Expenses:</t>
  </si>
  <si>
    <t>Net Saving:</t>
  </si>
  <si>
    <t>NCAA T-Shirt Vendor</t>
  </si>
  <si>
    <t>Given:</t>
  </si>
  <si>
    <t>Costs</t>
  </si>
  <si>
    <t>Fixed</t>
  </si>
  <si>
    <t>Variable:</t>
  </si>
  <si>
    <t>Number of Shirts Ordered:</t>
  </si>
  <si>
    <t>Total Cost:</t>
  </si>
  <si>
    <t>Revenue</t>
  </si>
  <si>
    <t>Full Price</t>
  </si>
  <si>
    <t>Reduced Price</t>
  </si>
  <si>
    <t>per shirt</t>
  </si>
  <si>
    <t>Number of Shirts Sold (FP)</t>
  </si>
  <si>
    <t>Number of Shirts Sold(Reduced)</t>
  </si>
  <si>
    <t>Total Revenue:</t>
  </si>
  <si>
    <t>Tota Profit:</t>
  </si>
  <si>
    <t>Demand:</t>
  </si>
  <si>
    <t>Woodworks Bookshelf co.</t>
  </si>
  <si>
    <t>Cost:</t>
  </si>
  <si>
    <t>Cherry</t>
  </si>
  <si>
    <t>Oak</t>
  </si>
  <si>
    <t>Unit Cost</t>
  </si>
  <si>
    <t>Board Feet:</t>
  </si>
  <si>
    <t>Material Cost</t>
  </si>
  <si>
    <t>Labor Required:</t>
  </si>
  <si>
    <t>Labor Rate:</t>
  </si>
  <si>
    <t>Labor cost:</t>
  </si>
  <si>
    <t>Cost increase:</t>
  </si>
  <si>
    <t>year</t>
  </si>
  <si>
    <t>Labor</t>
  </si>
  <si>
    <t>Total Cherry</t>
  </si>
  <si>
    <t>Total Oak</t>
  </si>
  <si>
    <t>Resource</t>
  </si>
  <si>
    <t>Hardware(buttons,rivets,zipper)</t>
  </si>
  <si>
    <t>1.65 per kilogram</t>
  </si>
  <si>
    <t xml:space="preserve">1.42 per set </t>
  </si>
  <si>
    <t>12 per hour</t>
  </si>
  <si>
    <t>Cotton</t>
  </si>
  <si>
    <t xml:space="preserve">Resource </t>
  </si>
  <si>
    <t>Amount per Pair of Jeans</t>
  </si>
  <si>
    <t>Hardware</t>
  </si>
  <si>
    <t>Cost per pair of jeans</t>
  </si>
  <si>
    <t>Total Cost per Pair of jeans:</t>
  </si>
  <si>
    <t>Revenue per pair of Jeans:</t>
  </si>
  <si>
    <t>Profit per pair of jeans:</t>
  </si>
  <si>
    <t>Projected Cots per pair of jeans</t>
  </si>
  <si>
    <t>cotton</t>
  </si>
  <si>
    <t>hardware</t>
  </si>
  <si>
    <t>labor</t>
  </si>
  <si>
    <t>pair of jeans</t>
  </si>
  <si>
    <t>Inputs:</t>
  </si>
  <si>
    <t>Costs:</t>
  </si>
  <si>
    <t>printing:</t>
  </si>
  <si>
    <t>Quality Sweater Company</t>
  </si>
  <si>
    <t xml:space="preserve">variable </t>
  </si>
  <si>
    <t>per catlog</t>
  </si>
  <si>
    <t>Mailing:</t>
  </si>
  <si>
    <t>Reply envelop:</t>
  </si>
  <si>
    <t>Average Customer Order</t>
  </si>
  <si>
    <t>Revenue:</t>
  </si>
  <si>
    <t>labor &amp; Materials</t>
  </si>
  <si>
    <t>per order</t>
  </si>
  <si>
    <t>Catalogs Ordered:</t>
  </si>
  <si>
    <t>Response Rate:</t>
  </si>
  <si>
    <t>Total Orders:</t>
  </si>
  <si>
    <t>Total Profit</t>
  </si>
  <si>
    <t>a )Data table</t>
  </si>
  <si>
    <t>Reponse Rate</t>
  </si>
  <si>
    <t>Profit</t>
  </si>
  <si>
    <t>The Quality Sweater Company sells hand-knitted sweaters.  The company is planning to print a catalog of its products and undertake a direct mail campaign.  The cost of printing the catalog is $20,000 plus $.10 per catalog. 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  The average size of a customer order is $40, and the company’s variable cost per order (primarily due to labor and material costs) averages about 80% of the order’s value – that is $32.  The company plans to mail 100,000 catalogs.  It wants to develop a spreadsheet model to answer the following questions:</t>
  </si>
  <si>
    <t>1. How does a change in the response rate affect profit?</t>
  </si>
  <si>
    <t>2. For what response rate does the company break even?</t>
  </si>
  <si>
    <t>3. If the company estimates a response rate of 3%, should it proceed with the mailing?</t>
  </si>
  <si>
    <t xml:space="preserve">4. How does the presence of uncertainty affect the usefulness of the model? </t>
  </si>
  <si>
    <t>Daily Sales</t>
  </si>
  <si>
    <t>Weekly Report</t>
  </si>
  <si>
    <t>Givens</t>
  </si>
  <si>
    <t>variable</t>
  </si>
  <si>
    <t>price</t>
  </si>
  <si>
    <t>per dog</t>
  </si>
  <si>
    <t>Expected number sold</t>
  </si>
  <si>
    <t>sells rate:</t>
  </si>
  <si>
    <t>Actual sells</t>
  </si>
  <si>
    <t xml:space="preserve">Total Costs: </t>
  </si>
  <si>
    <t>Total Revenue</t>
  </si>
  <si>
    <t>BN Bookstore</t>
  </si>
  <si>
    <t>Regular Price</t>
  </si>
  <si>
    <t>Ordered</t>
  </si>
  <si>
    <t>Unit cost</t>
  </si>
  <si>
    <t>(500-4500)</t>
  </si>
  <si>
    <t>Order:</t>
  </si>
  <si>
    <t>Sale price:</t>
  </si>
  <si>
    <t>Surplus:</t>
  </si>
  <si>
    <t>Way 2:</t>
  </si>
  <si>
    <t>Profit:</t>
  </si>
  <si>
    <t>Demand</t>
  </si>
  <si>
    <t>demand</t>
  </si>
  <si>
    <t>Annual Demand</t>
  </si>
  <si>
    <t>copies made per</t>
  </si>
  <si>
    <t>Number of copies rented</t>
  </si>
  <si>
    <t>Maximum Copies per Year</t>
  </si>
  <si>
    <t>Rent for one copier</t>
  </si>
  <si>
    <t>Total rent for copiers</t>
  </si>
  <si>
    <t>Operation cost per copy</t>
  </si>
  <si>
    <t>Total operation costs</t>
  </si>
  <si>
    <t>Monthly fixed cost</t>
  </si>
  <si>
    <t>Total Annual fixed cost</t>
  </si>
  <si>
    <t>Total annual cost</t>
  </si>
  <si>
    <t>price per copy</t>
  </si>
  <si>
    <t>total revenue</t>
  </si>
  <si>
    <t>total annual profit</t>
  </si>
  <si>
    <t>Number of copies</t>
  </si>
  <si>
    <t>Cost</t>
  </si>
  <si>
    <t>cost of concert per week</t>
  </si>
  <si>
    <t>Period on road</t>
  </si>
  <si>
    <t>average cost for venues</t>
  </si>
  <si>
    <t>Month</t>
  </si>
  <si>
    <t>Price</t>
  </si>
  <si>
    <t>Linear:</t>
  </si>
  <si>
    <t>Intercept(b):</t>
  </si>
  <si>
    <t>Slope(m):</t>
  </si>
  <si>
    <t>Power: y=ax^b</t>
  </si>
  <si>
    <t>Contant a:</t>
  </si>
  <si>
    <t>Exponent b:</t>
  </si>
  <si>
    <t>Exponential: y=ae^(bx)</t>
  </si>
  <si>
    <t>Exponent(b):</t>
  </si>
  <si>
    <t>Constant(a):</t>
  </si>
  <si>
    <t>Predictions Based on Models</t>
  </si>
  <si>
    <t>Linear</t>
  </si>
  <si>
    <t>Power</t>
  </si>
  <si>
    <t>Exponential</t>
  </si>
  <si>
    <t>Demand(00s)</t>
  </si>
  <si>
    <t>Absolute percent error</t>
  </si>
  <si>
    <t>Average:</t>
  </si>
  <si>
    <t>Model the Business:</t>
  </si>
  <si>
    <t>Unit Cost:</t>
  </si>
  <si>
    <t>Sale Price:</t>
  </si>
  <si>
    <t>per set of clubs</t>
  </si>
  <si>
    <t>&lt;--multiple of 10</t>
  </si>
  <si>
    <t>&lt;--from power model</t>
  </si>
  <si>
    <t>Actual Demand</t>
  </si>
  <si>
    <t xml:space="preserve">Price </t>
  </si>
  <si>
    <t>Year</t>
  </si>
  <si>
    <t>Revenue (millions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</si>
</sst>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&quot;Ksh&quot;* #,##0.00_-;\-&quot;Ksh&quot;* #,##0.00_-;_-&quot;Ksh&quot;* &quot;-&quot;??_-;_-@_-"/>
    <numFmt numFmtId="165" formatCode="&quot;Ksh&quot;#,##0"/>
    <numFmt numFmtId="166" formatCode="_-[$$-409]* #,##0_ ;_-[$$-409]* \-#,##0\ ;_-[$$-409]* &quot;-&quot;??_ ;_-@_ "/>
    <numFmt numFmtId="167" formatCode="_-[$$-409]* #,##0.00_ ;_-[$$-409]* \-#,##0.00\ ;_-[$$-409]* &quot;-&quot;??_ ;_-@_ "/>
    <numFmt numFmtId="168" formatCode="0.0"/>
    <numFmt numFmtId="169" formatCode="0.000"/>
    <numFmt numFmtId="171" formatCode="&quot;$&quot;#,##0.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  <xf numFmtId="0" fontId="6" fillId="9" borderId="0" applyNumberFormat="0" applyBorder="0" applyAlignment="0" applyProtection="0"/>
  </cellStyleXfs>
  <cellXfs count="63">
    <xf numFmtId="0" fontId="0" fillId="0" borderId="0" xfId="0"/>
    <xf numFmtId="165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/>
    <xf numFmtId="0" fontId="2" fillId="0" borderId="0" xfId="0" applyFont="1" applyAlignment="1">
      <alignment horizontal="left" indent="1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 applyAlignment="1">
      <alignment horizontal="right" indent="2"/>
    </xf>
    <xf numFmtId="0" fontId="1" fillId="3" borderId="1" xfId="1" applyFill="1"/>
    <xf numFmtId="0" fontId="1" fillId="4" borderId="1" xfId="1" applyFill="1"/>
    <xf numFmtId="0" fontId="0" fillId="4" borderId="0" xfId="0" applyFill="1"/>
    <xf numFmtId="167" fontId="0" fillId="0" borderId="0" xfId="0" applyNumberFormat="1" applyAlignment="1">
      <alignment horizontal="left" indent="1"/>
    </xf>
    <xf numFmtId="167" fontId="0" fillId="0" borderId="0" xfId="0" applyNumberFormat="1" applyAlignment="1">
      <alignment horizontal="left" indent="2"/>
    </xf>
    <xf numFmtId="1" fontId="0" fillId="0" borderId="0" xfId="0" applyNumberFormat="1" applyAlignment="1">
      <alignment horizontal="left" indent="2"/>
    </xf>
    <xf numFmtId="0" fontId="0" fillId="0" borderId="0" xfId="0" applyAlignment="1"/>
    <xf numFmtId="0" fontId="0" fillId="0" borderId="2" xfId="0" applyBorder="1"/>
    <xf numFmtId="0" fontId="0" fillId="0" borderId="2" xfId="0" applyFill="1" applyBorder="1"/>
    <xf numFmtId="166" fontId="0" fillId="0" borderId="2" xfId="0" applyNumberFormat="1" applyBorder="1"/>
    <xf numFmtId="167" fontId="0" fillId="0" borderId="2" xfId="0" applyNumberFormat="1" applyBorder="1"/>
    <xf numFmtId="10" fontId="0" fillId="4" borderId="0" xfId="0" applyNumberFormat="1" applyFill="1"/>
    <xf numFmtId="166" fontId="0" fillId="5" borderId="0" xfId="0" applyNumberFormat="1" applyFill="1" applyAlignment="1">
      <alignment horizontal="left" indent="2"/>
    </xf>
    <xf numFmtId="167" fontId="0" fillId="5" borderId="0" xfId="0" applyNumberFormat="1" applyFill="1" applyAlignment="1">
      <alignment horizontal="left" indent="1"/>
    </xf>
    <xf numFmtId="0" fontId="2" fillId="0" borderId="2" xfId="0" applyFon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9" fontId="0" fillId="4" borderId="0" xfId="2" applyFont="1" applyFill="1"/>
    <xf numFmtId="2" fontId="0" fillId="0" borderId="0" xfId="0" applyNumberFormat="1"/>
    <xf numFmtId="0" fontId="1" fillId="8" borderId="1" xfId="1" applyFill="1"/>
    <xf numFmtId="0" fontId="0" fillId="8" borderId="0" xfId="0" applyFill="1"/>
    <xf numFmtId="10" fontId="0" fillId="0" borderId="0" xfId="0" applyNumberFormat="1"/>
    <xf numFmtId="0" fontId="0" fillId="7" borderId="2" xfId="0" applyFill="1" applyBorder="1"/>
    <xf numFmtId="167" fontId="0" fillId="7" borderId="2" xfId="0" applyNumberFormat="1" applyFill="1" applyBorder="1"/>
    <xf numFmtId="10" fontId="0" fillId="7" borderId="2" xfId="0" applyNumberFormat="1" applyFill="1" applyBorder="1"/>
    <xf numFmtId="0" fontId="0" fillId="6" borderId="2" xfId="0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9" fontId="0" fillId="0" borderId="0" xfId="0" applyNumberFormat="1"/>
    <xf numFmtId="0" fontId="0" fillId="0" borderId="0" xfId="0" applyFont="1"/>
    <xf numFmtId="0" fontId="5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69" fontId="0" fillId="0" borderId="0" xfId="0" applyNumberFormat="1"/>
    <xf numFmtId="168" fontId="0" fillId="0" borderId="2" xfId="0" applyNumberFormat="1" applyBorder="1"/>
    <xf numFmtId="0" fontId="0" fillId="0" borderId="5" xfId="0" applyBorder="1"/>
    <xf numFmtId="9" fontId="0" fillId="0" borderId="2" xfId="2" applyFont="1" applyBorder="1"/>
    <xf numFmtId="9" fontId="0" fillId="0" borderId="2" xfId="0" applyNumberFormat="1" applyBorder="1"/>
    <xf numFmtId="166" fontId="0" fillId="3" borderId="0" xfId="0" applyNumberFormat="1" applyFill="1"/>
    <xf numFmtId="1" fontId="0" fillId="0" borderId="0" xfId="0" applyNumberFormat="1"/>
    <xf numFmtId="0" fontId="1" fillId="2" borderId="1" xfId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10" borderId="0" xfId="0" applyNumberFormat="1" applyFill="1"/>
    <xf numFmtId="1" fontId="0" fillId="0" borderId="2" xfId="0" applyNumberFormat="1" applyBorder="1"/>
    <xf numFmtId="0" fontId="6" fillId="9" borderId="0" xfId="3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</cellXfs>
  <cellStyles count="4">
    <cellStyle name="60% - Accent5" xfId="3" builtinId="48"/>
    <cellStyle name="Heading 1" xfId="1" builtinId="16"/>
    <cellStyle name="Normal" xfId="0" builtinId="0"/>
    <cellStyle name="Percent" xfId="2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if analysis'!$H$7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'what if analysis'!$G$8:$G$19</c:f>
              <c:numCache>
                <c:formatCode>0.00%</c:formatCode>
                <c:ptCount val="12"/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0.08</c:v>
                </c:pt>
              </c:numCache>
            </c:numRef>
          </c:cat>
          <c:val>
            <c:numRef>
              <c:f>'what if analysis'!$H$8:$H$19</c:f>
              <c:numCache>
                <c:formatCode>General</c:formatCode>
                <c:ptCount val="12"/>
                <c:pt idx="0" formatCode="_-[$$-409]* #,##0.00_ ;_-[$$-409]* \-#,##0.00\ ;_-[$$-409]* &quot;-&quot;??_ ;_-@_ ">
                  <c:v>0</c:v>
                </c:pt>
                <c:pt idx="1">
                  <c:v>-21600</c:v>
                </c:pt>
                <c:pt idx="2">
                  <c:v>-17700</c:v>
                </c:pt>
                <c:pt idx="3">
                  <c:v>-13800</c:v>
                </c:pt>
                <c:pt idx="4">
                  <c:v>-9900</c:v>
                </c:pt>
                <c:pt idx="5">
                  <c:v>-6000</c:v>
                </c:pt>
                <c:pt idx="6">
                  <c:v>-2100.0000000000291</c:v>
                </c:pt>
                <c:pt idx="7">
                  <c:v>1799.9999999999709</c:v>
                </c:pt>
                <c:pt idx="8">
                  <c:v>5699.9999999999709</c:v>
                </c:pt>
                <c:pt idx="9">
                  <c:v>9600</c:v>
                </c:pt>
                <c:pt idx="10">
                  <c:v>13500</c:v>
                </c:pt>
                <c:pt idx="11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0-456A-8C0C-DC3DE10F9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164960"/>
        <c:axId val="994168704"/>
      </c:barChart>
      <c:catAx>
        <c:axId val="9941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68704"/>
        <c:crosses val="autoZero"/>
        <c:auto val="1"/>
        <c:lblAlgn val="ctr"/>
        <c:lblOffset val="100"/>
        <c:noMultiLvlLbl val="0"/>
      </c:catAx>
      <c:valAx>
        <c:axId val="9941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6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if analysis'!$G$7</c:f>
              <c:strCache>
                <c:ptCount val="1"/>
                <c:pt idx="0">
                  <c:v>Reponse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'what if analysis'!$G$8:$G$19</c:f>
              <c:numCache>
                <c:formatCode>0.00%</c:formatCode>
                <c:ptCount val="12"/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B-4C1C-BD05-196CD0864B8B}"/>
            </c:ext>
          </c:extLst>
        </c:ser>
        <c:ser>
          <c:idx val="1"/>
          <c:order val="1"/>
          <c:tx>
            <c:strRef>
              <c:f>'what if analysis'!$H$7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'what if analysis'!$H$8:$H$19</c:f>
              <c:numCache>
                <c:formatCode>General</c:formatCode>
                <c:ptCount val="12"/>
                <c:pt idx="0" formatCode="_-[$$-409]* #,##0.00_ ;_-[$$-409]* \-#,##0.00\ ;_-[$$-409]* &quot;-&quot;??_ ;_-@_ ">
                  <c:v>0</c:v>
                </c:pt>
                <c:pt idx="1">
                  <c:v>-21600</c:v>
                </c:pt>
                <c:pt idx="2">
                  <c:v>-17700</c:v>
                </c:pt>
                <c:pt idx="3">
                  <c:v>-13800</c:v>
                </c:pt>
                <c:pt idx="4">
                  <c:v>-9900</c:v>
                </c:pt>
                <c:pt idx="5">
                  <c:v>-6000</c:v>
                </c:pt>
                <c:pt idx="6">
                  <c:v>-2100.0000000000291</c:v>
                </c:pt>
                <c:pt idx="7">
                  <c:v>1799.9999999999709</c:v>
                </c:pt>
                <c:pt idx="8">
                  <c:v>5699.9999999999709</c:v>
                </c:pt>
                <c:pt idx="9">
                  <c:v>9600</c:v>
                </c:pt>
                <c:pt idx="10">
                  <c:v>13500</c:v>
                </c:pt>
                <c:pt idx="11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B-4C1C-BD05-196CD0864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471648"/>
        <c:axId val="994478720"/>
      </c:barChart>
      <c:catAx>
        <c:axId val="99447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8720"/>
        <c:crosses val="autoZero"/>
        <c:auto val="1"/>
        <c:lblAlgn val="ctr"/>
        <c:lblOffset val="100"/>
        <c:noMultiLvlLbl val="0"/>
      </c:catAx>
      <c:valAx>
        <c:axId val="9944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hole'!$C$2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9298993875765528E-2"/>
                  <c:y val="-0.53675524934383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9910104986876641E-2"/>
                  <c:y val="-0.37349846894138233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3.5729658792650922E-2"/>
                  <c:y val="-0.28764581510644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 hole'!$B$3:$B$14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'The hole'!$C$3:$C$14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D-4ABA-AAD4-FD5FD3325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13215"/>
        <c:axId val="320615295"/>
      </c:scatterChart>
      <c:valAx>
        <c:axId val="32061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Price9($)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15295"/>
        <c:crosses val="autoZero"/>
        <c:crossBetween val="midCat"/>
      </c:valAx>
      <c:valAx>
        <c:axId val="3206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Demand(00S)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1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hole'!$H$39</c:f>
              <c:strCache>
                <c:ptCount val="1"/>
                <c:pt idx="0">
                  <c:v>831339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 hole'!$G$40:$G$104</c:f>
              <c:numCache>
                <c:formatCode>0</c:formatCode>
                <c:ptCount val="6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</c:numCache>
            </c:numRef>
          </c:xVal>
          <c:yVal>
            <c:numRef>
              <c:f>'The hole'!$H$40:$H$104</c:f>
              <c:numCache>
                <c:formatCode>0</c:formatCode>
                <c:ptCount val="6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D-4717-B0BE-1BC26A25F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46704"/>
        <c:axId val="163147120"/>
      </c:scatterChart>
      <c:valAx>
        <c:axId val="16314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7120"/>
        <c:crosses val="autoZero"/>
        <c:crossBetween val="midCat"/>
      </c:valAx>
      <c:valAx>
        <c:axId val="1631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</xdr:row>
      <xdr:rowOff>133350</xdr:rowOff>
    </xdr:from>
    <xdr:to>
      <xdr:col>15</xdr:col>
      <xdr:colOff>352425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19</xdr:row>
      <xdr:rowOff>19049</xdr:rowOff>
    </xdr:from>
    <xdr:to>
      <xdr:col>15</xdr:col>
      <xdr:colOff>314325</xdr:colOff>
      <xdr:row>31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0</xdr:row>
      <xdr:rowOff>180975</xdr:rowOff>
    </xdr:from>
    <xdr:to>
      <xdr:col>22</xdr:col>
      <xdr:colOff>561975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37</xdr:row>
      <xdr:rowOff>180975</xdr:rowOff>
    </xdr:from>
    <xdr:to>
      <xdr:col>17</xdr:col>
      <xdr:colOff>295275</xdr:colOff>
      <xdr:row>52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C15" sqref="C15"/>
    </sheetView>
  </sheetViews>
  <sheetFormatPr defaultRowHeight="15" x14ac:dyDescent="0.25"/>
  <cols>
    <col min="1" max="1" width="18.85546875" customWidth="1"/>
    <col min="2" max="2" width="14.85546875" customWidth="1"/>
  </cols>
  <sheetData>
    <row r="2" spans="1:4" ht="20.25" thickBot="1" x14ac:dyDescent="0.35">
      <c r="A2" s="53" t="s">
        <v>0</v>
      </c>
      <c r="B2" s="53"/>
    </row>
    <row r="3" spans="1:4" ht="15.75" thickTop="1" x14ac:dyDescent="0.25"/>
    <row r="5" spans="1:4" x14ac:dyDescent="0.25">
      <c r="A5" s="3" t="s">
        <v>1</v>
      </c>
    </row>
    <row r="6" spans="1:4" x14ac:dyDescent="0.25">
      <c r="A6" s="4" t="s">
        <v>2</v>
      </c>
      <c r="B6" s="1">
        <v>22000</v>
      </c>
    </row>
    <row r="7" spans="1:4" x14ac:dyDescent="0.25">
      <c r="A7" s="4" t="s">
        <v>3</v>
      </c>
      <c r="B7" s="1">
        <f>22%*B6</f>
        <v>4840</v>
      </c>
      <c r="C7" s="2" t="str">
        <f ca="1">_xlfn.FORMULATEXT(B7)</f>
        <v>=22%*B6</v>
      </c>
    </row>
    <row r="8" spans="1:4" x14ac:dyDescent="0.25">
      <c r="A8" s="4" t="s">
        <v>4</v>
      </c>
      <c r="B8" s="1">
        <v>2000</v>
      </c>
    </row>
    <row r="9" spans="1:4" x14ac:dyDescent="0.25">
      <c r="A9" s="4" t="s">
        <v>5</v>
      </c>
      <c r="B9" s="1">
        <v>500</v>
      </c>
    </row>
    <row r="10" spans="1:4" x14ac:dyDescent="0.25">
      <c r="A10" s="4" t="s">
        <v>6</v>
      </c>
      <c r="B10" s="1">
        <v>3000</v>
      </c>
    </row>
    <row r="11" spans="1:4" x14ac:dyDescent="0.25">
      <c r="A11" s="5" t="s">
        <v>7</v>
      </c>
      <c r="B11" s="1">
        <f>B6-B7-B8-B9-B10</f>
        <v>11660</v>
      </c>
      <c r="C11" s="2" t="str">
        <f ca="1">_xlfn.FORMULATEXT(B11)</f>
        <v>=B6-B7-B8-B9-B10</v>
      </c>
      <c r="D11" s="2"/>
    </row>
    <row r="13" spans="1:4" x14ac:dyDescent="0.25">
      <c r="A13" s="6" t="s">
        <v>8</v>
      </c>
    </row>
    <row r="14" spans="1:4" x14ac:dyDescent="0.25">
      <c r="A14" s="4" t="s">
        <v>9</v>
      </c>
      <c r="B14" s="1">
        <v>8000</v>
      </c>
    </row>
    <row r="15" spans="1:4" x14ac:dyDescent="0.25">
      <c r="A15" s="4" t="s">
        <v>10</v>
      </c>
      <c r="B15" s="1">
        <v>500</v>
      </c>
    </row>
    <row r="16" spans="1:4" x14ac:dyDescent="0.25">
      <c r="A16" s="4" t="s">
        <v>11</v>
      </c>
      <c r="B16" s="1">
        <v>500</v>
      </c>
    </row>
    <row r="17" spans="1:3" x14ac:dyDescent="0.25">
      <c r="A17" s="4" t="s">
        <v>12</v>
      </c>
      <c r="B17" s="1">
        <v>100</v>
      </c>
    </row>
    <row r="18" spans="1:3" x14ac:dyDescent="0.25">
      <c r="A18" s="4" t="s">
        <v>13</v>
      </c>
      <c r="B18" s="1">
        <v>100</v>
      </c>
    </row>
    <row r="19" spans="1:3" x14ac:dyDescent="0.25">
      <c r="A19" s="4" t="s">
        <v>14</v>
      </c>
      <c r="B19" s="1">
        <v>100</v>
      </c>
    </row>
    <row r="20" spans="1:3" x14ac:dyDescent="0.25">
      <c r="A20" s="4" t="s">
        <v>15</v>
      </c>
      <c r="B20" s="1">
        <v>200</v>
      </c>
    </row>
    <row r="21" spans="1:3" x14ac:dyDescent="0.25">
      <c r="A21" s="4" t="s">
        <v>16</v>
      </c>
      <c r="B21" s="1">
        <v>300</v>
      </c>
    </row>
    <row r="23" spans="1:3" x14ac:dyDescent="0.25">
      <c r="A23" s="5" t="s">
        <v>17</v>
      </c>
      <c r="B23" s="1">
        <f>SUM(B14:B21)</f>
        <v>9800</v>
      </c>
    </row>
    <row r="24" spans="1:3" x14ac:dyDescent="0.25">
      <c r="A24" s="6" t="s">
        <v>18</v>
      </c>
      <c r="B24" s="7">
        <f>B11-B23</f>
        <v>1860</v>
      </c>
      <c r="C24" s="2" t="str">
        <f ca="1">_xlfn.FORMULATEXT(B24)</f>
        <v>=B11-B23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F12" sqref="F12"/>
    </sheetView>
  </sheetViews>
  <sheetFormatPr defaultRowHeight="15" x14ac:dyDescent="0.25"/>
  <cols>
    <col min="1" max="1" width="30.85546875" customWidth="1"/>
    <col min="2" max="2" width="10" bestFit="1" customWidth="1"/>
  </cols>
  <sheetData>
    <row r="2" spans="1:3" ht="20.25" thickBot="1" x14ac:dyDescent="0.35">
      <c r="A2" s="11" t="s">
        <v>19</v>
      </c>
    </row>
    <row r="3" spans="1:3" ht="15.75" thickTop="1" x14ac:dyDescent="0.25">
      <c r="A3" t="s">
        <v>20</v>
      </c>
    </row>
    <row r="4" spans="1:3" x14ac:dyDescent="0.25">
      <c r="A4" s="3" t="s">
        <v>21</v>
      </c>
    </row>
    <row r="5" spans="1:3" x14ac:dyDescent="0.25">
      <c r="A5" s="4" t="s">
        <v>22</v>
      </c>
      <c r="B5" s="8">
        <v>750</v>
      </c>
    </row>
    <row r="6" spans="1:3" x14ac:dyDescent="0.25">
      <c r="A6" s="4" t="s">
        <v>23</v>
      </c>
      <c r="B6" s="8">
        <v>8</v>
      </c>
      <c r="C6" t="s">
        <v>29</v>
      </c>
    </row>
    <row r="7" spans="1:3" x14ac:dyDescent="0.25">
      <c r="A7" s="5" t="s">
        <v>26</v>
      </c>
      <c r="B7" s="8"/>
    </row>
    <row r="8" spans="1:3" x14ac:dyDescent="0.25">
      <c r="A8" s="9" t="s">
        <v>27</v>
      </c>
      <c r="B8" s="8">
        <v>18</v>
      </c>
      <c r="C8" t="s">
        <v>29</v>
      </c>
    </row>
    <row r="9" spans="1:3" x14ac:dyDescent="0.25">
      <c r="A9" s="9" t="s">
        <v>28</v>
      </c>
      <c r="B9" s="8">
        <v>6</v>
      </c>
      <c r="C9" t="s">
        <v>29</v>
      </c>
    </row>
    <row r="13" spans="1:3" x14ac:dyDescent="0.25">
      <c r="A13" t="s">
        <v>24</v>
      </c>
      <c r="B13" s="2">
        <v>1650</v>
      </c>
    </row>
    <row r="14" spans="1:3" x14ac:dyDescent="0.25">
      <c r="A14" t="s">
        <v>34</v>
      </c>
      <c r="B14" s="2">
        <v>1500</v>
      </c>
    </row>
    <row r="15" spans="1:3" x14ac:dyDescent="0.25">
      <c r="A15" t="s">
        <v>30</v>
      </c>
      <c r="B15" s="2">
        <f>MIN(B13:B14)</f>
        <v>1500</v>
      </c>
      <c r="C15" t="str">
        <f ca="1">_xlfn.FORMULATEXT(B15)</f>
        <v>=MIN(B13:B14)</v>
      </c>
    </row>
    <row r="16" spans="1:3" x14ac:dyDescent="0.25">
      <c r="A16" t="s">
        <v>31</v>
      </c>
      <c r="B16">
        <f>MAX(B13-B14,0)</f>
        <v>150</v>
      </c>
      <c r="C16" t="str">
        <f ca="1">_xlfn.FORMULATEXT(B16)</f>
        <v>=MAX(B13-B14,0)</v>
      </c>
    </row>
    <row r="19" spans="1:3" x14ac:dyDescent="0.25">
      <c r="A19" s="10" t="s">
        <v>25</v>
      </c>
      <c r="B19" s="8">
        <f>B5+B6*B13</f>
        <v>13950</v>
      </c>
      <c r="C19" t="str">
        <f ca="1">_xlfn.FORMULATEXT(B19)</f>
        <v>=B5+B6*B13</v>
      </c>
    </row>
    <row r="20" spans="1:3" x14ac:dyDescent="0.25">
      <c r="A20" s="10" t="s">
        <v>32</v>
      </c>
      <c r="B20" s="8">
        <f>B15*B8+B16*B9</f>
        <v>27900</v>
      </c>
      <c r="C20" t="str">
        <f ca="1">_xlfn.FORMULATEXT(B20)</f>
        <v>=B15*B8+B16*B9</v>
      </c>
    </row>
    <row r="21" spans="1:3" x14ac:dyDescent="0.25">
      <c r="A21" s="10" t="s">
        <v>33</v>
      </c>
      <c r="B21" s="8">
        <f>B20-B19</f>
        <v>13950</v>
      </c>
      <c r="C21" t="str">
        <f ca="1">_xlfn.FORMULATEXT(B21)</f>
        <v>=B20-B19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2" workbookViewId="0">
      <selection activeCell="K18" sqref="K18"/>
    </sheetView>
  </sheetViews>
  <sheetFormatPr defaultRowHeight="15" x14ac:dyDescent="0.25"/>
  <cols>
    <col min="1" max="2" width="19.140625" customWidth="1"/>
    <col min="3" max="3" width="11" bestFit="1" customWidth="1"/>
    <col min="5" max="5" width="13.5703125" customWidth="1"/>
  </cols>
  <sheetData>
    <row r="1" spans="1:6" ht="20.25" thickBot="1" x14ac:dyDescent="0.35">
      <c r="A1" s="12" t="s">
        <v>35</v>
      </c>
      <c r="B1" s="12"/>
      <c r="C1" s="12"/>
      <c r="D1" s="13"/>
    </row>
    <row r="2" spans="1:6" ht="15.75" thickTop="1" x14ac:dyDescent="0.25"/>
    <row r="3" spans="1:6" x14ac:dyDescent="0.25">
      <c r="A3" s="9" t="s">
        <v>36</v>
      </c>
      <c r="B3" s="9" t="s">
        <v>37</v>
      </c>
      <c r="C3" s="9" t="s">
        <v>38</v>
      </c>
    </row>
    <row r="4" spans="1:6" x14ac:dyDescent="0.25">
      <c r="A4" s="9" t="s">
        <v>39</v>
      </c>
      <c r="B4" s="15">
        <v>5.5</v>
      </c>
      <c r="C4" s="15">
        <v>4.3</v>
      </c>
    </row>
    <row r="5" spans="1:6" x14ac:dyDescent="0.25">
      <c r="A5" s="9" t="s">
        <v>40</v>
      </c>
      <c r="B5" s="16">
        <v>30</v>
      </c>
      <c r="C5" s="16">
        <v>30</v>
      </c>
    </row>
    <row r="6" spans="1:6" x14ac:dyDescent="0.25">
      <c r="A6" s="9"/>
      <c r="B6" s="16"/>
      <c r="C6" s="16"/>
    </row>
    <row r="7" spans="1:6" x14ac:dyDescent="0.25">
      <c r="A7" s="17" t="s">
        <v>41</v>
      </c>
      <c r="B7" s="23">
        <f>B5*B4</f>
        <v>165</v>
      </c>
      <c r="C7" s="23">
        <f>C5*C4</f>
        <v>129</v>
      </c>
    </row>
    <row r="8" spans="1:6" x14ac:dyDescent="0.25">
      <c r="A8" s="17" t="s">
        <v>42</v>
      </c>
      <c r="B8" s="4">
        <v>16</v>
      </c>
      <c r="C8" s="4">
        <v>16</v>
      </c>
    </row>
    <row r="9" spans="1:6" x14ac:dyDescent="0.25">
      <c r="A9" s="17" t="s">
        <v>43</v>
      </c>
      <c r="B9" s="14">
        <v>18.5</v>
      </c>
      <c r="C9" s="14">
        <v>18.5</v>
      </c>
    </row>
    <row r="10" spans="1:6" x14ac:dyDescent="0.25">
      <c r="A10" s="17" t="s">
        <v>44</v>
      </c>
      <c r="B10" s="24">
        <f>B9*B8</f>
        <v>296</v>
      </c>
      <c r="C10" s="24">
        <f>C9*C8</f>
        <v>296</v>
      </c>
    </row>
    <row r="11" spans="1:6" x14ac:dyDescent="0.25">
      <c r="A11" s="4"/>
      <c r="B11" s="14"/>
      <c r="C11" s="14"/>
    </row>
    <row r="12" spans="1:6" x14ac:dyDescent="0.25">
      <c r="A12" s="17" t="s">
        <v>25</v>
      </c>
      <c r="B12" s="24">
        <f>B7+B10</f>
        <v>461</v>
      </c>
      <c r="C12" s="24">
        <f>C7+C10</f>
        <v>425</v>
      </c>
    </row>
    <row r="14" spans="1:6" x14ac:dyDescent="0.25">
      <c r="A14" s="4" t="s">
        <v>45</v>
      </c>
      <c r="B14" s="22">
        <v>2.4E-2</v>
      </c>
      <c r="C14" s="22">
        <v>1.7000000000000001E-2</v>
      </c>
      <c r="D14" s="22">
        <v>1.4999999999999999E-2</v>
      </c>
    </row>
    <row r="16" spans="1:6" x14ac:dyDescent="0.25">
      <c r="A16" s="18" t="s">
        <v>46</v>
      </c>
      <c r="B16" s="18" t="s">
        <v>37</v>
      </c>
      <c r="C16" s="18" t="s">
        <v>38</v>
      </c>
      <c r="D16" s="18" t="s">
        <v>47</v>
      </c>
      <c r="E16" s="19" t="s">
        <v>48</v>
      </c>
      <c r="F16" s="19" t="s">
        <v>49</v>
      </c>
    </row>
    <row r="17" spans="1:6" x14ac:dyDescent="0.25">
      <c r="A17" s="18">
        <v>0</v>
      </c>
      <c r="B17" s="20">
        <f>B7</f>
        <v>165</v>
      </c>
      <c r="C17" s="20">
        <f>C7</f>
        <v>129</v>
      </c>
      <c r="D17" s="21">
        <f>C10</f>
        <v>296</v>
      </c>
      <c r="E17" s="21">
        <f t="shared" ref="E17:E22" si="0">B17+D17</f>
        <v>461</v>
      </c>
      <c r="F17" s="21">
        <f t="shared" ref="F17:F22" si="1">C17+D17</f>
        <v>425</v>
      </c>
    </row>
    <row r="18" spans="1:6" x14ac:dyDescent="0.25">
      <c r="A18" s="18">
        <v>1</v>
      </c>
      <c r="B18" s="21">
        <f>B17*(1+$B$14)</f>
        <v>168.96</v>
      </c>
      <c r="C18" s="21">
        <f>C17*(1+$C$14)</f>
        <v>131.19299999999998</v>
      </c>
      <c r="D18" s="21">
        <f>D17*(1+$D$14)</f>
        <v>300.44</v>
      </c>
      <c r="E18" s="21">
        <f t="shared" si="0"/>
        <v>469.4</v>
      </c>
      <c r="F18" s="21">
        <f t="shared" si="1"/>
        <v>431.63299999999998</v>
      </c>
    </row>
    <row r="19" spans="1:6" x14ac:dyDescent="0.25">
      <c r="A19" s="18">
        <v>2</v>
      </c>
      <c r="B19" s="21">
        <f>B18*(1+$B$14)</f>
        <v>173.01504</v>
      </c>
      <c r="C19" s="21">
        <f>C18*(1+$C$14)</f>
        <v>133.42328099999997</v>
      </c>
      <c r="D19" s="21">
        <f>D18*(1+$D$14)</f>
        <v>304.94659999999999</v>
      </c>
      <c r="E19" s="21">
        <f t="shared" si="0"/>
        <v>477.96163999999999</v>
      </c>
      <c r="F19" s="21">
        <f t="shared" si="1"/>
        <v>438.36988099999996</v>
      </c>
    </row>
    <row r="20" spans="1:6" x14ac:dyDescent="0.25">
      <c r="A20" s="18">
        <v>3</v>
      </c>
      <c r="B20" s="21">
        <f>B19*(1+$B$14)</f>
        <v>177.16740096000001</v>
      </c>
      <c r="C20" s="21">
        <f>C19*(1+$C$14)</f>
        <v>135.69147677699996</v>
      </c>
      <c r="D20" s="21">
        <f>D19*(1+$D$14)</f>
        <v>309.52079899999995</v>
      </c>
      <c r="E20" s="21">
        <f t="shared" si="0"/>
        <v>486.68819995999996</v>
      </c>
      <c r="F20" s="21">
        <f t="shared" si="1"/>
        <v>445.21227577699995</v>
      </c>
    </row>
    <row r="21" spans="1:6" x14ac:dyDescent="0.25">
      <c r="A21" s="18">
        <v>4</v>
      </c>
      <c r="B21" s="21">
        <f>B20*(1+$B$14)</f>
        <v>181.41941858304003</v>
      </c>
      <c r="C21" s="21">
        <f>C20*(1+$C$14)</f>
        <v>137.99823188220896</v>
      </c>
      <c r="D21" s="21">
        <f>D20*(1+$D$14)</f>
        <v>314.16361098499993</v>
      </c>
      <c r="E21" s="21">
        <f t="shared" si="0"/>
        <v>495.58302956803993</v>
      </c>
      <c r="F21" s="21">
        <f t="shared" si="1"/>
        <v>452.16184286720886</v>
      </c>
    </row>
    <row r="22" spans="1:6" x14ac:dyDescent="0.25">
      <c r="A22" s="18">
        <v>5</v>
      </c>
      <c r="B22" s="21">
        <f>B21*(1+$B$14)</f>
        <v>185.77348462903299</v>
      </c>
      <c r="C22" s="21">
        <f>C21*(1+$C$14)</f>
        <v>140.34420182420649</v>
      </c>
      <c r="D22" s="21">
        <f>D21*(1+$D$14)</f>
        <v>318.87606514977489</v>
      </c>
      <c r="E22" s="21">
        <f t="shared" si="0"/>
        <v>504.64954977880791</v>
      </c>
      <c r="F22" s="21">
        <f t="shared" si="1"/>
        <v>459.22026697398138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opLeftCell="B6" workbookViewId="0">
      <selection activeCell="H27" sqref="H27"/>
    </sheetView>
  </sheetViews>
  <sheetFormatPr defaultRowHeight="15" x14ac:dyDescent="0.25"/>
  <cols>
    <col min="2" max="2" width="25.28515625" customWidth="1"/>
    <col min="3" max="3" width="10.28515625" customWidth="1"/>
    <col min="4" max="4" width="20.5703125" customWidth="1"/>
    <col min="5" max="5" width="20.28515625" customWidth="1"/>
    <col min="6" max="6" width="13.7109375" customWidth="1"/>
  </cols>
  <sheetData>
    <row r="1" spans="2:5" ht="13.5" customHeight="1" x14ac:dyDescent="0.25"/>
    <row r="3" spans="2:5" ht="14.25" customHeight="1" x14ac:dyDescent="0.25"/>
    <row r="5" spans="2:5" x14ac:dyDescent="0.25">
      <c r="B5" s="3" t="s">
        <v>50</v>
      </c>
      <c r="C5" s="3" t="s">
        <v>39</v>
      </c>
    </row>
    <row r="6" spans="2:5" x14ac:dyDescent="0.25">
      <c r="B6" t="s">
        <v>55</v>
      </c>
      <c r="C6" t="s">
        <v>52</v>
      </c>
    </row>
    <row r="7" spans="2:5" x14ac:dyDescent="0.25">
      <c r="B7" t="s">
        <v>51</v>
      </c>
      <c r="C7" t="s">
        <v>53</v>
      </c>
    </row>
    <row r="8" spans="2:5" x14ac:dyDescent="0.25">
      <c r="B8" t="s">
        <v>47</v>
      </c>
      <c r="C8" t="s">
        <v>54</v>
      </c>
    </row>
    <row r="13" spans="2:5" x14ac:dyDescent="0.25">
      <c r="B13" s="25" t="s">
        <v>56</v>
      </c>
      <c r="C13" s="25" t="s">
        <v>39</v>
      </c>
      <c r="D13" s="25" t="s">
        <v>57</v>
      </c>
      <c r="E13" s="25" t="s">
        <v>59</v>
      </c>
    </row>
    <row r="14" spans="2:5" x14ac:dyDescent="0.25">
      <c r="B14" s="18" t="s">
        <v>55</v>
      </c>
      <c r="C14" s="21">
        <v>1.65</v>
      </c>
      <c r="D14" s="18">
        <v>1.2</v>
      </c>
      <c r="E14" s="21">
        <f>C14*D14</f>
        <v>1.9799999999999998</v>
      </c>
    </row>
    <row r="15" spans="2:5" x14ac:dyDescent="0.25">
      <c r="B15" s="18" t="s">
        <v>58</v>
      </c>
      <c r="C15" s="21">
        <v>1.42</v>
      </c>
      <c r="D15" s="18">
        <v>1</v>
      </c>
      <c r="E15" s="21">
        <f t="shared" ref="E15:E16" si="0">C15*D15</f>
        <v>1.42</v>
      </c>
    </row>
    <row r="16" spans="2:5" x14ac:dyDescent="0.25">
      <c r="B16" s="18" t="s">
        <v>47</v>
      </c>
      <c r="C16" s="21">
        <v>12</v>
      </c>
      <c r="D16" s="18">
        <v>4.5</v>
      </c>
      <c r="E16" s="21">
        <f t="shared" si="0"/>
        <v>54</v>
      </c>
    </row>
    <row r="18" spans="2:6" x14ac:dyDescent="0.25">
      <c r="B18" s="3" t="s">
        <v>60</v>
      </c>
      <c r="C18" s="26">
        <f>SUM(E14:E16)</f>
        <v>57.4</v>
      </c>
      <c r="D18" t="str">
        <f ca="1">_xlfn.FORMULATEXT(C18)</f>
        <v>=SUM(E14:E16)</v>
      </c>
    </row>
    <row r="19" spans="2:6" x14ac:dyDescent="0.25">
      <c r="B19" s="3" t="s">
        <v>61</v>
      </c>
      <c r="C19" s="26">
        <v>150</v>
      </c>
    </row>
    <row r="20" spans="2:6" x14ac:dyDescent="0.25">
      <c r="B20" s="3" t="s">
        <v>62</v>
      </c>
      <c r="C20" s="26">
        <f>C19-C18</f>
        <v>92.6</v>
      </c>
    </row>
    <row r="23" spans="2:6" x14ac:dyDescent="0.25">
      <c r="B23" s="18"/>
      <c r="C23" s="25" t="s">
        <v>63</v>
      </c>
      <c r="D23" s="18"/>
      <c r="E23" s="18"/>
      <c r="F23" s="18"/>
    </row>
    <row r="24" spans="2:6" x14ac:dyDescent="0.25">
      <c r="B24" s="18" t="s">
        <v>46</v>
      </c>
      <c r="C24" s="18" t="s">
        <v>64</v>
      </c>
      <c r="D24" s="18" t="s">
        <v>65</v>
      </c>
      <c r="E24" s="18" t="s">
        <v>66</v>
      </c>
      <c r="F24" s="18" t="s">
        <v>67</v>
      </c>
    </row>
    <row r="25" spans="2:6" x14ac:dyDescent="0.25">
      <c r="B25" s="27">
        <v>0</v>
      </c>
      <c r="C25" s="21">
        <v>1.98</v>
      </c>
      <c r="D25" s="21">
        <v>1.42</v>
      </c>
      <c r="E25" s="21">
        <v>54</v>
      </c>
      <c r="F25" s="21">
        <v>57.4</v>
      </c>
    </row>
    <row r="26" spans="2:6" x14ac:dyDescent="0.25">
      <c r="B26" s="27">
        <v>1</v>
      </c>
      <c r="C26" s="18"/>
      <c r="D26" s="18"/>
      <c r="E26" s="18"/>
      <c r="F26" s="18"/>
    </row>
    <row r="27" spans="2:6" x14ac:dyDescent="0.25">
      <c r="B27" s="27">
        <v>2</v>
      </c>
      <c r="C27" s="18"/>
      <c r="D27" s="18"/>
      <c r="E27" s="18"/>
      <c r="F27" s="18"/>
    </row>
    <row r="28" spans="2:6" x14ac:dyDescent="0.25">
      <c r="B28" s="27">
        <v>3</v>
      </c>
      <c r="C28" s="18"/>
      <c r="D28" s="18"/>
      <c r="E28" s="18"/>
      <c r="F28" s="18"/>
    </row>
    <row r="29" spans="2:6" x14ac:dyDescent="0.25">
      <c r="B29" s="27">
        <v>4</v>
      </c>
      <c r="C29" s="18"/>
      <c r="D29" s="18"/>
      <c r="E29" s="18"/>
      <c r="F29" s="18"/>
    </row>
    <row r="30" spans="2:6" x14ac:dyDescent="0.25">
      <c r="B30" s="27">
        <v>5</v>
      </c>
      <c r="C30" s="18"/>
      <c r="D30" s="18"/>
      <c r="E30" s="18"/>
      <c r="F30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opLeftCell="A3" workbookViewId="0">
      <selection activeCell="G20" sqref="G20"/>
    </sheetView>
  </sheetViews>
  <sheetFormatPr defaultRowHeight="15" x14ac:dyDescent="0.25"/>
  <cols>
    <col min="2" max="2" width="24.42578125" customWidth="1"/>
    <col min="3" max="3" width="18.140625" customWidth="1"/>
    <col min="4" max="4" width="12.42578125" customWidth="1"/>
    <col min="7" max="7" width="13" customWidth="1"/>
    <col min="8" max="8" width="12" bestFit="1" customWidth="1"/>
  </cols>
  <sheetData>
    <row r="1" spans="2:10" ht="20.25" thickBot="1" x14ac:dyDescent="0.35">
      <c r="B1" s="30" t="s">
        <v>71</v>
      </c>
      <c r="C1" s="31"/>
    </row>
    <row r="2" spans="2:10" ht="15.75" thickTop="1" x14ac:dyDescent="0.25"/>
    <row r="3" spans="2:10" x14ac:dyDescent="0.25">
      <c r="B3" t="s">
        <v>68</v>
      </c>
    </row>
    <row r="4" spans="2:10" x14ac:dyDescent="0.25">
      <c r="B4" t="s">
        <v>69</v>
      </c>
    </row>
    <row r="5" spans="2:10" x14ac:dyDescent="0.25">
      <c r="B5" s="4" t="s">
        <v>70</v>
      </c>
      <c r="C5" s="26">
        <v>20000</v>
      </c>
    </row>
    <row r="6" spans="2:10" x14ac:dyDescent="0.25">
      <c r="B6" t="s">
        <v>72</v>
      </c>
      <c r="G6" t="s">
        <v>84</v>
      </c>
      <c r="J6" s="37" t="s">
        <v>87</v>
      </c>
    </row>
    <row r="7" spans="2:10" x14ac:dyDescent="0.25">
      <c r="B7" s="4" t="s">
        <v>70</v>
      </c>
      <c r="C7" s="26">
        <v>0.1</v>
      </c>
      <c r="D7" t="s">
        <v>73</v>
      </c>
      <c r="G7" s="36" t="s">
        <v>85</v>
      </c>
      <c r="H7" s="36" t="s">
        <v>86</v>
      </c>
      <c r="J7" s="38" t="s">
        <v>88</v>
      </c>
    </row>
    <row r="8" spans="2:10" x14ac:dyDescent="0.25">
      <c r="B8" s="4" t="s">
        <v>74</v>
      </c>
      <c r="C8" s="26">
        <v>0.15</v>
      </c>
      <c r="D8" t="s">
        <v>73</v>
      </c>
      <c r="G8" s="33"/>
      <c r="H8" s="34">
        <f>C21</f>
        <v>0</v>
      </c>
      <c r="J8" s="38" t="s">
        <v>89</v>
      </c>
    </row>
    <row r="9" spans="2:10" x14ac:dyDescent="0.25">
      <c r="B9" s="4" t="s">
        <v>75</v>
      </c>
      <c r="C9" s="26">
        <v>0.2</v>
      </c>
      <c r="D9" t="s">
        <v>79</v>
      </c>
      <c r="G9" s="35">
        <v>0.03</v>
      </c>
      <c r="H9" s="33">
        <f t="dataTable" ref="H9:H19" dt2D="0" dtr="0" r1="C15"/>
        <v>-21600</v>
      </c>
      <c r="J9" s="38" t="s">
        <v>90</v>
      </c>
    </row>
    <row r="10" spans="2:10" x14ac:dyDescent="0.25">
      <c r="B10" s="4" t="s">
        <v>78</v>
      </c>
      <c r="C10" s="26">
        <v>32</v>
      </c>
      <c r="D10" t="s">
        <v>79</v>
      </c>
      <c r="G10" s="35">
        <v>3.5000000000000003E-2</v>
      </c>
      <c r="H10" s="33">
        <v>-17700</v>
      </c>
      <c r="J10" s="38" t="s">
        <v>91</v>
      </c>
    </row>
    <row r="11" spans="2:10" x14ac:dyDescent="0.25">
      <c r="B11" s="6" t="s">
        <v>25</v>
      </c>
      <c r="C11" s="26">
        <f>C5+(C7+C8)*C14+(C9+C10)*C16</f>
        <v>230769.23076923098</v>
      </c>
      <c r="D11" t="str">
        <f ca="1">_xlfn.FORMULATEXT(C11)</f>
        <v>=C5+(C7+C8)*C14+(C9+C10)*C16</v>
      </c>
      <c r="G11" s="35">
        <v>0.04</v>
      </c>
      <c r="H11" s="33">
        <v>-13800</v>
      </c>
    </row>
    <row r="12" spans="2:10" x14ac:dyDescent="0.25">
      <c r="B12" s="4"/>
      <c r="C12" s="26"/>
      <c r="G12" s="35">
        <v>4.4999999999999998E-2</v>
      </c>
      <c r="H12" s="33">
        <v>-9900</v>
      </c>
    </row>
    <row r="13" spans="2:10" x14ac:dyDescent="0.25">
      <c r="B13" s="4"/>
      <c r="C13" s="26"/>
      <c r="G13" s="35">
        <v>0.05</v>
      </c>
      <c r="H13" s="33">
        <v>-6000</v>
      </c>
    </row>
    <row r="14" spans="2:10" x14ac:dyDescent="0.25">
      <c r="B14" s="4" t="s">
        <v>80</v>
      </c>
      <c r="C14" s="29">
        <v>100000</v>
      </c>
      <c r="G14" s="35">
        <v>5.5E-2</v>
      </c>
      <c r="H14" s="33">
        <v>-2100.0000000000291</v>
      </c>
    </row>
    <row r="15" spans="2:10" x14ac:dyDescent="0.25">
      <c r="B15" s="4" t="s">
        <v>81</v>
      </c>
      <c r="C15" s="28">
        <v>5.7692307692307751E-2</v>
      </c>
      <c r="G15" s="35">
        <v>0.06</v>
      </c>
      <c r="H15" s="33">
        <v>1799.9999999999709</v>
      </c>
    </row>
    <row r="16" spans="2:10" x14ac:dyDescent="0.25">
      <c r="B16" s="4" t="s">
        <v>82</v>
      </c>
      <c r="C16" s="29">
        <f>C14*C15</f>
        <v>5769.230769230775</v>
      </c>
      <c r="D16" t="str">
        <f ca="1">_xlfn.FORMULATEXT(C16)</f>
        <v>=C14*C15</v>
      </c>
      <c r="G16" s="35">
        <v>6.5000000000000002E-2</v>
      </c>
      <c r="H16" s="33">
        <v>5699.9999999999709</v>
      </c>
    </row>
    <row r="17" spans="2:8" x14ac:dyDescent="0.25">
      <c r="G17" s="35">
        <v>7.0000000000000007E-2</v>
      </c>
      <c r="H17" s="33">
        <v>9600</v>
      </c>
    </row>
    <row r="18" spans="2:8" x14ac:dyDescent="0.25">
      <c r="B18" s="6" t="s">
        <v>77</v>
      </c>
      <c r="G18" s="35">
        <v>7.4999999999999997E-2</v>
      </c>
      <c r="H18" s="33">
        <v>13500</v>
      </c>
    </row>
    <row r="19" spans="2:8" x14ac:dyDescent="0.25">
      <c r="B19" s="4" t="s">
        <v>76</v>
      </c>
      <c r="C19" s="26">
        <v>40</v>
      </c>
      <c r="G19" s="35">
        <v>0.08</v>
      </c>
      <c r="H19" s="33">
        <v>17400</v>
      </c>
    </row>
    <row r="20" spans="2:8" x14ac:dyDescent="0.25">
      <c r="B20" s="4" t="s">
        <v>32</v>
      </c>
      <c r="C20" s="26">
        <f>C19*C16</f>
        <v>230769.23076923098</v>
      </c>
      <c r="D20" t="str">
        <f ca="1">_xlfn.FORMULATEXT(C20)</f>
        <v>=C19*C16</v>
      </c>
      <c r="G20" s="32"/>
    </row>
    <row r="21" spans="2:8" x14ac:dyDescent="0.25">
      <c r="B21" s="6" t="s">
        <v>83</v>
      </c>
      <c r="C21" s="26">
        <f>C20-C11</f>
        <v>0</v>
      </c>
      <c r="D21" t="str">
        <f ca="1">_xlfn.FORMULATEXT(C21)</f>
        <v>=C20-C11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zoomScale="85" zoomScaleNormal="85" workbookViewId="0">
      <selection activeCell="G11" sqref="G11"/>
    </sheetView>
  </sheetViews>
  <sheetFormatPr defaultRowHeight="15" x14ac:dyDescent="0.25"/>
  <cols>
    <col min="2" max="2" width="23.42578125" customWidth="1"/>
    <col min="3" max="3" width="14.5703125" customWidth="1"/>
    <col min="10" max="10" width="13.42578125" customWidth="1"/>
    <col min="11" max="11" width="16.5703125" customWidth="1"/>
  </cols>
  <sheetData>
    <row r="3" spans="2:11" x14ac:dyDescent="0.25">
      <c r="B3" t="s">
        <v>94</v>
      </c>
      <c r="J3" t="s">
        <v>92</v>
      </c>
      <c r="K3" t="s">
        <v>93</v>
      </c>
    </row>
    <row r="4" spans="2:11" x14ac:dyDescent="0.25">
      <c r="B4" s="3" t="s">
        <v>69</v>
      </c>
      <c r="K4">
        <f>C19</f>
        <v>0</v>
      </c>
    </row>
    <row r="5" spans="2:11" x14ac:dyDescent="0.25">
      <c r="B5" s="4" t="s">
        <v>22</v>
      </c>
      <c r="C5">
        <v>500</v>
      </c>
      <c r="J5">
        <v>10</v>
      </c>
      <c r="K5">
        <f t="dataTable" ref="K5:K19" dt2D="0" dtr="0" r1="C13"/>
        <v>125500</v>
      </c>
    </row>
    <row r="6" spans="2:11" x14ac:dyDescent="0.25">
      <c r="B6" s="4" t="s">
        <v>95</v>
      </c>
      <c r="C6">
        <v>0.5</v>
      </c>
      <c r="D6" t="s">
        <v>97</v>
      </c>
      <c r="J6">
        <v>20</v>
      </c>
      <c r="K6">
        <v>251500</v>
      </c>
    </row>
    <row r="7" spans="2:11" x14ac:dyDescent="0.25">
      <c r="J7">
        <v>30</v>
      </c>
      <c r="K7">
        <v>377500</v>
      </c>
    </row>
    <row r="8" spans="2:11" x14ac:dyDescent="0.25">
      <c r="B8" s="3" t="s">
        <v>26</v>
      </c>
      <c r="J8">
        <v>40</v>
      </c>
      <c r="K8">
        <v>503500</v>
      </c>
    </row>
    <row r="9" spans="2:11" x14ac:dyDescent="0.25">
      <c r="B9" s="4" t="s">
        <v>96</v>
      </c>
      <c r="C9">
        <v>4</v>
      </c>
      <c r="D9" t="s">
        <v>97</v>
      </c>
      <c r="J9">
        <v>50</v>
      </c>
      <c r="K9">
        <v>629500</v>
      </c>
    </row>
    <row r="10" spans="2:11" x14ac:dyDescent="0.25">
      <c r="J10">
        <v>60</v>
      </c>
      <c r="K10">
        <v>755500</v>
      </c>
    </row>
    <row r="11" spans="2:11" x14ac:dyDescent="0.25">
      <c r="C11" s="39"/>
      <c r="J11">
        <v>70</v>
      </c>
      <c r="K11">
        <v>881500</v>
      </c>
    </row>
    <row r="12" spans="2:11" x14ac:dyDescent="0.25">
      <c r="B12" s="40" t="s">
        <v>98</v>
      </c>
      <c r="C12">
        <v>600</v>
      </c>
      <c r="J12">
        <v>80</v>
      </c>
      <c r="K12">
        <v>1007500</v>
      </c>
    </row>
    <row r="13" spans="2:11" x14ac:dyDescent="0.25">
      <c r="B13" t="s">
        <v>99</v>
      </c>
      <c r="C13" s="39">
        <v>3.9682539682539694E-2</v>
      </c>
      <c r="J13">
        <v>90</v>
      </c>
      <c r="K13">
        <v>1133500</v>
      </c>
    </row>
    <row r="14" spans="2:11" x14ac:dyDescent="0.25">
      <c r="B14" t="s">
        <v>100</v>
      </c>
      <c r="C14">
        <f>C12*C13*6</f>
        <v>142.85714285714289</v>
      </c>
      <c r="J14">
        <v>100</v>
      </c>
      <c r="K14">
        <v>1259500</v>
      </c>
    </row>
    <row r="15" spans="2:11" x14ac:dyDescent="0.25">
      <c r="J15">
        <v>110</v>
      </c>
      <c r="K15">
        <v>1385500</v>
      </c>
    </row>
    <row r="16" spans="2:11" x14ac:dyDescent="0.25">
      <c r="J16">
        <v>120</v>
      </c>
      <c r="K16">
        <v>1511500</v>
      </c>
    </row>
    <row r="17" spans="2:11" x14ac:dyDescent="0.25">
      <c r="B17" t="s">
        <v>101</v>
      </c>
      <c r="C17">
        <f>C5+C6*C14</f>
        <v>571.42857142857144</v>
      </c>
      <c r="J17">
        <v>130</v>
      </c>
      <c r="K17">
        <v>1637500</v>
      </c>
    </row>
    <row r="18" spans="2:11" x14ac:dyDescent="0.25">
      <c r="B18" t="s">
        <v>102</v>
      </c>
      <c r="C18">
        <f>C14*C9</f>
        <v>571.42857142857156</v>
      </c>
      <c r="J18">
        <v>140</v>
      </c>
      <c r="K18">
        <v>1763500</v>
      </c>
    </row>
    <row r="19" spans="2:11" x14ac:dyDescent="0.25">
      <c r="B19" t="s">
        <v>86</v>
      </c>
      <c r="C19">
        <f>C18-C17</f>
        <v>0</v>
      </c>
      <c r="J19">
        <v>150</v>
      </c>
      <c r="K19">
        <v>1889500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3" workbookViewId="0">
      <selection activeCell="O9" sqref="O9"/>
    </sheetView>
  </sheetViews>
  <sheetFormatPr defaultRowHeight="15" x14ac:dyDescent="0.25"/>
  <cols>
    <col min="1" max="1" width="12.85546875" customWidth="1"/>
    <col min="2" max="2" width="12.28515625" bestFit="1" customWidth="1"/>
    <col min="3" max="3" width="11.85546875" customWidth="1"/>
    <col min="5" max="5" width="11.85546875" customWidth="1"/>
    <col min="8" max="8" width="13" customWidth="1"/>
    <col min="9" max="9" width="12.5703125" customWidth="1"/>
    <col min="10" max="10" width="14.85546875" customWidth="1"/>
    <col min="11" max="11" width="11.7109375" customWidth="1"/>
    <col min="12" max="12" width="12.7109375" customWidth="1"/>
    <col min="13" max="13" width="12" customWidth="1"/>
    <col min="14" max="14" width="13.85546875" customWidth="1"/>
    <col min="15" max="16" width="11.28515625" bestFit="1" customWidth="1"/>
  </cols>
  <sheetData>
    <row r="1" spans="1:16" ht="20.25" thickBot="1" x14ac:dyDescent="0.3">
      <c r="A1" s="44" t="s">
        <v>103</v>
      </c>
      <c r="B1" s="45"/>
      <c r="C1" s="45"/>
    </row>
    <row r="2" spans="1:16" ht="15.75" thickTop="1" x14ac:dyDescent="0.25"/>
    <row r="4" spans="1:16" x14ac:dyDescent="0.25">
      <c r="A4" s="43" t="s">
        <v>104</v>
      </c>
      <c r="B4">
        <v>30</v>
      </c>
      <c r="E4" s="27" t="s">
        <v>105</v>
      </c>
      <c r="F4" s="41" t="s">
        <v>106</v>
      </c>
    </row>
    <row r="5" spans="1:16" x14ac:dyDescent="0.25">
      <c r="A5" s="43" t="s">
        <v>109</v>
      </c>
      <c r="B5">
        <v>10</v>
      </c>
      <c r="E5" s="27">
        <v>0</v>
      </c>
      <c r="F5" s="42">
        <v>24</v>
      </c>
    </row>
    <row r="6" spans="1:16" x14ac:dyDescent="0.25">
      <c r="A6" s="43"/>
      <c r="E6" s="27">
        <v>1000</v>
      </c>
      <c r="F6" s="42">
        <v>23</v>
      </c>
    </row>
    <row r="7" spans="1:16" x14ac:dyDescent="0.25">
      <c r="A7" s="43"/>
      <c r="E7" s="27">
        <v>2000</v>
      </c>
      <c r="F7" s="42">
        <v>22.25</v>
      </c>
    </row>
    <row r="8" spans="1:16" x14ac:dyDescent="0.25">
      <c r="A8" s="43"/>
      <c r="E8" s="27">
        <v>3000</v>
      </c>
      <c r="F8" s="42">
        <v>21.75</v>
      </c>
    </row>
    <row r="9" spans="1:16" x14ac:dyDescent="0.25">
      <c r="A9" s="43"/>
      <c r="E9" s="27">
        <v>4000</v>
      </c>
      <c r="F9" s="42">
        <v>21.3</v>
      </c>
    </row>
    <row r="10" spans="1:16" x14ac:dyDescent="0.25">
      <c r="A10" s="43"/>
    </row>
    <row r="11" spans="1:16" x14ac:dyDescent="0.25">
      <c r="A11" s="43" t="s">
        <v>34</v>
      </c>
      <c r="B11">
        <v>3000</v>
      </c>
      <c r="C11" t="s">
        <v>107</v>
      </c>
      <c r="H11" s="54" t="s">
        <v>113</v>
      </c>
      <c r="I11" s="54"/>
      <c r="J11" s="54"/>
      <c r="K11" s="54"/>
      <c r="L11" s="54"/>
      <c r="M11" s="54"/>
      <c r="N11" s="54"/>
      <c r="O11" s="54"/>
      <c r="P11" s="54"/>
    </row>
    <row r="12" spans="1:16" x14ac:dyDescent="0.25">
      <c r="A12" s="43" t="s">
        <v>108</v>
      </c>
      <c r="B12">
        <v>4000</v>
      </c>
      <c r="G12" s="20">
        <f>B22</f>
        <v>14800</v>
      </c>
      <c r="H12" s="18">
        <v>500</v>
      </c>
      <c r="I12" s="18">
        <v>1000</v>
      </c>
      <c r="J12" s="18">
        <v>1500</v>
      </c>
      <c r="K12" s="18">
        <v>2000</v>
      </c>
      <c r="L12" s="18">
        <v>2500</v>
      </c>
      <c r="M12" s="18">
        <v>3000</v>
      </c>
      <c r="N12" s="18">
        <v>3500</v>
      </c>
      <c r="O12" s="18">
        <v>4000</v>
      </c>
      <c r="P12" s="18">
        <v>4500</v>
      </c>
    </row>
    <row r="13" spans="1:16" x14ac:dyDescent="0.25">
      <c r="A13" s="43"/>
      <c r="F13" s="55" t="s">
        <v>108</v>
      </c>
      <c r="G13" s="18">
        <v>500</v>
      </c>
      <c r="H13" s="21">
        <f t="dataTable" ref="H13:P21" dt2D="1" dtr="1" r1="B11" r2="B12"/>
        <v>3000</v>
      </c>
      <c r="I13" s="21">
        <v>3000</v>
      </c>
      <c r="J13" s="21">
        <v>3000</v>
      </c>
      <c r="K13" s="21">
        <v>3000</v>
      </c>
      <c r="L13" s="21">
        <v>3000</v>
      </c>
      <c r="M13" s="21">
        <v>3000</v>
      </c>
      <c r="N13" s="21">
        <v>3000</v>
      </c>
      <c r="O13" s="21">
        <v>3000</v>
      </c>
      <c r="P13" s="21">
        <v>3000</v>
      </c>
    </row>
    <row r="14" spans="1:16" x14ac:dyDescent="0.25">
      <c r="A14" s="43" t="s">
        <v>110</v>
      </c>
      <c r="B14">
        <f>MAX(B12-B11,0)</f>
        <v>1000</v>
      </c>
      <c r="C14" t="str">
        <f ca="1">_xlfn.FORMULATEXT(B14)</f>
        <v>=MAX(B12-B11,0)</v>
      </c>
      <c r="F14" s="55"/>
      <c r="G14" s="18">
        <v>1000</v>
      </c>
      <c r="H14" s="21">
        <v>-3000</v>
      </c>
      <c r="I14" s="21">
        <v>7000</v>
      </c>
      <c r="J14" s="21">
        <v>7000</v>
      </c>
      <c r="K14" s="21">
        <v>7000</v>
      </c>
      <c r="L14" s="21">
        <v>7000</v>
      </c>
      <c r="M14" s="21">
        <v>7000</v>
      </c>
      <c r="N14" s="21">
        <v>7000</v>
      </c>
      <c r="O14" s="21">
        <v>7000</v>
      </c>
      <c r="P14" s="21">
        <v>7000</v>
      </c>
    </row>
    <row r="15" spans="1:16" x14ac:dyDescent="0.25">
      <c r="A15" s="43" t="s">
        <v>111</v>
      </c>
      <c r="B15">
        <f>IF(B11&gt;B12,0,B12-B11)</f>
        <v>1000</v>
      </c>
      <c r="C15" t="str">
        <f ca="1">_xlfn.FORMULATEXT(B15)</f>
        <v>=IF(B11&gt;B12,0,B12-B11)</v>
      </c>
      <c r="F15" s="55"/>
      <c r="G15" s="18">
        <v>1500</v>
      </c>
      <c r="H15" s="21">
        <v>-9500</v>
      </c>
      <c r="I15" s="21">
        <v>500</v>
      </c>
      <c r="J15" s="21">
        <v>10500</v>
      </c>
      <c r="K15" s="21">
        <v>10500</v>
      </c>
      <c r="L15" s="21">
        <v>10500</v>
      </c>
      <c r="M15" s="21">
        <v>10500</v>
      </c>
      <c r="N15" s="21">
        <v>10500</v>
      </c>
      <c r="O15" s="21">
        <v>10500</v>
      </c>
      <c r="P15" s="21">
        <v>10500</v>
      </c>
    </row>
    <row r="16" spans="1:16" x14ac:dyDescent="0.25">
      <c r="A16" s="43"/>
      <c r="F16" s="55"/>
      <c r="G16" s="18">
        <v>2000</v>
      </c>
      <c r="H16" s="21">
        <v>-14500</v>
      </c>
      <c r="I16" s="21">
        <v>-4500</v>
      </c>
      <c r="J16" s="21">
        <v>5500</v>
      </c>
      <c r="K16" s="21">
        <v>15500</v>
      </c>
      <c r="L16" s="21">
        <v>15500</v>
      </c>
      <c r="M16" s="21">
        <v>15500</v>
      </c>
      <c r="N16" s="21">
        <v>15500</v>
      </c>
      <c r="O16" s="21">
        <v>15500</v>
      </c>
      <c r="P16" s="21">
        <v>15500</v>
      </c>
    </row>
    <row r="17" spans="1:16" x14ac:dyDescent="0.25">
      <c r="A17" s="43"/>
      <c r="F17" s="55"/>
      <c r="G17" s="18">
        <v>2500</v>
      </c>
      <c r="H17" s="21">
        <v>-20625</v>
      </c>
      <c r="I17" s="21">
        <v>-10625</v>
      </c>
      <c r="J17" s="21">
        <v>-625</v>
      </c>
      <c r="K17" s="21">
        <v>9375</v>
      </c>
      <c r="L17" s="21">
        <v>19375</v>
      </c>
      <c r="M17" s="21">
        <v>19375</v>
      </c>
      <c r="N17" s="21">
        <v>19375</v>
      </c>
      <c r="O17" s="21">
        <v>19375</v>
      </c>
      <c r="P17" s="21">
        <v>19375</v>
      </c>
    </row>
    <row r="18" spans="1:16" x14ac:dyDescent="0.25">
      <c r="A18" s="43" t="s">
        <v>36</v>
      </c>
      <c r="B18" s="8">
        <f>VLOOKUP(B12,E4:F9,2,TRUE)*B12</f>
        <v>85200</v>
      </c>
      <c r="C18" t="str">
        <f ca="1">_xlfn.FORMULATEXT(B18)</f>
        <v>=VLOOKUP(B12,E4:F9,2,TRUE)*B12</v>
      </c>
      <c r="F18" s="55"/>
      <c r="G18" s="18">
        <v>3000</v>
      </c>
      <c r="H18" s="21">
        <v>-25250</v>
      </c>
      <c r="I18" s="21">
        <v>-15250</v>
      </c>
      <c r="J18" s="21">
        <v>-5250</v>
      </c>
      <c r="K18" s="21">
        <v>4750</v>
      </c>
      <c r="L18" s="21">
        <v>14750</v>
      </c>
      <c r="M18" s="21">
        <v>24750</v>
      </c>
      <c r="N18" s="21">
        <v>24750</v>
      </c>
      <c r="O18" s="21">
        <v>24750</v>
      </c>
      <c r="P18" s="21">
        <v>24750</v>
      </c>
    </row>
    <row r="19" spans="1:16" x14ac:dyDescent="0.25">
      <c r="A19" s="43"/>
      <c r="F19" s="55"/>
      <c r="G19" s="18">
        <v>3500</v>
      </c>
      <c r="H19" s="21">
        <v>-31125</v>
      </c>
      <c r="I19" s="21">
        <v>-21125</v>
      </c>
      <c r="J19" s="21">
        <v>-11125</v>
      </c>
      <c r="K19" s="21">
        <v>-1125</v>
      </c>
      <c r="L19" s="21">
        <v>8875</v>
      </c>
      <c r="M19" s="21">
        <v>18875</v>
      </c>
      <c r="N19" s="21">
        <v>28875</v>
      </c>
      <c r="O19" s="21">
        <v>28875</v>
      </c>
      <c r="P19" s="21">
        <v>28875</v>
      </c>
    </row>
    <row r="20" spans="1:16" x14ac:dyDescent="0.25">
      <c r="A20" s="43" t="s">
        <v>77</v>
      </c>
      <c r="B20" s="8">
        <f>MIN(B11:B12)*B4+B14*B5</f>
        <v>100000</v>
      </c>
      <c r="C20" t="str">
        <f ca="1">_xlfn.FORMULATEXT(B20)</f>
        <v>=MIN(B11:B12)*B4+B14*B5</v>
      </c>
      <c r="F20" s="55"/>
      <c r="G20" s="18">
        <v>4000</v>
      </c>
      <c r="H20" s="21">
        <v>-35200</v>
      </c>
      <c r="I20" s="21">
        <v>-25200</v>
      </c>
      <c r="J20" s="21">
        <v>-15200</v>
      </c>
      <c r="K20" s="21">
        <v>-5200</v>
      </c>
      <c r="L20" s="21">
        <v>4800</v>
      </c>
      <c r="M20" s="21">
        <v>14800</v>
      </c>
      <c r="N20" s="21">
        <v>24800</v>
      </c>
      <c r="O20" s="21">
        <v>34800</v>
      </c>
      <c r="P20" s="21">
        <v>34800</v>
      </c>
    </row>
    <row r="21" spans="1:16" x14ac:dyDescent="0.25">
      <c r="A21" s="43"/>
      <c r="F21" s="55"/>
      <c r="G21" s="18">
        <v>4500</v>
      </c>
      <c r="H21" s="21">
        <v>-40850</v>
      </c>
      <c r="I21" s="21">
        <v>-30850</v>
      </c>
      <c r="J21" s="21">
        <v>-20850</v>
      </c>
      <c r="K21" s="21">
        <v>-10850</v>
      </c>
      <c r="L21" s="21">
        <v>-850</v>
      </c>
      <c r="M21" s="21">
        <v>9150</v>
      </c>
      <c r="N21" s="21">
        <v>19150</v>
      </c>
      <c r="O21" s="21">
        <v>29150</v>
      </c>
      <c r="P21" s="21">
        <v>39150</v>
      </c>
    </row>
    <row r="22" spans="1:16" x14ac:dyDescent="0.25">
      <c r="A22" s="43" t="s">
        <v>112</v>
      </c>
      <c r="B22" s="8">
        <f>B20-B18</f>
        <v>14800</v>
      </c>
      <c r="C22" t="str">
        <f ca="1">_xlfn.FORMULATEXT(B22)</f>
        <v>=B20-B18</v>
      </c>
    </row>
  </sheetData>
  <mergeCells count="2">
    <mergeCell ref="H11:P11"/>
    <mergeCell ref="F13:F21"/>
  </mergeCells>
  <conditionalFormatting sqref="H13:P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opLeftCell="B2" workbookViewId="0">
      <selection activeCell="K17" sqref="K17"/>
    </sheetView>
  </sheetViews>
  <sheetFormatPr defaultRowHeight="15" x14ac:dyDescent="0.25"/>
  <cols>
    <col min="2" max="2" width="27" customWidth="1"/>
    <col min="3" max="3" width="14.140625" customWidth="1"/>
    <col min="5" max="5" width="19.7109375" customWidth="1"/>
    <col min="13" max="13" width="16.5703125" customWidth="1"/>
  </cols>
  <sheetData>
    <row r="2" spans="2:14" x14ac:dyDescent="0.25">
      <c r="B2" t="s">
        <v>117</v>
      </c>
      <c r="C2">
        <v>3</v>
      </c>
    </row>
    <row r="3" spans="2:14" x14ac:dyDescent="0.25">
      <c r="B3" t="s">
        <v>118</v>
      </c>
      <c r="C3">
        <f>100000*C2</f>
        <v>300000</v>
      </c>
      <c r="D3" t="str">
        <f ca="1">_xlfn.FORMULATEXT(C3)</f>
        <v>=100000*C2</v>
      </c>
      <c r="M3" s="18" t="s">
        <v>129</v>
      </c>
      <c r="N3" s="18"/>
    </row>
    <row r="4" spans="2:14" x14ac:dyDescent="0.25">
      <c r="M4" s="18"/>
      <c r="N4" s="18">
        <f>F18</f>
        <v>4200</v>
      </c>
    </row>
    <row r="5" spans="2:14" x14ac:dyDescent="0.25">
      <c r="F5" s="18">
        <f>F18</f>
        <v>4200</v>
      </c>
      <c r="G5" s="18">
        <v>500</v>
      </c>
      <c r="H5" s="18">
        <v>1000</v>
      </c>
      <c r="I5" s="18">
        <v>1500</v>
      </c>
      <c r="J5" s="18">
        <v>2000</v>
      </c>
      <c r="K5" s="18">
        <v>2500</v>
      </c>
      <c r="M5" s="18">
        <v>1</v>
      </c>
      <c r="N5" s="18">
        <f t="dataTable" ref="N5:N9" dt2D="0" dtr="0" r1="C2" ca="1"/>
        <v>-5800</v>
      </c>
    </row>
    <row r="6" spans="2:14" x14ac:dyDescent="0.25">
      <c r="F6" s="18">
        <v>1</v>
      </c>
      <c r="G6" s="18">
        <f t="dataTable" ref="G6:K10" dt2D="1" dtr="1" r1="C7" r2="C2"/>
        <v>-5800</v>
      </c>
      <c r="H6" s="18">
        <v>-5800</v>
      </c>
      <c r="I6" s="18">
        <v>-5800</v>
      </c>
      <c r="J6" s="18">
        <v>-5800</v>
      </c>
      <c r="K6" s="18">
        <v>-5800</v>
      </c>
      <c r="M6" s="18">
        <v>2</v>
      </c>
      <c r="N6" s="18">
        <v>-800</v>
      </c>
    </row>
    <row r="7" spans="2:14" x14ac:dyDescent="0.25">
      <c r="B7" t="s">
        <v>114</v>
      </c>
      <c r="C7">
        <v>1000</v>
      </c>
      <c r="F7" s="18">
        <v>2</v>
      </c>
      <c r="G7" s="18">
        <v>-2550</v>
      </c>
      <c r="H7" s="18">
        <v>-800</v>
      </c>
      <c r="I7" s="18">
        <v>-800</v>
      </c>
      <c r="J7" s="18">
        <v>-800</v>
      </c>
      <c r="K7" s="18">
        <v>-800</v>
      </c>
      <c r="M7" s="18">
        <v>3</v>
      </c>
      <c r="N7" s="18">
        <v>4200</v>
      </c>
    </row>
    <row r="8" spans="2:14" x14ac:dyDescent="0.25">
      <c r="B8" t="s">
        <v>115</v>
      </c>
      <c r="C8">
        <f>365*C7</f>
        <v>365000</v>
      </c>
      <c r="D8" t="str">
        <f ca="1">_xlfn.FORMULATEXT(C8)</f>
        <v>=365*C7</v>
      </c>
      <c r="F8" s="18">
        <v>3</v>
      </c>
      <c r="G8" s="18">
        <v>-7550</v>
      </c>
      <c r="H8" s="18">
        <v>4200</v>
      </c>
      <c r="I8" s="18">
        <v>4200</v>
      </c>
      <c r="J8" s="18">
        <v>4200</v>
      </c>
      <c r="K8" s="18">
        <v>4200</v>
      </c>
      <c r="M8" s="18">
        <v>4</v>
      </c>
      <c r="N8" s="18">
        <v>5700</v>
      </c>
    </row>
    <row r="9" spans="2:14" x14ac:dyDescent="0.25">
      <c r="F9" s="18">
        <v>4</v>
      </c>
      <c r="G9" s="18">
        <v>-12550</v>
      </c>
      <c r="H9" s="18">
        <v>5700</v>
      </c>
      <c r="I9" s="18">
        <v>9200</v>
      </c>
      <c r="J9" s="18">
        <v>9200</v>
      </c>
      <c r="K9" s="18">
        <v>9200</v>
      </c>
      <c r="M9" s="18">
        <v>5</v>
      </c>
      <c r="N9" s="18">
        <v>700</v>
      </c>
    </row>
    <row r="10" spans="2:14" x14ac:dyDescent="0.25">
      <c r="F10" s="18">
        <v>5</v>
      </c>
      <c r="G10" s="18">
        <v>-17550</v>
      </c>
      <c r="H10" s="18">
        <v>700</v>
      </c>
      <c r="I10" s="18">
        <v>14200</v>
      </c>
      <c r="J10" s="18">
        <v>14200</v>
      </c>
      <c r="K10" s="18">
        <v>14200</v>
      </c>
    </row>
    <row r="11" spans="2:14" x14ac:dyDescent="0.25">
      <c r="B11" t="s">
        <v>116</v>
      </c>
      <c r="C11">
        <f>C3</f>
        <v>300000</v>
      </c>
    </row>
    <row r="14" spans="2:14" x14ac:dyDescent="0.25">
      <c r="B14" t="s">
        <v>119</v>
      </c>
      <c r="C14">
        <v>5000</v>
      </c>
    </row>
    <row r="15" spans="2:14" x14ac:dyDescent="0.25">
      <c r="B15" t="s">
        <v>120</v>
      </c>
      <c r="C15">
        <f>C14*C2</f>
        <v>15000</v>
      </c>
      <c r="D15" t="str">
        <f ca="1">_xlfn.FORMULATEXT(C15)</f>
        <v>=C14*C2</v>
      </c>
    </row>
    <row r="16" spans="2:14" x14ac:dyDescent="0.25">
      <c r="E16" t="s">
        <v>126</v>
      </c>
      <c r="F16">
        <v>0.1</v>
      </c>
    </row>
    <row r="17" spans="2:7" x14ac:dyDescent="0.25">
      <c r="B17" t="s">
        <v>121</v>
      </c>
      <c r="C17">
        <v>0.03</v>
      </c>
      <c r="E17" t="s">
        <v>127</v>
      </c>
      <c r="F17">
        <f>MIN(C8:C11)*F16</f>
        <v>30000</v>
      </c>
      <c r="G17" t="str">
        <f ca="1">_xlfn.FORMULATEXT(F17)</f>
        <v>=MIN(C8:C11)*F16</v>
      </c>
    </row>
    <row r="18" spans="2:7" x14ac:dyDescent="0.25">
      <c r="B18" t="s">
        <v>122</v>
      </c>
      <c r="C18">
        <v>6000</v>
      </c>
      <c r="E18" t="s">
        <v>128</v>
      </c>
      <c r="F18">
        <f>F17-C23</f>
        <v>4200</v>
      </c>
    </row>
    <row r="20" spans="2:7" x14ac:dyDescent="0.25">
      <c r="B20" t="s">
        <v>123</v>
      </c>
      <c r="C20">
        <v>400</v>
      </c>
    </row>
    <row r="21" spans="2:7" x14ac:dyDescent="0.25">
      <c r="B21" t="s">
        <v>124</v>
      </c>
      <c r="C21">
        <f>C20*12</f>
        <v>4800</v>
      </c>
    </row>
    <row r="23" spans="2:7" x14ac:dyDescent="0.25">
      <c r="B23" t="s">
        <v>125</v>
      </c>
      <c r="C23">
        <f>C15+C18+C21</f>
        <v>25800</v>
      </c>
      <c r="D23" t="str">
        <f ca="1">_xlfn.FORMULATEXT(C23)</f>
        <v>=C15+C18+C21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D12" sqref="D12"/>
    </sheetView>
  </sheetViews>
  <sheetFormatPr defaultRowHeight="15" x14ac:dyDescent="0.25"/>
  <cols>
    <col min="1" max="1" width="23.85546875" customWidth="1"/>
  </cols>
  <sheetData>
    <row r="2" spans="1:2" x14ac:dyDescent="0.25">
      <c r="A2" t="s">
        <v>20</v>
      </c>
    </row>
    <row r="3" spans="1:2" x14ac:dyDescent="0.25">
      <c r="A3" t="s">
        <v>130</v>
      </c>
      <c r="B3">
        <v>5.5</v>
      </c>
    </row>
    <row r="5" spans="1:2" x14ac:dyDescent="0.25">
      <c r="A5" t="s">
        <v>131</v>
      </c>
      <c r="B5">
        <v>5</v>
      </c>
    </row>
    <row r="6" spans="1:2" x14ac:dyDescent="0.25">
      <c r="A6" t="s">
        <v>132</v>
      </c>
      <c r="B6">
        <v>30</v>
      </c>
    </row>
    <row r="8" spans="1:2" x14ac:dyDescent="0.25">
      <c r="A8" t="s">
        <v>133</v>
      </c>
      <c r="B8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94" workbookViewId="0">
      <selection activeCell="P105" sqref="P105"/>
    </sheetView>
  </sheetViews>
  <sheetFormatPr defaultRowHeight="15" x14ac:dyDescent="0.25"/>
  <cols>
    <col min="1" max="1" width="13.140625" customWidth="1"/>
    <col min="2" max="2" width="15.140625" customWidth="1"/>
    <col min="3" max="3" width="15.85546875" customWidth="1"/>
    <col min="4" max="4" width="17.7109375" customWidth="1"/>
    <col min="5" max="5" width="13.140625" customWidth="1"/>
    <col min="7" max="7" width="9.28515625" bestFit="1" customWidth="1"/>
    <col min="8" max="8" width="12.7109375" bestFit="1" customWidth="1"/>
  </cols>
  <sheetData>
    <row r="1" spans="1:6" x14ac:dyDescent="0.25">
      <c r="A1" s="18"/>
      <c r="B1" s="18"/>
      <c r="C1" s="18"/>
    </row>
    <row r="2" spans="1:6" x14ac:dyDescent="0.25">
      <c r="A2" s="18" t="s">
        <v>134</v>
      </c>
      <c r="B2" s="18" t="s">
        <v>135</v>
      </c>
      <c r="C2" s="18" t="s">
        <v>113</v>
      </c>
    </row>
    <row r="3" spans="1:6" x14ac:dyDescent="0.25">
      <c r="A3" s="18">
        <v>1</v>
      </c>
      <c r="B3" s="18">
        <v>450</v>
      </c>
      <c r="C3" s="18">
        <v>45</v>
      </c>
    </row>
    <row r="4" spans="1:6" x14ac:dyDescent="0.25">
      <c r="A4" s="18">
        <v>2</v>
      </c>
      <c r="B4" s="18">
        <v>300</v>
      </c>
      <c r="C4" s="18">
        <v>103</v>
      </c>
    </row>
    <row r="5" spans="1:6" x14ac:dyDescent="0.25">
      <c r="A5" s="18">
        <v>3</v>
      </c>
      <c r="B5" s="18">
        <v>440</v>
      </c>
      <c r="C5" s="18">
        <v>49</v>
      </c>
    </row>
    <row r="6" spans="1:6" x14ac:dyDescent="0.25">
      <c r="A6" s="18">
        <v>4</v>
      </c>
      <c r="B6" s="18">
        <v>360</v>
      </c>
      <c r="C6" s="18">
        <v>86</v>
      </c>
    </row>
    <row r="7" spans="1:6" x14ac:dyDescent="0.25">
      <c r="A7" s="18">
        <v>5</v>
      </c>
      <c r="B7" s="18">
        <v>290</v>
      </c>
      <c r="C7" s="18">
        <v>125</v>
      </c>
    </row>
    <row r="8" spans="1:6" x14ac:dyDescent="0.25">
      <c r="A8" s="18">
        <v>6</v>
      </c>
      <c r="B8" s="18">
        <v>450</v>
      </c>
      <c r="C8" s="18">
        <v>52</v>
      </c>
    </row>
    <row r="9" spans="1:6" x14ac:dyDescent="0.25">
      <c r="A9" s="18">
        <v>7</v>
      </c>
      <c r="B9" s="18">
        <v>340</v>
      </c>
      <c r="C9" s="18">
        <v>87</v>
      </c>
    </row>
    <row r="10" spans="1:6" x14ac:dyDescent="0.25">
      <c r="A10" s="18">
        <v>8</v>
      </c>
      <c r="B10" s="18">
        <v>370</v>
      </c>
      <c r="C10" s="18">
        <v>68</v>
      </c>
    </row>
    <row r="11" spans="1:6" x14ac:dyDescent="0.25">
      <c r="A11" s="18">
        <v>9</v>
      </c>
      <c r="B11" s="18">
        <v>500</v>
      </c>
      <c r="C11" s="18">
        <v>45</v>
      </c>
    </row>
    <row r="12" spans="1:6" x14ac:dyDescent="0.25">
      <c r="A12" s="18">
        <v>10</v>
      </c>
      <c r="B12" s="18">
        <v>490</v>
      </c>
      <c r="C12" s="18">
        <v>44</v>
      </c>
    </row>
    <row r="13" spans="1:6" x14ac:dyDescent="0.25">
      <c r="A13" s="18">
        <v>11</v>
      </c>
      <c r="B13" s="18">
        <v>430</v>
      </c>
      <c r="C13" s="18">
        <v>58</v>
      </c>
    </row>
    <row r="14" spans="1:6" x14ac:dyDescent="0.25">
      <c r="A14" s="18">
        <v>12</v>
      </c>
      <c r="B14" s="18">
        <v>390</v>
      </c>
      <c r="C14" s="18">
        <v>68</v>
      </c>
    </row>
    <row r="16" spans="1:6" x14ac:dyDescent="0.25">
      <c r="A16" s="56" t="s">
        <v>136</v>
      </c>
      <c r="B16" s="57"/>
      <c r="C16" s="56" t="s">
        <v>139</v>
      </c>
      <c r="D16" s="57"/>
      <c r="E16" s="18" t="s">
        <v>142</v>
      </c>
      <c r="F16" s="18"/>
    </row>
    <row r="17" spans="1:9" x14ac:dyDescent="0.25">
      <c r="A17" s="18" t="s">
        <v>137</v>
      </c>
      <c r="B17" s="18">
        <v>211.31</v>
      </c>
      <c r="C17" s="18" t="s">
        <v>140</v>
      </c>
      <c r="D17" s="18">
        <v>5871064</v>
      </c>
      <c r="E17" s="18" t="s">
        <v>144</v>
      </c>
      <c r="F17" s="18">
        <v>466.51</v>
      </c>
    </row>
    <row r="18" spans="1:9" x14ac:dyDescent="0.25">
      <c r="A18" s="18" t="s">
        <v>138</v>
      </c>
      <c r="B18" s="18">
        <v>-0.35476000000000002</v>
      </c>
      <c r="C18" s="18" t="s">
        <v>141</v>
      </c>
      <c r="D18" s="18">
        <v>-1.9079999999999999</v>
      </c>
      <c r="E18" s="18" t="s">
        <v>143</v>
      </c>
      <c r="F18" s="18">
        <v>-5.0000000000000001E-3</v>
      </c>
    </row>
    <row r="20" spans="1:9" x14ac:dyDescent="0.25">
      <c r="A20" t="s">
        <v>145</v>
      </c>
      <c r="F20" s="18" t="s">
        <v>150</v>
      </c>
      <c r="G20" s="18"/>
      <c r="H20" s="18"/>
      <c r="I20" s="18"/>
    </row>
    <row r="21" spans="1:9" x14ac:dyDescent="0.25">
      <c r="A21" s="18" t="s">
        <v>135</v>
      </c>
      <c r="B21" s="18" t="s">
        <v>146</v>
      </c>
      <c r="C21" s="18" t="s">
        <v>147</v>
      </c>
      <c r="D21" s="18" t="s">
        <v>148</v>
      </c>
      <c r="E21" s="48" t="s">
        <v>149</v>
      </c>
      <c r="F21" s="19" t="s">
        <v>146</v>
      </c>
      <c r="G21" s="19" t="s">
        <v>147</v>
      </c>
      <c r="H21" s="19" t="s">
        <v>148</v>
      </c>
      <c r="I21" s="18"/>
    </row>
    <row r="22" spans="1:9" x14ac:dyDescent="0.25">
      <c r="A22" s="18">
        <v>450</v>
      </c>
      <c r="B22" s="47">
        <f>$B$18*A22+$B$17</f>
        <v>51.668000000000006</v>
      </c>
      <c r="C22" s="47">
        <f>$D$17*A22^$D$18</f>
        <v>50.861286169919921</v>
      </c>
      <c r="D22" s="47">
        <f>$F$17*EXP($F$18*A22)</f>
        <v>49.169792250355329</v>
      </c>
      <c r="E22" s="48">
        <v>45</v>
      </c>
      <c r="F22" s="49">
        <f>ABS(B22-E22)/E22</f>
        <v>0.14817777777777791</v>
      </c>
      <c r="G22" s="49">
        <f>ABS(C22-E22)/E22</f>
        <v>0.13025080377599826</v>
      </c>
      <c r="H22" s="49">
        <f>ABS(D22-E22)/E22</f>
        <v>9.2662050007896193E-2</v>
      </c>
      <c r="I22" s="18"/>
    </row>
    <row r="23" spans="1:9" x14ac:dyDescent="0.25">
      <c r="A23" s="18">
        <v>300</v>
      </c>
      <c r="B23" s="47">
        <f t="shared" ref="B23:B33" si="0">$B$18*A23+$B$17</f>
        <v>104.88199999999999</v>
      </c>
      <c r="C23" s="47">
        <f t="shared" ref="C23:C33" si="1">$D$17*A23^$D$18</f>
        <v>110.2476803704582</v>
      </c>
      <c r="D23" s="47">
        <f t="shared" ref="D23:D33" si="2">$F$17*EXP($F$18*A23)</f>
        <v>104.09245101084399</v>
      </c>
      <c r="E23" s="48">
        <v>103</v>
      </c>
      <c r="F23" s="49">
        <f t="shared" ref="F23:F33" si="3">ABS(B23-E23)/E23</f>
        <v>1.8271844660194086E-2</v>
      </c>
      <c r="G23" s="49">
        <f t="shared" ref="G23:G33" si="4">ABS(C23-E23)/E23</f>
        <v>7.0365828839399985E-2</v>
      </c>
      <c r="H23" s="49">
        <f t="shared" ref="H23:H33" si="5">ABS(D23-E23)/E23</f>
        <v>1.0606320493630948E-2</v>
      </c>
      <c r="I23" s="18"/>
    </row>
    <row r="24" spans="1:9" x14ac:dyDescent="0.25">
      <c r="A24" s="18">
        <v>440</v>
      </c>
      <c r="B24" s="47">
        <f t="shared" si="0"/>
        <v>55.215599999999995</v>
      </c>
      <c r="C24" s="47">
        <f t="shared" si="1"/>
        <v>53.089557787712614</v>
      </c>
      <c r="D24" s="47">
        <f t="shared" si="2"/>
        <v>51.69078140761237</v>
      </c>
      <c r="E24" s="48">
        <v>49</v>
      </c>
      <c r="F24" s="49">
        <f t="shared" si="3"/>
        <v>0.12684897959183664</v>
      </c>
      <c r="G24" s="49">
        <f t="shared" si="4"/>
        <v>8.3460363014543154E-2</v>
      </c>
      <c r="H24" s="49">
        <f t="shared" si="5"/>
        <v>5.4913906277803466E-2</v>
      </c>
      <c r="I24" s="18"/>
    </row>
    <row r="25" spans="1:9" x14ac:dyDescent="0.25">
      <c r="A25" s="18">
        <v>360</v>
      </c>
      <c r="B25" s="47">
        <f t="shared" si="0"/>
        <v>83.596399999999988</v>
      </c>
      <c r="C25" s="47">
        <f t="shared" si="1"/>
        <v>77.85592038588905</v>
      </c>
      <c r="D25" s="47">
        <f t="shared" si="2"/>
        <v>77.113584344252331</v>
      </c>
      <c r="E25" s="48">
        <v>86</v>
      </c>
      <c r="F25" s="49">
        <f t="shared" si="3"/>
        <v>2.7948837209302458E-2</v>
      </c>
      <c r="G25" s="49">
        <f t="shared" si="4"/>
        <v>9.4698600164080812E-2</v>
      </c>
      <c r="H25" s="49">
        <f t="shared" si="5"/>
        <v>0.10333041460171709</v>
      </c>
      <c r="I25" s="18"/>
    </row>
    <row r="26" spans="1:9" x14ac:dyDescent="0.25">
      <c r="A26" s="18">
        <v>290</v>
      </c>
      <c r="B26" s="47">
        <f t="shared" si="0"/>
        <v>108.42959999999999</v>
      </c>
      <c r="C26" s="47">
        <f t="shared" si="1"/>
        <v>117.61465381582187</v>
      </c>
      <c r="D26" s="47">
        <f t="shared" si="2"/>
        <v>109.42938509863754</v>
      </c>
      <c r="E26" s="48">
        <v>125</v>
      </c>
      <c r="F26" s="49">
        <f t="shared" si="3"/>
        <v>0.13256320000000005</v>
      </c>
      <c r="G26" s="49">
        <f t="shared" si="4"/>
        <v>5.9082769473425063E-2</v>
      </c>
      <c r="H26" s="49">
        <f t="shared" si="5"/>
        <v>0.12456491921089968</v>
      </c>
      <c r="I26" s="18"/>
    </row>
    <row r="27" spans="1:9" x14ac:dyDescent="0.25">
      <c r="A27" s="18">
        <v>450</v>
      </c>
      <c r="B27" s="47">
        <f t="shared" si="0"/>
        <v>51.668000000000006</v>
      </c>
      <c r="C27" s="47">
        <f t="shared" si="1"/>
        <v>50.861286169919921</v>
      </c>
      <c r="D27" s="47">
        <f t="shared" si="2"/>
        <v>49.169792250355329</v>
      </c>
      <c r="E27" s="48">
        <v>52</v>
      </c>
      <c r="F27" s="49">
        <f t="shared" si="3"/>
        <v>6.3846153846152621E-3</v>
      </c>
      <c r="G27" s="49">
        <f t="shared" si="4"/>
        <v>2.1898342886155355E-2</v>
      </c>
      <c r="H27" s="49">
        <f t="shared" si="5"/>
        <v>5.4427072108551369E-2</v>
      </c>
      <c r="I27" s="18"/>
    </row>
    <row r="28" spans="1:9" x14ac:dyDescent="0.25">
      <c r="A28" s="18">
        <v>340</v>
      </c>
      <c r="B28" s="47">
        <f t="shared" si="0"/>
        <v>90.691599999999994</v>
      </c>
      <c r="C28" s="47">
        <f t="shared" si="1"/>
        <v>86.827049006961417</v>
      </c>
      <c r="D28" s="47">
        <f t="shared" si="2"/>
        <v>85.223690805841244</v>
      </c>
      <c r="E28" s="48">
        <v>87</v>
      </c>
      <c r="F28" s="49">
        <f t="shared" si="3"/>
        <v>4.2432183908045908E-2</v>
      </c>
      <c r="G28" s="49">
        <f t="shared" si="4"/>
        <v>1.9879424487193459E-3</v>
      </c>
      <c r="H28" s="49">
        <f t="shared" si="5"/>
        <v>2.0417347059296046E-2</v>
      </c>
      <c r="I28" s="18"/>
    </row>
    <row r="29" spans="1:9" x14ac:dyDescent="0.25">
      <c r="A29" s="18">
        <v>370</v>
      </c>
      <c r="B29" s="47">
        <f t="shared" si="0"/>
        <v>80.0488</v>
      </c>
      <c r="C29" s="47">
        <f t="shared" si="1"/>
        <v>73.890384263545585</v>
      </c>
      <c r="D29" s="47">
        <f t="shared" si="2"/>
        <v>73.352710456970414</v>
      </c>
      <c r="E29" s="48">
        <v>68</v>
      </c>
      <c r="F29" s="49">
        <f t="shared" si="3"/>
        <v>0.17718823529411765</v>
      </c>
      <c r="G29" s="49">
        <f t="shared" si="4"/>
        <v>8.6623297993317416E-2</v>
      </c>
      <c r="H29" s="49">
        <f t="shared" si="5"/>
        <v>7.8716330249564911E-2</v>
      </c>
      <c r="I29" s="18"/>
    </row>
    <row r="30" spans="1:9" x14ac:dyDescent="0.25">
      <c r="A30" s="18">
        <v>500</v>
      </c>
      <c r="B30" s="47">
        <f t="shared" si="0"/>
        <v>33.929999999999978</v>
      </c>
      <c r="C30" s="47">
        <f t="shared" si="1"/>
        <v>41.59891911995917</v>
      </c>
      <c r="D30" s="47">
        <f t="shared" si="2"/>
        <v>38.293472708035026</v>
      </c>
      <c r="E30" s="48">
        <v>45</v>
      </c>
      <c r="F30" s="49">
        <f t="shared" si="3"/>
        <v>0.24600000000000047</v>
      </c>
      <c r="G30" s="49">
        <f t="shared" si="4"/>
        <v>7.5579575112018446E-2</v>
      </c>
      <c r="H30" s="49">
        <f t="shared" si="5"/>
        <v>0.14903393982144386</v>
      </c>
      <c r="I30" s="18"/>
    </row>
    <row r="31" spans="1:9" x14ac:dyDescent="0.25">
      <c r="A31" s="18">
        <v>490</v>
      </c>
      <c r="B31" s="47">
        <f t="shared" si="0"/>
        <v>37.477599999999995</v>
      </c>
      <c r="C31" s="47">
        <f t="shared" si="1"/>
        <v>43.233728796663705</v>
      </c>
      <c r="D31" s="47">
        <f t="shared" si="2"/>
        <v>40.256821037821332</v>
      </c>
      <c r="E31" s="48">
        <v>44</v>
      </c>
      <c r="F31" s="49">
        <f t="shared" si="3"/>
        <v>0.14823636363636375</v>
      </c>
      <c r="G31" s="49">
        <f t="shared" si="4"/>
        <v>1.7415254621279432E-2</v>
      </c>
      <c r="H31" s="49">
        <f t="shared" si="5"/>
        <v>8.5072249140424272E-2</v>
      </c>
      <c r="I31" s="18"/>
    </row>
    <row r="32" spans="1:9" x14ac:dyDescent="0.25">
      <c r="A32" s="18">
        <v>430</v>
      </c>
      <c r="B32" s="47">
        <f t="shared" si="0"/>
        <v>58.763199999999983</v>
      </c>
      <c r="C32" s="47">
        <f t="shared" si="1"/>
        <v>55.470106712335337</v>
      </c>
      <c r="D32" s="47">
        <f t="shared" si="2"/>
        <v>54.341024442914069</v>
      </c>
      <c r="E32" s="48">
        <v>58</v>
      </c>
      <c r="F32" s="49">
        <f t="shared" si="3"/>
        <v>1.3158620689654886E-2</v>
      </c>
      <c r="G32" s="49">
        <f t="shared" si="4"/>
        <v>4.3618849787321778E-2</v>
      </c>
      <c r="H32" s="49">
        <f t="shared" si="5"/>
        <v>6.3085785466998806E-2</v>
      </c>
      <c r="I32" s="18"/>
    </row>
    <row r="33" spans="1:9" x14ac:dyDescent="0.25">
      <c r="A33" s="18">
        <v>390</v>
      </c>
      <c r="B33" s="47">
        <f t="shared" si="0"/>
        <v>72.953599999999994</v>
      </c>
      <c r="C33" s="47">
        <f t="shared" si="1"/>
        <v>66.829089531318985</v>
      </c>
      <c r="D33" s="47">
        <f t="shared" si="2"/>
        <v>66.372277135824447</v>
      </c>
      <c r="E33" s="48">
        <v>68</v>
      </c>
      <c r="F33" s="49">
        <f t="shared" si="3"/>
        <v>7.2847058823529334E-2</v>
      </c>
      <c r="G33" s="49">
        <f t="shared" si="4"/>
        <v>1.7219271598250221E-2</v>
      </c>
      <c r="H33" s="49">
        <f t="shared" si="5"/>
        <v>2.393710094375813E-2</v>
      </c>
      <c r="I33" s="18"/>
    </row>
    <row r="34" spans="1:9" x14ac:dyDescent="0.25">
      <c r="E34" t="s">
        <v>151</v>
      </c>
      <c r="F34" s="50">
        <f>AVERAGE(F22:F33)</f>
        <v>9.6671476414619859E-2</v>
      </c>
      <c r="G34" s="50">
        <f>AVERAGE(G22:G33)</f>
        <v>5.8516741642875771E-2</v>
      </c>
      <c r="H34" s="50">
        <f>AVERAGE(H22:H33)</f>
        <v>7.17306196151654E-2</v>
      </c>
      <c r="I34" s="18"/>
    </row>
    <row r="37" spans="1:9" x14ac:dyDescent="0.25">
      <c r="B37" t="s">
        <v>152</v>
      </c>
    </row>
    <row r="38" spans="1:9" x14ac:dyDescent="0.25">
      <c r="B38" t="s">
        <v>153</v>
      </c>
      <c r="C38" s="8">
        <v>250</v>
      </c>
      <c r="D38" t="s">
        <v>155</v>
      </c>
      <c r="G38" t="s">
        <v>159</v>
      </c>
      <c r="H38" t="s">
        <v>86</v>
      </c>
    </row>
    <row r="39" spans="1:9" x14ac:dyDescent="0.25">
      <c r="B39" t="s">
        <v>154</v>
      </c>
      <c r="C39" s="51">
        <v>1000</v>
      </c>
      <c r="D39" t="s">
        <v>156</v>
      </c>
      <c r="G39" s="52"/>
      <c r="H39" s="58">
        <f>C45</f>
        <v>831338.85314930137</v>
      </c>
    </row>
    <row r="40" spans="1:9" x14ac:dyDescent="0.25">
      <c r="B40" t="s">
        <v>34</v>
      </c>
      <c r="C40" s="52">
        <f>D17*C39^D18</f>
        <v>11.084518041990686</v>
      </c>
      <c r="D40" t="s">
        <v>157</v>
      </c>
      <c r="E40" t="str">
        <f ca="1">_xlfn.FORMULATEXT(C40)</f>
        <v>=D17*C39^D18</v>
      </c>
      <c r="G40" s="52">
        <v>260</v>
      </c>
      <c r="H40" s="52">
        <f t="dataTable" ref="H40:H104" dt2D="0" dtr="0" r1="C39" ca="1"/>
        <v>144859.72842847556</v>
      </c>
    </row>
    <row r="41" spans="1:9" x14ac:dyDescent="0.25">
      <c r="B41" t="s">
        <v>158</v>
      </c>
      <c r="C41" s="46">
        <f>C40*100</f>
        <v>1108.4518041990686</v>
      </c>
      <c r="E41" t="str">
        <f ca="1">_xlfn.FORMULATEXT(C41)</f>
        <v>=C40*100</v>
      </c>
      <c r="G41" s="52">
        <v>270</v>
      </c>
      <c r="H41" s="52">
        <v>269590.60184817808</v>
      </c>
    </row>
    <row r="42" spans="1:9" x14ac:dyDescent="0.25">
      <c r="G42" s="52">
        <v>280</v>
      </c>
      <c r="H42" s="52">
        <v>377277.18719872413</v>
      </c>
    </row>
    <row r="43" spans="1:9" x14ac:dyDescent="0.25">
      <c r="B43" t="s">
        <v>36</v>
      </c>
      <c r="C43" s="8">
        <f>C41*C38</f>
        <v>277112.95104976714</v>
      </c>
      <c r="E43" t="str">
        <f ca="1">_xlfn.FORMULATEXT(C43)</f>
        <v>=C41*C38</v>
      </c>
      <c r="G43" s="52">
        <v>290</v>
      </c>
      <c r="H43" s="52">
        <v>470458.61526328744</v>
      </c>
    </row>
    <row r="44" spans="1:9" x14ac:dyDescent="0.25">
      <c r="B44" t="s">
        <v>77</v>
      </c>
      <c r="C44" s="8">
        <f>C41*C39</f>
        <v>1108451.8041990686</v>
      </c>
      <c r="G44" s="52">
        <v>300</v>
      </c>
      <c r="H44" s="52">
        <v>551238.40185229108</v>
      </c>
    </row>
    <row r="45" spans="1:9" x14ac:dyDescent="0.25">
      <c r="B45" t="s">
        <v>112</v>
      </c>
      <c r="C45" s="8">
        <f>C44-C43</f>
        <v>831338.85314930137</v>
      </c>
      <c r="G45" s="52">
        <v>310</v>
      </c>
      <c r="H45" s="52">
        <v>621369.53021456813</v>
      </c>
    </row>
    <row r="46" spans="1:9" x14ac:dyDescent="0.25">
      <c r="G46" s="52">
        <v>320</v>
      </c>
      <c r="H46" s="52">
        <v>682320.93416212313</v>
      </c>
    </row>
    <row r="47" spans="1:9" x14ac:dyDescent="0.25">
      <c r="G47" s="52">
        <v>330</v>
      </c>
      <c r="H47" s="52">
        <v>735329.86392835062</v>
      </c>
    </row>
    <row r="48" spans="1:9" x14ac:dyDescent="0.25">
      <c r="G48" s="52">
        <v>340</v>
      </c>
      <c r="H48" s="52">
        <v>781443.44106265297</v>
      </c>
    </row>
    <row r="49" spans="7:8" x14ac:dyDescent="0.25">
      <c r="G49" s="52">
        <v>350</v>
      </c>
      <c r="H49" s="52">
        <v>821551.86522268457</v>
      </c>
    </row>
    <row r="50" spans="7:8" x14ac:dyDescent="0.25">
      <c r="G50" s="52">
        <v>360</v>
      </c>
      <c r="H50" s="52">
        <v>856415.12424477958</v>
      </c>
    </row>
    <row r="51" spans="7:8" x14ac:dyDescent="0.25">
      <c r="G51" s="52">
        <v>370</v>
      </c>
      <c r="H51" s="52">
        <v>886684.61116254725</v>
      </c>
    </row>
    <row r="52" spans="7:8" x14ac:dyDescent="0.25">
      <c r="G52" s="52">
        <v>380</v>
      </c>
      <c r="H52" s="52">
        <v>912920.72098907013</v>
      </c>
    </row>
    <row r="53" spans="7:8" x14ac:dyDescent="0.25">
      <c r="G53" s="52">
        <v>390</v>
      </c>
      <c r="H53" s="52">
        <v>935607.253438466</v>
      </c>
    </row>
    <row r="54" spans="7:8" x14ac:dyDescent="0.25">
      <c r="G54" s="52">
        <v>400</v>
      </c>
      <c r="H54" s="52">
        <v>955163.26238462282</v>
      </c>
    </row>
    <row r="55" spans="7:8" x14ac:dyDescent="0.25">
      <c r="G55" s="52">
        <v>410</v>
      </c>
      <c r="H55" s="52">
        <v>971952.85243747453</v>
      </c>
    </row>
    <row r="56" spans="7:8" x14ac:dyDescent="0.25">
      <c r="G56" s="52">
        <v>420</v>
      </c>
      <c r="H56" s="52">
        <v>986293.31587235699</v>
      </c>
    </row>
    <row r="57" spans="7:8" x14ac:dyDescent="0.25">
      <c r="G57" s="52">
        <v>430</v>
      </c>
      <c r="H57" s="52">
        <v>998461.92082203622</v>
      </c>
    </row>
    <row r="58" spans="7:8" x14ac:dyDescent="0.25">
      <c r="G58" s="52">
        <v>440</v>
      </c>
      <c r="H58" s="52">
        <v>1008701.5979665397</v>
      </c>
    </row>
    <row r="59" spans="7:8" x14ac:dyDescent="0.25">
      <c r="G59" s="52">
        <v>450</v>
      </c>
      <c r="H59" s="52">
        <v>1017225.7233983984</v>
      </c>
    </row>
    <row r="60" spans="7:8" x14ac:dyDescent="0.25">
      <c r="G60" s="52">
        <v>460</v>
      </c>
      <c r="H60" s="52">
        <v>1024222.1565401531</v>
      </c>
    </row>
    <row r="61" spans="7:8" x14ac:dyDescent="0.25">
      <c r="G61" s="52">
        <v>470</v>
      </c>
      <c r="H61" s="52">
        <v>1029856.6614397548</v>
      </c>
    </row>
    <row r="62" spans="7:8" x14ac:dyDescent="0.25">
      <c r="G62" s="52">
        <v>480</v>
      </c>
      <c r="H62" s="52">
        <v>1034275.8155834542</v>
      </c>
    </row>
    <row r="63" spans="7:8" x14ac:dyDescent="0.25">
      <c r="G63" s="52">
        <v>490</v>
      </c>
      <c r="H63" s="52">
        <v>1037609.4911199291</v>
      </c>
    </row>
    <row r="64" spans="7:8" x14ac:dyDescent="0.25">
      <c r="G64" s="52">
        <v>500</v>
      </c>
      <c r="H64" s="52">
        <v>1039972.9779989794</v>
      </c>
    </row>
    <row r="65" spans="7:8" x14ac:dyDescent="0.25">
      <c r="G65" s="52">
        <v>510</v>
      </c>
      <c r="H65" s="52">
        <v>1041468.8061629091</v>
      </c>
    </row>
    <row r="66" spans="7:8" x14ac:dyDescent="0.25">
      <c r="G66" s="52">
        <v>520</v>
      </c>
      <c r="H66" s="52">
        <v>1042188.3139489595</v>
      </c>
    </row>
    <row r="67" spans="7:8" x14ac:dyDescent="0.25">
      <c r="G67" s="52">
        <v>530</v>
      </c>
      <c r="H67" s="52">
        <v>1042213.0017719698</v>
      </c>
    </row>
    <row r="68" spans="7:8" x14ac:dyDescent="0.25">
      <c r="G68" s="52">
        <v>540</v>
      </c>
      <c r="H68" s="52">
        <v>1041615.7035724644</v>
      </c>
    </row>
    <row r="69" spans="7:8" x14ac:dyDescent="0.25">
      <c r="G69" s="52">
        <v>550</v>
      </c>
      <c r="H69" s="52">
        <v>1040461.6031350964</v>
      </c>
    </row>
    <row r="70" spans="7:8" x14ac:dyDescent="0.25">
      <c r="G70" s="52">
        <v>560</v>
      </c>
      <c r="H70" s="52">
        <v>1038809.1179690239</v>
      </c>
    </row>
    <row r="71" spans="7:8" x14ac:dyDescent="0.25">
      <c r="G71" s="52">
        <v>570</v>
      </c>
      <c r="H71" s="52">
        <v>1036710.669808225</v>
      </c>
    </row>
    <row r="72" spans="7:8" x14ac:dyDescent="0.25">
      <c r="G72" s="52">
        <v>580</v>
      </c>
      <c r="H72" s="52">
        <v>1034213.3577876764</v>
      </c>
    </row>
    <row r="73" spans="7:8" x14ac:dyDescent="0.25">
      <c r="G73" s="52">
        <v>590</v>
      </c>
      <c r="H73" s="52">
        <v>1031359.5478624469</v>
      </c>
    </row>
    <row r="74" spans="7:8" x14ac:dyDescent="0.25">
      <c r="G74" s="52">
        <v>600</v>
      </c>
      <c r="H74" s="52">
        <v>1028187.3899667513</v>
      </c>
    </row>
    <row r="75" spans="7:8" x14ac:dyDescent="0.25">
      <c r="G75" s="52">
        <v>610</v>
      </c>
      <c r="H75" s="52">
        <v>1024731.2726827315</v>
      </c>
    </row>
    <row r="76" spans="7:8" x14ac:dyDescent="0.25">
      <c r="G76" s="52">
        <v>620</v>
      </c>
      <c r="H76" s="52">
        <v>1021022.2237432048</v>
      </c>
    </row>
    <row r="77" spans="7:8" x14ac:dyDescent="0.25">
      <c r="G77" s="52">
        <v>630</v>
      </c>
      <c r="H77" s="52">
        <v>1017088.2634793159</v>
      </c>
    </row>
    <row r="78" spans="7:8" x14ac:dyDescent="0.25">
      <c r="G78" s="52">
        <v>640</v>
      </c>
      <c r="H78" s="52">
        <v>1012954.7173026291</v>
      </c>
    </row>
    <row r="79" spans="7:8" x14ac:dyDescent="0.25">
      <c r="G79" s="52">
        <v>650</v>
      </c>
      <c r="H79" s="52">
        <v>1008644.4924491229</v>
      </c>
    </row>
    <row r="80" spans="7:8" x14ac:dyDescent="0.25">
      <c r="G80" s="52">
        <v>660</v>
      </c>
      <c r="H80" s="52">
        <v>1004178.3234829371</v>
      </c>
    </row>
    <row r="81" spans="7:8" x14ac:dyDescent="0.25">
      <c r="G81" s="52">
        <v>670</v>
      </c>
      <c r="H81" s="52">
        <v>999574.99043870345</v>
      </c>
    </row>
    <row r="82" spans="7:8" x14ac:dyDescent="0.25">
      <c r="G82" s="52">
        <v>680</v>
      </c>
      <c r="H82" s="52">
        <v>994851.51295467373</v>
      </c>
    </row>
    <row r="83" spans="7:8" x14ac:dyDescent="0.25">
      <c r="G83" s="52">
        <v>690</v>
      </c>
      <c r="H83" s="52">
        <v>990023.32329994719</v>
      </c>
    </row>
    <row r="84" spans="7:8" x14ac:dyDescent="0.25">
      <c r="G84" s="52">
        <v>700</v>
      </c>
      <c r="H84" s="52">
        <v>985104.42081539321</v>
      </c>
    </row>
    <row r="85" spans="7:8" x14ac:dyDescent="0.25">
      <c r="G85" s="52">
        <v>710</v>
      </c>
      <c r="H85" s="52">
        <v>980107.50995916908</v>
      </c>
    </row>
    <row r="86" spans="7:8" x14ac:dyDescent="0.25">
      <c r="G86" s="52">
        <v>720</v>
      </c>
      <c r="H86" s="52">
        <v>975044.1238656675</v>
      </c>
    </row>
    <row r="87" spans="7:8" x14ac:dyDescent="0.25">
      <c r="G87" s="52">
        <v>730</v>
      </c>
      <c r="H87" s="52">
        <v>969924.73508398188</v>
      </c>
    </row>
    <row r="88" spans="7:8" x14ac:dyDescent="0.25">
      <c r="G88" s="52">
        <v>740</v>
      </c>
      <c r="H88" s="52">
        <v>964758.8549528002</v>
      </c>
    </row>
    <row r="89" spans="7:8" x14ac:dyDescent="0.25">
      <c r="G89" s="52">
        <v>750</v>
      </c>
      <c r="H89" s="52">
        <v>959555.12288789009</v>
      </c>
    </row>
    <row r="90" spans="7:8" x14ac:dyDescent="0.25">
      <c r="G90" s="52">
        <v>760</v>
      </c>
      <c r="H90" s="52">
        <v>954321.38670201262</v>
      </c>
    </row>
    <row r="91" spans="7:8" x14ac:dyDescent="0.25">
      <c r="G91" s="52">
        <v>770</v>
      </c>
      <c r="H91" s="52">
        <v>949064.7749414182</v>
      </c>
    </row>
    <row r="92" spans="7:8" x14ac:dyDescent="0.25">
      <c r="G92" s="52">
        <v>780</v>
      </c>
      <c r="H92" s="52">
        <v>943791.76210536808</v>
      </c>
    </row>
    <row r="93" spans="7:8" x14ac:dyDescent="0.25">
      <c r="G93" s="52">
        <v>790</v>
      </c>
      <c r="H93" s="52">
        <v>938508.22751260083</v>
      </c>
    </row>
    <row r="94" spans="7:8" x14ac:dyDescent="0.25">
      <c r="G94" s="52">
        <v>800</v>
      </c>
      <c r="H94" s="52">
        <v>933219.50848926988</v>
      </c>
    </row>
    <row r="95" spans="7:8" x14ac:dyDescent="0.25">
      <c r="G95" s="52">
        <v>810</v>
      </c>
      <c r="H95" s="52">
        <v>927930.44847494666</v>
      </c>
    </row>
    <row r="96" spans="7:8" x14ac:dyDescent="0.25">
      <c r="G96" s="52">
        <v>820</v>
      </c>
      <c r="H96" s="52">
        <v>922645.44057495799</v>
      </c>
    </row>
    <row r="97" spans="1:10" x14ac:dyDescent="0.25">
      <c r="G97" s="52">
        <v>830</v>
      </c>
      <c r="H97" s="52">
        <v>917368.46702761366</v>
      </c>
    </row>
    <row r="98" spans="1:10" x14ac:dyDescent="0.25">
      <c r="G98" s="52">
        <v>840</v>
      </c>
      <c r="H98" s="52">
        <v>912103.13500239153</v>
      </c>
    </row>
    <row r="99" spans="1:10" x14ac:dyDescent="0.25">
      <c r="G99" s="52">
        <v>850</v>
      </c>
      <c r="H99" s="52">
        <v>906852.70909909625</v>
      </c>
    </row>
    <row r="100" spans="1:10" x14ac:dyDescent="0.25">
      <c r="G100" s="52">
        <v>860</v>
      </c>
      <c r="H100" s="52">
        <v>901620.14087741717</v>
      </c>
    </row>
    <row r="101" spans="1:10" x14ac:dyDescent="0.25">
      <c r="G101" s="52">
        <v>870</v>
      </c>
      <c r="H101" s="52">
        <v>896408.09571059258</v>
      </c>
    </row>
    <row r="102" spans="1:10" x14ac:dyDescent="0.25">
      <c r="G102" s="52">
        <v>880</v>
      </c>
      <c r="H102" s="52">
        <v>891218.97722535138</v>
      </c>
    </row>
    <row r="103" spans="1:10" x14ac:dyDescent="0.25">
      <c r="G103" s="52">
        <v>890</v>
      </c>
      <c r="H103" s="52">
        <v>886054.94956237264</v>
      </c>
    </row>
    <row r="104" spans="1:10" x14ac:dyDescent="0.25">
      <c r="G104" s="52">
        <v>900</v>
      </c>
      <c r="H104" s="52">
        <v>880917.95766693447</v>
      </c>
    </row>
    <row r="105" spans="1:10" x14ac:dyDescent="0.25">
      <c r="A105" s="18"/>
      <c r="B105" s="18"/>
      <c r="C105" s="18" t="s">
        <v>106</v>
      </c>
      <c r="D105" s="18"/>
      <c r="E105" s="18"/>
      <c r="F105" s="18"/>
      <c r="G105" s="59"/>
      <c r="H105" s="59"/>
      <c r="I105" s="18"/>
      <c r="J105" s="18"/>
    </row>
    <row r="106" spans="1:10" x14ac:dyDescent="0.25">
      <c r="A106" s="18"/>
      <c r="B106" s="20">
        <f>C45</f>
        <v>831338.85314930137</v>
      </c>
      <c r="C106" s="18">
        <v>250</v>
      </c>
      <c r="D106" s="18">
        <v>300</v>
      </c>
      <c r="E106" s="18">
        <v>350</v>
      </c>
      <c r="F106" s="18">
        <v>400</v>
      </c>
      <c r="G106" s="18">
        <v>450</v>
      </c>
      <c r="H106" s="18">
        <v>500</v>
      </c>
      <c r="I106" s="18">
        <v>550</v>
      </c>
      <c r="J106" s="18"/>
    </row>
    <row r="107" spans="1:10" x14ac:dyDescent="0.25">
      <c r="A107" s="18" t="s">
        <v>96</v>
      </c>
      <c r="B107" s="59">
        <v>260</v>
      </c>
      <c r="C107" s="18">
        <f t="dataTable" ref="C107:I171" dt2D="1" dtr="1" r1="C38" r2="C39"/>
        <v>144859.72842847556</v>
      </c>
      <c r="D107" s="18">
        <v>-579438.91371390224</v>
      </c>
      <c r="E107" s="18">
        <v>-1303737.5558562791</v>
      </c>
      <c r="F107" s="18">
        <v>-2028036.1979986569</v>
      </c>
      <c r="G107" s="18">
        <v>-2752334.8401410338</v>
      </c>
      <c r="H107" s="18">
        <v>-3476633.4822834115</v>
      </c>
      <c r="I107" s="18">
        <v>-4200932.1244257884</v>
      </c>
      <c r="J107" s="18"/>
    </row>
    <row r="108" spans="1:10" x14ac:dyDescent="0.25">
      <c r="A108" s="18"/>
      <c r="B108" s="59">
        <v>270</v>
      </c>
      <c r="C108" s="18">
        <v>269590.60184817808</v>
      </c>
      <c r="D108" s="18">
        <v>-404385.90277226688</v>
      </c>
      <c r="E108" s="18">
        <v>-1078362.4073927123</v>
      </c>
      <c r="F108" s="18">
        <v>-1752338.9120131573</v>
      </c>
      <c r="G108" s="18">
        <v>-2426315.4166336022</v>
      </c>
      <c r="H108" s="18">
        <v>-3100291.9212540481</v>
      </c>
      <c r="I108" s="18">
        <v>-3774268.4258744931</v>
      </c>
      <c r="J108" s="18"/>
    </row>
    <row r="109" spans="1:10" x14ac:dyDescent="0.25">
      <c r="A109" s="18"/>
      <c r="B109" s="59">
        <v>280</v>
      </c>
      <c r="C109" s="18">
        <v>377277.18719872413</v>
      </c>
      <c r="D109" s="18">
        <v>-251518.12479914958</v>
      </c>
      <c r="E109" s="18">
        <v>-880313.43679702282</v>
      </c>
      <c r="F109" s="18">
        <v>-1509108.7487948965</v>
      </c>
      <c r="G109" s="18">
        <v>-2137904.0607927702</v>
      </c>
      <c r="H109" s="18">
        <v>-2766699.3727906439</v>
      </c>
      <c r="I109" s="18">
        <v>-3395494.6847885177</v>
      </c>
      <c r="J109" s="18"/>
    </row>
    <row r="110" spans="1:10" x14ac:dyDescent="0.25">
      <c r="A110" s="18"/>
      <c r="B110" s="59">
        <v>290</v>
      </c>
      <c r="C110" s="18">
        <v>470458.61526328744</v>
      </c>
      <c r="D110" s="18">
        <v>-117614.65381582174</v>
      </c>
      <c r="E110" s="18">
        <v>-705687.9228949314</v>
      </c>
      <c r="F110" s="18">
        <v>-1293761.1919740411</v>
      </c>
      <c r="G110" s="18">
        <v>-1881834.4610531498</v>
      </c>
      <c r="H110" s="18">
        <v>-2469907.7301322594</v>
      </c>
      <c r="I110" s="18">
        <v>-3057980.9992113691</v>
      </c>
      <c r="J110" s="18"/>
    </row>
    <row r="111" spans="1:10" x14ac:dyDescent="0.25">
      <c r="A111" s="18"/>
      <c r="B111" s="59">
        <v>300</v>
      </c>
      <c r="C111" s="18">
        <v>551238.40185229108</v>
      </c>
      <c r="D111" s="18">
        <v>0</v>
      </c>
      <c r="E111" s="18">
        <v>-551238.40185229108</v>
      </c>
      <c r="F111" s="18">
        <v>-1102476.8037045817</v>
      </c>
      <c r="G111" s="18">
        <v>-1653715.2055568728</v>
      </c>
      <c r="H111" s="18">
        <v>-2204953.6074091638</v>
      </c>
      <c r="I111" s="18">
        <v>-2756192.0092614549</v>
      </c>
      <c r="J111" s="18"/>
    </row>
    <row r="112" spans="1:10" x14ac:dyDescent="0.25">
      <c r="A112" s="18"/>
      <c r="B112" s="59">
        <v>310</v>
      </c>
      <c r="C112" s="18">
        <v>621369.53021456813</v>
      </c>
      <c r="D112" s="18">
        <v>103561.58836909477</v>
      </c>
      <c r="E112" s="18">
        <v>-414246.3534763786</v>
      </c>
      <c r="F112" s="18">
        <v>-932054.2953218515</v>
      </c>
      <c r="G112" s="18">
        <v>-1449862.2371673249</v>
      </c>
      <c r="H112" s="18">
        <v>-1967670.1790127978</v>
      </c>
      <c r="I112" s="18">
        <v>-2485478.1208582716</v>
      </c>
      <c r="J112" s="18"/>
    </row>
    <row r="113" spans="1:10" x14ac:dyDescent="0.25">
      <c r="A113" s="18"/>
      <c r="B113" s="59">
        <v>320</v>
      </c>
      <c r="C113" s="18">
        <v>682320.93416212313</v>
      </c>
      <c r="D113" s="18">
        <v>194948.83833203511</v>
      </c>
      <c r="E113" s="18">
        <v>-292423.2574980529</v>
      </c>
      <c r="F113" s="18">
        <v>-779795.35332814092</v>
      </c>
      <c r="G113" s="18">
        <v>-1267167.4491582289</v>
      </c>
      <c r="H113" s="18">
        <v>-1754539.5449883174</v>
      </c>
      <c r="I113" s="18">
        <v>-2241911.640818405</v>
      </c>
      <c r="J113" s="18"/>
    </row>
    <row r="114" spans="1:10" x14ac:dyDescent="0.25">
      <c r="A114" s="18"/>
      <c r="B114" s="59">
        <v>330</v>
      </c>
      <c r="C114" s="18">
        <v>735329.86392835062</v>
      </c>
      <c r="D114" s="18">
        <v>275748.69897313137</v>
      </c>
      <c r="E114" s="18">
        <v>-183832.46598208742</v>
      </c>
      <c r="F114" s="18">
        <v>-643413.63093730668</v>
      </c>
      <c r="G114" s="18">
        <v>-1102994.7958925259</v>
      </c>
      <c r="H114" s="18">
        <v>-1562575.9608477447</v>
      </c>
      <c r="I114" s="18">
        <v>-2022157.125802964</v>
      </c>
      <c r="J114" s="18"/>
    </row>
    <row r="115" spans="1:10" x14ac:dyDescent="0.25">
      <c r="A115" s="18"/>
      <c r="B115" s="59">
        <v>340</v>
      </c>
      <c r="C115" s="18">
        <v>781443.44106265297</v>
      </c>
      <c r="D115" s="18">
        <v>347308.19602784561</v>
      </c>
      <c r="E115" s="18">
        <v>-86827.049006961286</v>
      </c>
      <c r="F115" s="18">
        <v>-520962.29404176865</v>
      </c>
      <c r="G115" s="18">
        <v>-955097.53907657554</v>
      </c>
      <c r="H115" s="18">
        <v>-1389232.7841113824</v>
      </c>
      <c r="I115" s="18">
        <v>-1823368.0291461898</v>
      </c>
      <c r="J115" s="18"/>
    </row>
    <row r="116" spans="1:10" x14ac:dyDescent="0.25">
      <c r="A116" s="18"/>
      <c r="B116" s="59">
        <v>350</v>
      </c>
      <c r="C116" s="18">
        <v>821551.86522268457</v>
      </c>
      <c r="D116" s="18">
        <v>410775.93261134205</v>
      </c>
      <c r="E116" s="18">
        <v>0</v>
      </c>
      <c r="F116" s="18">
        <v>-410775.93261134205</v>
      </c>
      <c r="G116" s="18">
        <v>-821551.86522268457</v>
      </c>
      <c r="H116" s="18">
        <v>-1232327.7978340266</v>
      </c>
      <c r="I116" s="18">
        <v>-1643103.7304453691</v>
      </c>
      <c r="J116" s="18"/>
    </row>
    <row r="117" spans="1:10" x14ac:dyDescent="0.25">
      <c r="A117" s="18"/>
      <c r="B117" s="59">
        <v>360</v>
      </c>
      <c r="C117" s="18">
        <v>856415.12424477958</v>
      </c>
      <c r="D117" s="18">
        <v>467135.52231533453</v>
      </c>
      <c r="E117" s="18">
        <v>77855.920385889243</v>
      </c>
      <c r="F117" s="18">
        <v>-311423.68154355604</v>
      </c>
      <c r="G117" s="18">
        <v>-700703.28347300133</v>
      </c>
      <c r="H117" s="18">
        <v>-1089982.8854024466</v>
      </c>
      <c r="I117" s="18">
        <v>-1479262.4873318919</v>
      </c>
      <c r="J117" s="18"/>
    </row>
    <row r="118" spans="1:10" x14ac:dyDescent="0.25">
      <c r="A118" s="18"/>
      <c r="B118" s="59">
        <v>370</v>
      </c>
      <c r="C118" s="18">
        <v>886684.61116254725</v>
      </c>
      <c r="D118" s="18">
        <v>517232.68984481925</v>
      </c>
      <c r="E118" s="18">
        <v>147780.76852709148</v>
      </c>
      <c r="F118" s="18">
        <v>-221671.15279063676</v>
      </c>
      <c r="G118" s="18">
        <v>-591123.07410836453</v>
      </c>
      <c r="H118" s="18">
        <v>-960574.9954260923</v>
      </c>
      <c r="I118" s="18">
        <v>-1330026.9167438205</v>
      </c>
      <c r="J118" s="18"/>
    </row>
    <row r="119" spans="1:10" x14ac:dyDescent="0.25">
      <c r="A119" s="18"/>
      <c r="B119" s="59">
        <v>380</v>
      </c>
      <c r="C119" s="18">
        <v>912920.72098907013</v>
      </c>
      <c r="D119" s="18">
        <v>561797.36676250491</v>
      </c>
      <c r="E119" s="18">
        <v>210674.01253593946</v>
      </c>
      <c r="F119" s="18">
        <v>-140449.341690626</v>
      </c>
      <c r="G119" s="18">
        <v>-491572.69591719145</v>
      </c>
      <c r="H119" s="18">
        <v>-842696.05014375644</v>
      </c>
      <c r="I119" s="18">
        <v>-1193819.4043703219</v>
      </c>
      <c r="J119" s="18"/>
    </row>
    <row r="120" spans="1:10" x14ac:dyDescent="0.25">
      <c r="A120" s="18"/>
      <c r="B120" s="59">
        <v>390</v>
      </c>
      <c r="C120" s="18">
        <v>935607.253438466</v>
      </c>
      <c r="D120" s="18">
        <v>601461.80578187108</v>
      </c>
      <c r="E120" s="18">
        <v>267316.35812527593</v>
      </c>
      <c r="F120" s="18">
        <v>-66829.08953131875</v>
      </c>
      <c r="G120" s="18">
        <v>-400974.5371879139</v>
      </c>
      <c r="H120" s="18">
        <v>-735119.98484450858</v>
      </c>
      <c r="I120" s="18">
        <v>-1069265.4325011037</v>
      </c>
      <c r="J120" s="18"/>
    </row>
    <row r="121" spans="1:10" x14ac:dyDescent="0.25">
      <c r="A121" s="18"/>
      <c r="B121" s="59">
        <v>400</v>
      </c>
      <c r="C121" s="18">
        <v>955163.26238462282</v>
      </c>
      <c r="D121" s="18">
        <v>636775.50825641514</v>
      </c>
      <c r="E121" s="18">
        <v>318387.75412820745</v>
      </c>
      <c r="F121" s="18">
        <v>0</v>
      </c>
      <c r="G121" s="18">
        <v>-318387.75412820745</v>
      </c>
      <c r="H121" s="18">
        <v>-636775.50825641491</v>
      </c>
      <c r="I121" s="18">
        <v>-955163.26238462236</v>
      </c>
      <c r="J121" s="18"/>
    </row>
    <row r="122" spans="1:10" x14ac:dyDescent="0.25">
      <c r="A122" s="18"/>
      <c r="B122" s="59">
        <v>410</v>
      </c>
      <c r="C122" s="18">
        <v>971952.85243747453</v>
      </c>
      <c r="D122" s="18">
        <v>668217.58605076349</v>
      </c>
      <c r="E122" s="18">
        <v>364482.31966405269</v>
      </c>
      <c r="F122" s="18">
        <v>60747.053277342115</v>
      </c>
      <c r="G122" s="18">
        <v>-242988.21310936892</v>
      </c>
      <c r="H122" s="18">
        <v>-546723.4794960795</v>
      </c>
      <c r="I122" s="18">
        <v>-850458.74588279054</v>
      </c>
      <c r="J122" s="18"/>
    </row>
    <row r="123" spans="1:10" x14ac:dyDescent="0.25">
      <c r="A123" s="18"/>
      <c r="B123" s="59">
        <v>420</v>
      </c>
      <c r="C123" s="18">
        <v>986293.31587235699</v>
      </c>
      <c r="D123" s="18">
        <v>696207.04649813427</v>
      </c>
      <c r="E123" s="18">
        <v>406120.77712391177</v>
      </c>
      <c r="F123" s="18">
        <v>116034.50774968928</v>
      </c>
      <c r="G123" s="18">
        <v>-174051.76162453368</v>
      </c>
      <c r="H123" s="18">
        <v>-464138.03099875618</v>
      </c>
      <c r="I123" s="18">
        <v>-754224.30037297867</v>
      </c>
      <c r="J123" s="18"/>
    </row>
    <row r="124" spans="1:10" x14ac:dyDescent="0.25">
      <c r="A124" s="18"/>
      <c r="B124" s="59">
        <v>430</v>
      </c>
      <c r="C124" s="18">
        <v>998461.92082203622</v>
      </c>
      <c r="D124" s="18">
        <v>721111.38726035948</v>
      </c>
      <c r="E124" s="18">
        <v>443760.85369868297</v>
      </c>
      <c r="F124" s="18">
        <v>166410.32013700623</v>
      </c>
      <c r="G124" s="18">
        <v>-110940.21342467051</v>
      </c>
      <c r="H124" s="18">
        <v>-388290.74698634725</v>
      </c>
      <c r="I124" s="18">
        <v>-665641.28054802399</v>
      </c>
      <c r="J124" s="18"/>
    </row>
    <row r="125" spans="1:10" x14ac:dyDescent="0.25">
      <c r="A125" s="18"/>
      <c r="B125" s="59">
        <v>440</v>
      </c>
      <c r="C125" s="18">
        <v>1008701.5979665397</v>
      </c>
      <c r="D125" s="18">
        <v>743253.80902797659</v>
      </c>
      <c r="E125" s="18">
        <v>477806.02008941351</v>
      </c>
      <c r="F125" s="18">
        <v>212358.23115085065</v>
      </c>
      <c r="G125" s="18">
        <v>-53089.557787712663</v>
      </c>
      <c r="H125" s="18">
        <v>-318537.34672627551</v>
      </c>
      <c r="I125" s="18">
        <v>-583985.13566483883</v>
      </c>
      <c r="J125" s="18"/>
    </row>
    <row r="126" spans="1:10" x14ac:dyDescent="0.25">
      <c r="A126" s="18"/>
      <c r="B126" s="59">
        <v>450</v>
      </c>
      <c r="C126" s="18">
        <v>1017225.7233983984</v>
      </c>
      <c r="D126" s="18">
        <v>762919.29254879872</v>
      </c>
      <c r="E126" s="18">
        <v>508612.86169919907</v>
      </c>
      <c r="F126" s="18">
        <v>254306.43084959942</v>
      </c>
      <c r="G126" s="18">
        <v>0</v>
      </c>
      <c r="H126" s="18">
        <v>-254306.43084959965</v>
      </c>
      <c r="I126" s="18">
        <v>-508612.8616991993</v>
      </c>
      <c r="J126" s="18"/>
    </row>
    <row r="127" spans="1:10" x14ac:dyDescent="0.25">
      <c r="A127" s="18"/>
      <c r="B127" s="59">
        <v>460</v>
      </c>
      <c r="C127" s="18">
        <v>1024222.1565401531</v>
      </c>
      <c r="D127" s="18">
        <v>780359.73831630708</v>
      </c>
      <c r="E127" s="18">
        <v>536497.3200924613</v>
      </c>
      <c r="F127" s="18">
        <v>292634.9018686153</v>
      </c>
      <c r="G127" s="18">
        <v>48772.483644769527</v>
      </c>
      <c r="H127" s="18">
        <v>-195089.93457907671</v>
      </c>
      <c r="I127" s="18">
        <v>-438952.35280292248</v>
      </c>
      <c r="J127" s="18"/>
    </row>
    <row r="128" spans="1:10" x14ac:dyDescent="0.25">
      <c r="A128" s="18"/>
      <c r="B128" s="59">
        <v>470</v>
      </c>
      <c r="C128" s="18">
        <v>1029856.6614397548</v>
      </c>
      <c r="D128" s="18">
        <v>795798.32929435605</v>
      </c>
      <c r="E128" s="18">
        <v>561739.9971489571</v>
      </c>
      <c r="F128" s="18">
        <v>327681.66500355839</v>
      </c>
      <c r="G128" s="18">
        <v>93623.332858159672</v>
      </c>
      <c r="H128" s="18">
        <v>-140434.99928723928</v>
      </c>
      <c r="I128" s="18">
        <v>-374493.33143263776</v>
      </c>
      <c r="J128" s="18"/>
    </row>
    <row r="129" spans="1:10" x14ac:dyDescent="0.25">
      <c r="A129" s="18"/>
      <c r="B129" s="59">
        <v>480</v>
      </c>
      <c r="C129" s="18">
        <v>1034275.8155834542</v>
      </c>
      <c r="D129" s="18">
        <v>809433.24697835557</v>
      </c>
      <c r="E129" s="18">
        <v>584590.67837325693</v>
      </c>
      <c r="F129" s="18">
        <v>359748.10976815806</v>
      </c>
      <c r="G129" s="18">
        <v>134905.54116305942</v>
      </c>
      <c r="H129" s="18">
        <v>-89937.027442039456</v>
      </c>
      <c r="I129" s="18">
        <v>-314779.59604713786</v>
      </c>
      <c r="J129" s="18"/>
    </row>
    <row r="130" spans="1:10" x14ac:dyDescent="0.25">
      <c r="A130" s="18"/>
      <c r="B130" s="59">
        <v>490</v>
      </c>
      <c r="C130" s="18">
        <v>1037609.4911199291</v>
      </c>
      <c r="D130" s="18">
        <v>821440.84713661065</v>
      </c>
      <c r="E130" s="18">
        <v>605272.20315329218</v>
      </c>
      <c r="F130" s="18">
        <v>389103.55916997371</v>
      </c>
      <c r="G130" s="18">
        <v>172934.91518665501</v>
      </c>
      <c r="H130" s="18">
        <v>-43233.728796663694</v>
      </c>
      <c r="I130" s="18">
        <v>-259402.37277998216</v>
      </c>
      <c r="J130" s="18"/>
    </row>
    <row r="131" spans="1:10" x14ac:dyDescent="0.25">
      <c r="A131" s="18"/>
      <c r="B131" s="59">
        <v>500</v>
      </c>
      <c r="C131" s="18">
        <v>1039972.9779989794</v>
      </c>
      <c r="D131" s="18">
        <v>831978.3823991837</v>
      </c>
      <c r="E131" s="18">
        <v>623983.78679938777</v>
      </c>
      <c r="F131" s="18">
        <v>415989.19119959185</v>
      </c>
      <c r="G131" s="18">
        <v>207994.59559979592</v>
      </c>
      <c r="H131" s="18">
        <v>0</v>
      </c>
      <c r="I131" s="18">
        <v>-207994.59559979569</v>
      </c>
      <c r="J131" s="18"/>
    </row>
    <row r="132" spans="1:10" x14ac:dyDescent="0.25">
      <c r="A132" s="18"/>
      <c r="B132" s="59">
        <v>510</v>
      </c>
      <c r="C132" s="18">
        <v>1041468.8061629091</v>
      </c>
      <c r="D132" s="18">
        <v>841186.34343927284</v>
      </c>
      <c r="E132" s="18">
        <v>640903.8807156363</v>
      </c>
      <c r="F132" s="18">
        <v>440621.417992</v>
      </c>
      <c r="G132" s="18">
        <v>240338.9552683637</v>
      </c>
      <c r="H132" s="18">
        <v>40056.4925447274</v>
      </c>
      <c r="I132" s="18">
        <v>-160225.97017890913</v>
      </c>
      <c r="J132" s="18"/>
    </row>
    <row r="133" spans="1:10" x14ac:dyDescent="0.25">
      <c r="A133" s="18"/>
      <c r="B133" s="59">
        <v>520</v>
      </c>
      <c r="C133" s="18">
        <v>1042188.3139489595</v>
      </c>
      <c r="D133" s="18">
        <v>849190.47803248558</v>
      </c>
      <c r="E133" s="18">
        <v>656192.64211601159</v>
      </c>
      <c r="F133" s="18">
        <v>463194.80619953759</v>
      </c>
      <c r="G133" s="18">
        <v>270196.97028306359</v>
      </c>
      <c r="H133" s="18">
        <v>77199.134366589598</v>
      </c>
      <c r="I133" s="18">
        <v>-115798.70154988416</v>
      </c>
      <c r="J133" s="18"/>
    </row>
    <row r="134" spans="1:10" x14ac:dyDescent="0.25">
      <c r="A134" s="18"/>
      <c r="B134" s="59">
        <v>530</v>
      </c>
      <c r="C134" s="18">
        <v>1042213.0017719698</v>
      </c>
      <c r="D134" s="18">
        <v>856103.53716983227</v>
      </c>
      <c r="E134" s="18">
        <v>669994.07256769482</v>
      </c>
      <c r="F134" s="18">
        <v>483884.60796555737</v>
      </c>
      <c r="G134" s="18">
        <v>297775.14336341992</v>
      </c>
      <c r="H134" s="18">
        <v>111665.67876128247</v>
      </c>
      <c r="I134" s="18">
        <v>-74443.78584085498</v>
      </c>
      <c r="J134" s="18"/>
    </row>
    <row r="135" spans="1:10" x14ac:dyDescent="0.25">
      <c r="A135" s="18"/>
      <c r="B135" s="59">
        <v>540</v>
      </c>
      <c r="C135" s="18">
        <v>1041615.7035724644</v>
      </c>
      <c r="D135" s="18">
        <v>862026.78916341881</v>
      </c>
      <c r="E135" s="18">
        <v>682437.87475437322</v>
      </c>
      <c r="F135" s="18">
        <v>502848.96034532762</v>
      </c>
      <c r="G135" s="18">
        <v>323260.04593628203</v>
      </c>
      <c r="H135" s="18">
        <v>143671.13152723666</v>
      </c>
      <c r="I135" s="18">
        <v>-35917.782881808933</v>
      </c>
      <c r="J135" s="18"/>
    </row>
    <row r="136" spans="1:10" x14ac:dyDescent="0.25">
      <c r="A136" s="18"/>
      <c r="B136" s="59">
        <v>550</v>
      </c>
      <c r="C136" s="18">
        <v>1040461.6031350964</v>
      </c>
      <c r="D136" s="18">
        <v>867051.33594591368</v>
      </c>
      <c r="E136" s="18">
        <v>693641.06875673099</v>
      </c>
      <c r="F136" s="18">
        <v>520230.80156754819</v>
      </c>
      <c r="G136" s="18">
        <v>346820.53437836538</v>
      </c>
      <c r="H136" s="18">
        <v>173410.26718918281</v>
      </c>
      <c r="I136" s="18">
        <v>0</v>
      </c>
      <c r="J136" s="18"/>
    </row>
    <row r="137" spans="1:10" x14ac:dyDescent="0.25">
      <c r="A137" s="18"/>
      <c r="B137" s="59">
        <v>560</v>
      </c>
      <c r="C137" s="18">
        <v>1038809.1179690239</v>
      </c>
      <c r="D137" s="18">
        <v>871259.26023208455</v>
      </c>
      <c r="E137" s="18">
        <v>703709.4024951451</v>
      </c>
      <c r="F137" s="18">
        <v>536159.544758206</v>
      </c>
      <c r="G137" s="18">
        <v>368609.68702126667</v>
      </c>
      <c r="H137" s="18">
        <v>201059.82928432734</v>
      </c>
      <c r="I137" s="18">
        <v>33509.971547388006</v>
      </c>
      <c r="J137" s="18"/>
    </row>
    <row r="138" spans="1:10" x14ac:dyDescent="0.25">
      <c r="A138" s="18"/>
      <c r="B138" s="59">
        <v>570</v>
      </c>
      <c r="C138" s="18">
        <v>1036710.669808225</v>
      </c>
      <c r="D138" s="18">
        <v>874724.6276506898</v>
      </c>
      <c r="E138" s="18">
        <v>712738.58549315459</v>
      </c>
      <c r="F138" s="18">
        <v>550752.54333561938</v>
      </c>
      <c r="G138" s="18">
        <v>388766.50117808441</v>
      </c>
      <c r="H138" s="18">
        <v>226780.4590205492</v>
      </c>
      <c r="I138" s="18">
        <v>64794.41686301399</v>
      </c>
      <c r="J138" s="18"/>
    </row>
    <row r="139" spans="1:10" x14ac:dyDescent="0.25">
      <c r="A139" s="18"/>
      <c r="B139" s="59">
        <v>580</v>
      </c>
      <c r="C139" s="18">
        <v>1034213.3577876764</v>
      </c>
      <c r="D139" s="18">
        <v>877514.36418348295</v>
      </c>
      <c r="E139" s="18">
        <v>720815.37057928951</v>
      </c>
      <c r="F139" s="18">
        <v>564116.37697509606</v>
      </c>
      <c r="G139" s="18">
        <v>407417.38337090285</v>
      </c>
      <c r="H139" s="18">
        <v>250718.38976670941</v>
      </c>
      <c r="I139" s="18">
        <v>94019.396162515972</v>
      </c>
      <c r="J139" s="18"/>
    </row>
    <row r="140" spans="1:10" x14ac:dyDescent="0.25">
      <c r="A140" s="18"/>
      <c r="B140" s="59">
        <v>590</v>
      </c>
      <c r="C140" s="18">
        <v>1031359.5478624469</v>
      </c>
      <c r="D140" s="18">
        <v>879689.02611796942</v>
      </c>
      <c r="E140" s="18">
        <v>728018.50437349197</v>
      </c>
      <c r="F140" s="18">
        <v>576347.98262901441</v>
      </c>
      <c r="G140" s="18">
        <v>424677.46088453708</v>
      </c>
      <c r="H140" s="18">
        <v>273006.93914005952</v>
      </c>
      <c r="I140" s="18">
        <v>121336.41739558196</v>
      </c>
      <c r="J140" s="18"/>
    </row>
    <row r="141" spans="1:10" x14ac:dyDescent="0.25">
      <c r="A141" s="18"/>
      <c r="B141" s="59">
        <v>600</v>
      </c>
      <c r="C141" s="18">
        <v>1028187.3899667513</v>
      </c>
      <c r="D141" s="18">
        <v>881303.47711435833</v>
      </c>
      <c r="E141" s="18">
        <v>734419.56426196522</v>
      </c>
      <c r="F141" s="18">
        <v>587535.65140957222</v>
      </c>
      <c r="G141" s="18">
        <v>440651.73855717899</v>
      </c>
      <c r="H141" s="18">
        <v>293767.825704786</v>
      </c>
      <c r="I141" s="18">
        <v>146883.912852393</v>
      </c>
      <c r="J141" s="18"/>
    </row>
    <row r="142" spans="1:10" x14ac:dyDescent="0.25">
      <c r="A142" s="18"/>
      <c r="B142" s="59">
        <v>610</v>
      </c>
      <c r="C142" s="18">
        <v>1024731.2726827315</v>
      </c>
      <c r="D142" s="18">
        <v>882407.48481012986</v>
      </c>
      <c r="E142" s="18">
        <v>740083.69693752832</v>
      </c>
      <c r="F142" s="18">
        <v>597759.90906492667</v>
      </c>
      <c r="G142" s="18">
        <v>455436.12119232514</v>
      </c>
      <c r="H142" s="18">
        <v>313112.33331972361</v>
      </c>
      <c r="I142" s="18">
        <v>170788.54544712184</v>
      </c>
      <c r="J142" s="18"/>
    </row>
    <row r="143" spans="1:10" x14ac:dyDescent="0.25">
      <c r="A143" s="18"/>
      <c r="B143" s="59">
        <v>620</v>
      </c>
      <c r="C143" s="18">
        <v>1021022.2237432048</v>
      </c>
      <c r="D143" s="18">
        <v>883046.24756169063</v>
      </c>
      <c r="E143" s="18">
        <v>745070.27138017653</v>
      </c>
      <c r="F143" s="18">
        <v>607094.29519866221</v>
      </c>
      <c r="G143" s="18">
        <v>469118.31901714811</v>
      </c>
      <c r="H143" s="18">
        <v>331142.34283563402</v>
      </c>
      <c r="I143" s="18">
        <v>193166.36665411969</v>
      </c>
      <c r="J143" s="18"/>
    </row>
    <row r="144" spans="1:10" x14ac:dyDescent="0.25">
      <c r="A144" s="18"/>
      <c r="B144" s="59">
        <v>630</v>
      </c>
      <c r="C144" s="18">
        <v>1017088.2634793159</v>
      </c>
      <c r="D144" s="18">
        <v>883260.86038993229</v>
      </c>
      <c r="E144" s="18">
        <v>749433.45730054856</v>
      </c>
      <c r="F144" s="18">
        <v>615606.05421116482</v>
      </c>
      <c r="G144" s="18">
        <v>481778.65112178121</v>
      </c>
      <c r="H144" s="18">
        <v>347951.24803239759</v>
      </c>
      <c r="I144" s="18">
        <v>214123.84494301397</v>
      </c>
      <c r="J144" s="18"/>
    </row>
    <row r="145" spans="1:10" x14ac:dyDescent="0.25">
      <c r="A145" s="18"/>
      <c r="B145" s="59">
        <v>640</v>
      </c>
      <c r="C145" s="18">
        <v>1012954.7173026291</v>
      </c>
      <c r="D145" s="18">
        <v>883088.7279048562</v>
      </c>
      <c r="E145" s="18">
        <v>753222.73850708327</v>
      </c>
      <c r="F145" s="18">
        <v>623356.74910931021</v>
      </c>
      <c r="G145" s="18">
        <v>493490.75971153728</v>
      </c>
      <c r="H145" s="18">
        <v>363624.77031376422</v>
      </c>
      <c r="I145" s="18">
        <v>233758.7809159914</v>
      </c>
      <c r="J145" s="18"/>
    </row>
    <row r="146" spans="1:10" x14ac:dyDescent="0.25">
      <c r="A146" s="18"/>
      <c r="B146" s="59">
        <v>650</v>
      </c>
      <c r="C146" s="18">
        <v>1008644.4924491229</v>
      </c>
      <c r="D146" s="18">
        <v>882563.93089298252</v>
      </c>
      <c r="E146" s="18">
        <v>756483.36933684221</v>
      </c>
      <c r="F146" s="18">
        <v>630402.80778070178</v>
      </c>
      <c r="G146" s="18">
        <v>504322.24622456147</v>
      </c>
      <c r="H146" s="18">
        <v>378241.68466842105</v>
      </c>
      <c r="I146" s="18">
        <v>252161.12311228062</v>
      </c>
      <c r="J146" s="18"/>
    </row>
    <row r="147" spans="1:10" x14ac:dyDescent="0.25">
      <c r="A147" s="18"/>
      <c r="B147" s="59">
        <v>660</v>
      </c>
      <c r="C147" s="18">
        <v>1004178.3234829371</v>
      </c>
      <c r="D147" s="18">
        <v>881717.55232648132</v>
      </c>
      <c r="E147" s="18">
        <v>759256.78117002558</v>
      </c>
      <c r="F147" s="18">
        <v>636796.01001356984</v>
      </c>
      <c r="G147" s="18">
        <v>514335.23885711422</v>
      </c>
      <c r="H147" s="18">
        <v>391874.46770065837</v>
      </c>
      <c r="I147" s="18">
        <v>269413.69654420274</v>
      </c>
      <c r="J147" s="18"/>
    </row>
    <row r="148" spans="1:10" x14ac:dyDescent="0.25">
      <c r="A148" s="18"/>
      <c r="B148" s="59">
        <v>670</v>
      </c>
      <c r="C148" s="18">
        <v>999574.99043870345</v>
      </c>
      <c r="D148" s="18">
        <v>880577.96776742931</v>
      </c>
      <c r="E148" s="18">
        <v>761580.94509615505</v>
      </c>
      <c r="F148" s="18">
        <v>642583.92242488079</v>
      </c>
      <c r="G148" s="18">
        <v>523586.89975360665</v>
      </c>
      <c r="H148" s="18">
        <v>404589.87708233227</v>
      </c>
      <c r="I148" s="18">
        <v>285592.85441105813</v>
      </c>
      <c r="J148" s="18"/>
    </row>
    <row r="149" spans="1:10" x14ac:dyDescent="0.25">
      <c r="A149" s="18"/>
      <c r="B149" s="59">
        <v>680</v>
      </c>
      <c r="C149" s="18">
        <v>994851.51295467373</v>
      </c>
      <c r="D149" s="18">
        <v>879171.10447157209</v>
      </c>
      <c r="E149" s="18">
        <v>763490.69598847057</v>
      </c>
      <c r="F149" s="18">
        <v>647810.28750536893</v>
      </c>
      <c r="G149" s="18">
        <v>532129.8790222673</v>
      </c>
      <c r="H149" s="18">
        <v>416449.47053916566</v>
      </c>
      <c r="I149" s="18">
        <v>300769.06205606414</v>
      </c>
      <c r="J149" s="18"/>
    </row>
    <row r="150" spans="1:10" x14ac:dyDescent="0.25">
      <c r="A150" s="18"/>
      <c r="B150" s="59">
        <v>690</v>
      </c>
      <c r="C150" s="18">
        <v>990023.32329994719</v>
      </c>
      <c r="D150" s="18">
        <v>877520.67292495316</v>
      </c>
      <c r="E150" s="18">
        <v>765018.02254995925</v>
      </c>
      <c r="F150" s="18">
        <v>652515.37217496522</v>
      </c>
      <c r="G150" s="18">
        <v>540012.72179997119</v>
      </c>
      <c r="H150" s="18">
        <v>427510.07142497716</v>
      </c>
      <c r="I150" s="18">
        <v>315007.42104998324</v>
      </c>
      <c r="J150" s="18"/>
    </row>
    <row r="151" spans="1:10" x14ac:dyDescent="0.25">
      <c r="A151" s="18"/>
      <c r="B151" s="59">
        <v>700</v>
      </c>
      <c r="C151" s="18">
        <v>985104.42081539321</v>
      </c>
      <c r="D151" s="18">
        <v>875648.37405812729</v>
      </c>
      <c r="E151" s="18">
        <v>766192.32730086136</v>
      </c>
      <c r="F151" s="18">
        <v>656736.28054359555</v>
      </c>
      <c r="G151" s="18">
        <v>547280.23378632963</v>
      </c>
      <c r="H151" s="18">
        <v>437824.1870290637</v>
      </c>
      <c r="I151" s="18">
        <v>328368.14027179778</v>
      </c>
      <c r="J151" s="18"/>
    </row>
    <row r="152" spans="1:10" x14ac:dyDescent="0.25">
      <c r="A152" s="18"/>
      <c r="B152" s="59">
        <v>710</v>
      </c>
      <c r="C152" s="18">
        <v>980107.50995916908</v>
      </c>
      <c r="D152" s="18">
        <v>873574.08496360714</v>
      </c>
      <c r="E152" s="18">
        <v>767040.65996804531</v>
      </c>
      <c r="F152" s="18">
        <v>660507.23497248348</v>
      </c>
      <c r="G152" s="18">
        <v>553973.80997692165</v>
      </c>
      <c r="H152" s="18">
        <v>447440.38498135982</v>
      </c>
      <c r="I152" s="18">
        <v>340906.95998579799</v>
      </c>
      <c r="J152" s="18"/>
    </row>
    <row r="153" spans="1:10" x14ac:dyDescent="0.25">
      <c r="A153" s="18"/>
      <c r="B153" s="59">
        <v>720</v>
      </c>
      <c r="C153" s="18">
        <v>975044.1238656675</v>
      </c>
      <c r="D153" s="18">
        <v>871316.02558208595</v>
      </c>
      <c r="E153" s="18">
        <v>767587.92729850428</v>
      </c>
      <c r="F153" s="18">
        <v>663859.82901492261</v>
      </c>
      <c r="G153" s="18">
        <v>560131.73073134094</v>
      </c>
      <c r="H153" s="18">
        <v>456403.63244775927</v>
      </c>
      <c r="I153" s="18">
        <v>352675.53416417772</v>
      </c>
      <c r="J153" s="18"/>
    </row>
    <row r="154" spans="1:10" x14ac:dyDescent="0.25">
      <c r="A154" s="18"/>
      <c r="B154" s="59">
        <v>730</v>
      </c>
      <c r="C154" s="18">
        <v>969924.73508398188</v>
      </c>
      <c r="D154" s="18">
        <v>868890.90851273388</v>
      </c>
      <c r="E154" s="18">
        <v>767857.08194148575</v>
      </c>
      <c r="F154" s="18">
        <v>666823.25537023752</v>
      </c>
      <c r="G154" s="18">
        <v>565789.42879898939</v>
      </c>
      <c r="H154" s="18">
        <v>464755.60222774127</v>
      </c>
      <c r="I154" s="18">
        <v>363721.77565649315</v>
      </c>
      <c r="J154" s="18"/>
    </row>
    <row r="155" spans="1:10" x14ac:dyDescent="0.25">
      <c r="A155" s="18"/>
      <c r="B155" s="59">
        <v>740</v>
      </c>
      <c r="C155" s="18">
        <v>964758.8549528002</v>
      </c>
      <c r="D155" s="18">
        <v>866314.07383516757</v>
      </c>
      <c r="E155" s="18">
        <v>767869.29271753482</v>
      </c>
      <c r="F155" s="18">
        <v>669424.51159990218</v>
      </c>
      <c r="G155" s="18">
        <v>570979.73048226954</v>
      </c>
      <c r="H155" s="18">
        <v>472534.94936463679</v>
      </c>
      <c r="I155" s="18">
        <v>374090.16824700404</v>
      </c>
      <c r="J155" s="18"/>
    </row>
    <row r="156" spans="1:10" x14ac:dyDescent="0.25">
      <c r="A156" s="18"/>
      <c r="B156" s="59">
        <v>750</v>
      </c>
      <c r="C156" s="18">
        <v>959555.12288789009</v>
      </c>
      <c r="D156" s="18">
        <v>863599.61059910117</v>
      </c>
      <c r="E156" s="18">
        <v>767644.09831031214</v>
      </c>
      <c r="F156" s="18">
        <v>671688.58602152311</v>
      </c>
      <c r="G156" s="18">
        <v>575733.07373273408</v>
      </c>
      <c r="H156" s="18">
        <v>479777.56144394504</v>
      </c>
      <c r="I156" s="18">
        <v>383822.04915515613</v>
      </c>
      <c r="J156" s="18"/>
    </row>
    <row r="157" spans="1:10" x14ac:dyDescent="0.25">
      <c r="A157" s="18"/>
      <c r="B157" s="59">
        <v>760</v>
      </c>
      <c r="C157" s="18">
        <v>954321.38670201262</v>
      </c>
      <c r="D157" s="18">
        <v>860760.4664371094</v>
      </c>
      <c r="E157" s="18">
        <v>767199.54617220617</v>
      </c>
      <c r="F157" s="18">
        <v>673638.62590730307</v>
      </c>
      <c r="G157" s="18">
        <v>580077.70564239984</v>
      </c>
      <c r="H157" s="18">
        <v>486516.78537749662</v>
      </c>
      <c r="I157" s="18">
        <v>392955.8651125934</v>
      </c>
      <c r="J157" s="18"/>
    </row>
    <row r="158" spans="1:10" x14ac:dyDescent="0.25">
      <c r="A158" s="18"/>
      <c r="B158" s="59">
        <v>770</v>
      </c>
      <c r="C158" s="18">
        <v>949064.7749414182</v>
      </c>
      <c r="D158" s="18">
        <v>857808.54658166645</v>
      </c>
      <c r="E158" s="18">
        <v>766552.3182219147</v>
      </c>
      <c r="F158" s="18">
        <v>675296.08986216295</v>
      </c>
      <c r="G158" s="18">
        <v>584039.86150241119</v>
      </c>
      <c r="H158" s="18">
        <v>492783.63314265944</v>
      </c>
      <c r="I158" s="18">
        <v>401527.40478290769</v>
      </c>
      <c r="J158" s="18"/>
    </row>
    <row r="159" spans="1:10" x14ac:dyDescent="0.25">
      <c r="A159" s="18"/>
      <c r="B159" s="59">
        <v>780</v>
      </c>
      <c r="C159" s="18">
        <v>943791.76210536808</v>
      </c>
      <c r="D159" s="18">
        <v>854754.80341618229</v>
      </c>
      <c r="E159" s="18">
        <v>765717.84472699661</v>
      </c>
      <c r="F159" s="18">
        <v>676680.88603781094</v>
      </c>
      <c r="G159" s="18">
        <v>587643.92734862538</v>
      </c>
      <c r="H159" s="18">
        <v>498606.96865943971</v>
      </c>
      <c r="I159" s="18">
        <v>409570.00997025403</v>
      </c>
      <c r="J159" s="18"/>
    </row>
    <row r="160" spans="1:10" x14ac:dyDescent="0.25">
      <c r="A160" s="18"/>
      <c r="B160" s="59">
        <v>790</v>
      </c>
      <c r="C160" s="18">
        <v>938508.22751260083</v>
      </c>
      <c r="D160" s="18">
        <v>851609.31755773036</v>
      </c>
      <c r="E160" s="18">
        <v>764710.40760285989</v>
      </c>
      <c r="F160" s="18">
        <v>677811.49764798942</v>
      </c>
      <c r="G160" s="18">
        <v>590912.58769311896</v>
      </c>
      <c r="H160" s="18">
        <v>504013.67773824849</v>
      </c>
      <c r="I160" s="18">
        <v>417114.76778337813</v>
      </c>
      <c r="J160" s="18"/>
    </row>
    <row r="161" spans="1:10" x14ac:dyDescent="0.25">
      <c r="A161" s="18"/>
      <c r="B161" s="59">
        <v>800</v>
      </c>
      <c r="C161" s="18">
        <v>933219.50848926988</v>
      </c>
      <c r="D161" s="18">
        <v>848381.37135388167</v>
      </c>
      <c r="E161" s="18">
        <v>763543.23421849345</v>
      </c>
      <c r="F161" s="18">
        <v>678705.09708310536</v>
      </c>
      <c r="G161" s="18">
        <v>593866.95994771714</v>
      </c>
      <c r="H161" s="18">
        <v>509028.82281232905</v>
      </c>
      <c r="I161" s="18">
        <v>424190.68567694083</v>
      </c>
      <c r="J161" s="18"/>
    </row>
    <row r="162" spans="1:10" x14ac:dyDescent="0.25">
      <c r="A162" s="18"/>
      <c r="B162" s="59">
        <v>810</v>
      </c>
      <c r="C162" s="18">
        <v>927930.44847494666</v>
      </c>
      <c r="D162" s="18">
        <v>845079.51557539788</v>
      </c>
      <c r="E162" s="18">
        <v>762228.58267584909</v>
      </c>
      <c r="F162" s="18">
        <v>679377.6497763003</v>
      </c>
      <c r="G162" s="18">
        <v>596526.71687675139</v>
      </c>
      <c r="H162" s="18">
        <v>513675.78397720261</v>
      </c>
      <c r="I162" s="18">
        <v>430824.85107765382</v>
      </c>
      <c r="J162" s="18"/>
    </row>
    <row r="163" spans="1:10" x14ac:dyDescent="0.25">
      <c r="A163" s="18"/>
      <c r="B163" s="59">
        <v>820</v>
      </c>
      <c r="C163" s="18">
        <v>922645.44057495799</v>
      </c>
      <c r="D163" s="18">
        <v>841711.62999820733</v>
      </c>
      <c r="E163" s="18">
        <v>760777.81942145666</v>
      </c>
      <c r="F163" s="18">
        <v>679844.00884470588</v>
      </c>
      <c r="G163" s="18">
        <v>598910.19826795522</v>
      </c>
      <c r="H163" s="18">
        <v>517976.38769120455</v>
      </c>
      <c r="I163" s="18">
        <v>437042.57711445377</v>
      </c>
      <c r="J163" s="18"/>
    </row>
    <row r="164" spans="1:10" x14ac:dyDescent="0.25">
      <c r="A164" s="18"/>
      <c r="B164" s="59">
        <v>830</v>
      </c>
      <c r="C164" s="18">
        <v>917368.46702761366</v>
      </c>
      <c r="D164" s="18">
        <v>838284.97849075054</v>
      </c>
      <c r="E164" s="18">
        <v>759201.48995388718</v>
      </c>
      <c r="F164" s="18">
        <v>680118.00141702394</v>
      </c>
      <c r="G164" s="18">
        <v>601034.51288016071</v>
      </c>
      <c r="H164" s="18">
        <v>521951.02434329747</v>
      </c>
      <c r="I164" s="18">
        <v>442867.53580643423</v>
      </c>
      <c r="J164" s="18"/>
    </row>
    <row r="165" spans="1:10" x14ac:dyDescent="0.25">
      <c r="A165" s="18"/>
      <c r="B165" s="59">
        <v>840</v>
      </c>
      <c r="C165" s="18">
        <v>912103.13500239153</v>
      </c>
      <c r="D165" s="18">
        <v>834806.25915473117</v>
      </c>
      <c r="E165" s="18">
        <v>757509.38330707094</v>
      </c>
      <c r="F165" s="18">
        <v>680212.50745941058</v>
      </c>
      <c r="G165" s="18">
        <v>602915.63161175034</v>
      </c>
      <c r="H165" s="18">
        <v>525618.75576408999</v>
      </c>
      <c r="I165" s="18">
        <v>448321.87991642975</v>
      </c>
      <c r="J165" s="18"/>
    </row>
    <row r="166" spans="1:10" x14ac:dyDescent="0.25">
      <c r="A166" s="18"/>
      <c r="B166" s="59">
        <v>850</v>
      </c>
      <c r="C166" s="18">
        <v>906852.70909909625</v>
      </c>
      <c r="D166" s="18">
        <v>831281.65000750497</v>
      </c>
      <c r="E166" s="18">
        <v>755710.59091591358</v>
      </c>
      <c r="F166" s="18">
        <v>680139.53182432218</v>
      </c>
      <c r="G166" s="18">
        <v>604568.47273273091</v>
      </c>
      <c r="H166" s="18">
        <v>528997.41364113952</v>
      </c>
      <c r="I166" s="18">
        <v>453426.35454954812</v>
      </c>
      <c r="J166" s="18"/>
    </row>
    <row r="167" spans="1:10" x14ac:dyDescent="0.25">
      <c r="A167" s="18"/>
      <c r="B167" s="59">
        <v>860</v>
      </c>
      <c r="C167" s="18">
        <v>901620.14087741717</v>
      </c>
      <c r="D167" s="18">
        <v>827716.8506415633</v>
      </c>
      <c r="E167" s="18">
        <v>753813.56040570955</v>
      </c>
      <c r="F167" s="18">
        <v>679910.27016985556</v>
      </c>
      <c r="G167" s="18">
        <v>606006.97993400169</v>
      </c>
      <c r="H167" s="18">
        <v>532103.68969814782</v>
      </c>
      <c r="I167" s="18">
        <v>458200.39946229407</v>
      </c>
      <c r="J167" s="18"/>
    </row>
    <row r="168" spans="1:10" x14ac:dyDescent="0.25">
      <c r="A168" s="18"/>
      <c r="B168" s="59">
        <v>870</v>
      </c>
      <c r="C168" s="18">
        <v>896408.09571059258</v>
      </c>
      <c r="D168" s="18">
        <v>824117.12025006092</v>
      </c>
      <c r="E168" s="18">
        <v>751826.14478952927</v>
      </c>
      <c r="F168" s="18">
        <v>679535.16932899761</v>
      </c>
      <c r="G168" s="18">
        <v>607244.19386846595</v>
      </c>
      <c r="H168" s="18">
        <v>534953.2184079343</v>
      </c>
      <c r="I168" s="18">
        <v>462662.24294740264</v>
      </c>
      <c r="J168" s="18"/>
    </row>
    <row r="169" spans="1:10" x14ac:dyDescent="0.25">
      <c r="A169" s="18"/>
      <c r="B169" s="59">
        <v>880</v>
      </c>
      <c r="C169" s="18">
        <v>891218.97722535138</v>
      </c>
      <c r="D169" s="18">
        <v>820487.31236619642</v>
      </c>
      <c r="E169" s="18">
        <v>749755.64750704158</v>
      </c>
      <c r="F169" s="18">
        <v>679023.98264788673</v>
      </c>
      <c r="G169" s="18">
        <v>608292.31778873189</v>
      </c>
      <c r="H169" s="18">
        <v>537560.65292957693</v>
      </c>
      <c r="I169" s="18">
        <v>466828.98807042209</v>
      </c>
      <c r="J169" s="18"/>
    </row>
    <row r="170" spans="1:10" x14ac:dyDescent="0.25">
      <c r="A170" s="18"/>
      <c r="B170" s="59">
        <v>890</v>
      </c>
      <c r="C170" s="18">
        <v>886054.94956237264</v>
      </c>
      <c r="D170" s="18">
        <v>816831.90662781219</v>
      </c>
      <c r="E170" s="18">
        <v>747608.86369325186</v>
      </c>
      <c r="F170" s="18">
        <v>678385.82075869152</v>
      </c>
      <c r="G170" s="18">
        <v>609162.77782413119</v>
      </c>
      <c r="H170" s="18">
        <v>539939.73488957086</v>
      </c>
      <c r="I170" s="18">
        <v>470716.69195501041</v>
      </c>
      <c r="J170" s="18"/>
    </row>
    <row r="171" spans="1:10" x14ac:dyDescent="0.25">
      <c r="A171" s="18"/>
      <c r="B171" s="59">
        <v>900</v>
      </c>
      <c r="C171" s="18">
        <v>880917.95766693447</v>
      </c>
      <c r="D171" s="18">
        <v>813155.03784640098</v>
      </c>
      <c r="E171" s="18">
        <v>745392.11802586762</v>
      </c>
      <c r="F171" s="18">
        <v>677629.19820533413</v>
      </c>
      <c r="G171" s="18">
        <v>609866.27838480077</v>
      </c>
      <c r="H171" s="18">
        <v>542103.35856426728</v>
      </c>
      <c r="I171" s="18">
        <v>474340.43874373392</v>
      </c>
      <c r="J171" s="18"/>
    </row>
  </sheetData>
  <mergeCells count="2">
    <mergeCell ref="A16:B16"/>
    <mergeCell ref="C16:D16"/>
  </mergeCells>
  <conditionalFormatting sqref="H39:H105">
    <cfRule type="cellIs" dxfId="6" priority="7" operator="equal">
      <formula>593536</formula>
    </cfRule>
  </conditionalFormatting>
  <conditionalFormatting sqref="C106:C171">
    <cfRule type="cellIs" dxfId="5" priority="6" operator="equal">
      <formula>521231.5009</formula>
    </cfRule>
  </conditionalFormatting>
  <conditionalFormatting sqref="C107:C171">
    <cfRule type="cellIs" dxfId="4" priority="5" operator="equal">
      <formula>$C$134</formula>
    </cfRule>
  </conditionalFormatting>
  <conditionalFormatting sqref="D107:D171">
    <cfRule type="cellIs" dxfId="3" priority="1" operator="equal">
      <formula>1</formula>
    </cfRule>
    <cfRule type="top10" dxfId="2" priority="2" rank="1"/>
    <cfRule type="cellIs" dxfId="1" priority="3" operator="equal">
      <formula>"151910.9733=max"</formula>
    </cfRule>
    <cfRule type="cellIs" dxfId="0" priority="4" operator="equal">
      <formula>max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H15" sqref="H15"/>
    </sheetView>
  </sheetViews>
  <sheetFormatPr defaultRowHeight="15" x14ac:dyDescent="0.25"/>
  <sheetData>
    <row r="2" spans="2:3" x14ac:dyDescent="0.25">
      <c r="B2" s="60" t="s">
        <v>160</v>
      </c>
      <c r="C2" s="60" t="s">
        <v>161</v>
      </c>
    </row>
    <row r="3" spans="2:3" x14ac:dyDescent="0.25">
      <c r="B3" s="61">
        <v>2017</v>
      </c>
      <c r="C3" s="62">
        <v>218.6</v>
      </c>
    </row>
    <row r="4" spans="2:3" x14ac:dyDescent="0.25">
      <c r="B4" s="61">
        <v>2018</v>
      </c>
      <c r="C4" s="62">
        <v>435</v>
      </c>
    </row>
    <row r="5" spans="2:3" x14ac:dyDescent="0.25">
      <c r="B5" s="61">
        <v>2019</v>
      </c>
      <c r="C5" s="62">
        <v>915</v>
      </c>
    </row>
    <row r="6" spans="2:3" x14ac:dyDescent="0.25">
      <c r="B6" s="61">
        <v>2020</v>
      </c>
      <c r="C6" s="62">
        <v>1825.9</v>
      </c>
    </row>
    <row r="7" spans="2:3" x14ac:dyDescent="0.25">
      <c r="B7" s="61">
        <v>2021</v>
      </c>
      <c r="C7" s="62">
        <v>4021.8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Budget</vt:lpstr>
      <vt:lpstr>T-shirt vendor</vt:lpstr>
      <vt:lpstr>Annual price</vt:lpstr>
      <vt:lpstr>Exercise 1</vt:lpstr>
      <vt:lpstr>what if analysis</vt:lpstr>
      <vt:lpstr>exercise 2</vt:lpstr>
      <vt:lpstr>Sheet2</vt:lpstr>
      <vt:lpstr>Sheet1</vt:lpstr>
      <vt:lpstr>Sheet3</vt:lpstr>
      <vt:lpstr>The hole</vt:lpstr>
      <vt:lpstr>Trenlines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NSSF</dc:creator>
  <cp:lastModifiedBy>mr bones</cp:lastModifiedBy>
  <dcterms:created xsi:type="dcterms:W3CDTF">2023-04-03T11:15:38Z</dcterms:created>
  <dcterms:modified xsi:type="dcterms:W3CDTF">2023-04-14T01:31:51Z</dcterms:modified>
</cp:coreProperties>
</file>