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3D3F85A8-8211-408F-93AC-77B74AA6EDA2}" xr6:coauthVersionLast="47" xr6:coauthVersionMax="47" xr10:uidLastSave="{00000000-0000-0000-0000-000000000000}"/>
  <bookViews>
    <workbookView xWindow="-98" yWindow="-98" windowWidth="21795" windowHeight="12975" activeTab="1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8" l="1"/>
  <c r="G71" i="8"/>
  <c r="G70" i="8"/>
  <c r="F72" i="8"/>
  <c r="F71" i="8"/>
  <c r="F70" i="8"/>
  <c r="D67" i="8"/>
  <c r="D66" i="8"/>
  <c r="D65" i="8"/>
  <c r="N24" i="8"/>
  <c r="N25" i="8" s="1"/>
  <c r="N23" i="8"/>
  <c r="N22" i="8"/>
  <c r="F17" i="8"/>
  <c r="F16" i="8"/>
  <c r="F15" i="8"/>
  <c r="F14" i="8"/>
  <c r="D17" i="8"/>
  <c r="C17" i="8"/>
  <c r="B17" i="8"/>
  <c r="D16" i="8"/>
  <c r="C16" i="8"/>
  <c r="B37" i="8" s="1"/>
  <c r="B16" i="8"/>
  <c r="B36" i="8" s="1"/>
  <c r="D15" i="8"/>
  <c r="C15" i="8"/>
  <c r="B15" i="8"/>
  <c r="D14" i="8"/>
  <c r="C14" i="8"/>
  <c r="B14" i="8"/>
  <c r="B38" i="8"/>
  <c r="R14" i="8"/>
  <c r="Q14" i="8"/>
  <c r="P14" i="8"/>
  <c r="R15" i="8"/>
  <c r="Q15" i="8"/>
  <c r="P15" i="8"/>
  <c r="R16" i="8"/>
  <c r="Q16" i="8"/>
  <c r="P16" i="8"/>
  <c r="R17" i="8"/>
  <c r="Q17" i="8"/>
  <c r="P17" i="8"/>
  <c r="R18" i="8"/>
  <c r="Q18" i="8"/>
  <c r="P18" i="8"/>
  <c r="R19" i="8"/>
  <c r="Q19" i="8"/>
  <c r="P19" i="8"/>
  <c r="R20" i="8"/>
  <c r="Q20" i="8"/>
  <c r="P20" i="8"/>
  <c r="J25" i="8"/>
  <c r="J24" i="8"/>
  <c r="J23" i="8"/>
  <c r="J22" i="8"/>
  <c r="J21" i="8"/>
  <c r="I11" i="8"/>
  <c r="I10" i="8"/>
  <c r="I9" i="8"/>
  <c r="I8" i="8"/>
  <c r="I7" i="8"/>
  <c r="H16" i="1"/>
  <c r="H15" i="1"/>
  <c r="H14" i="1"/>
  <c r="H13" i="1"/>
  <c r="H12" i="1"/>
  <c r="H11" i="1"/>
  <c r="H10" i="1"/>
  <c r="H9" i="1"/>
  <c r="H8" i="1"/>
  <c r="H7" i="1"/>
  <c r="H6" i="1"/>
  <c r="H5" i="1"/>
  <c r="G16" i="1"/>
  <c r="G15" i="1"/>
  <c r="G14" i="1"/>
  <c r="G13" i="1"/>
  <c r="G12" i="1"/>
  <c r="G11" i="1"/>
  <c r="G10" i="1"/>
  <c r="G9" i="1"/>
  <c r="G8" i="1"/>
  <c r="G7" i="1"/>
  <c r="G6" i="1"/>
  <c r="G5" i="1"/>
  <c r="F5" i="1"/>
  <c r="F16" i="1"/>
  <c r="F15" i="1"/>
  <c r="F14" i="1"/>
  <c r="F13" i="1"/>
  <c r="F12" i="1"/>
  <c r="F11" i="1"/>
  <c r="F10" i="1"/>
  <c r="F9" i="1"/>
  <c r="F8" i="1"/>
  <c r="F7" i="1"/>
  <c r="F6" i="1"/>
  <c r="G17" i="6"/>
  <c r="E8" i="6"/>
  <c r="E9" i="6" s="1"/>
  <c r="E10" i="6" s="1"/>
  <c r="E11" i="6" s="1"/>
  <c r="D8" i="6"/>
  <c r="D9" i="6" s="1"/>
  <c r="D10" i="6" s="1"/>
  <c r="D11" i="6" s="1"/>
  <c r="S7" i="6"/>
  <c r="S8" i="6" s="1"/>
  <c r="S9" i="6" s="1"/>
  <c r="S10" i="6" s="1"/>
  <c r="S11" i="6" s="1"/>
  <c r="R7" i="6"/>
  <c r="R8" i="6" s="1"/>
  <c r="R9" i="6" s="1"/>
  <c r="R10" i="6" s="1"/>
  <c r="R11" i="6" s="1"/>
  <c r="E7" i="6"/>
  <c r="D7" i="6"/>
  <c r="S6" i="6"/>
  <c r="R6" i="6"/>
  <c r="Q6" i="6"/>
  <c r="Q7" i="6" s="1"/>
  <c r="Q8" i="6" s="1"/>
  <c r="Q9" i="6" s="1"/>
  <c r="Q10" i="6" s="1"/>
  <c r="Q11" i="6" s="1"/>
  <c r="P6" i="6"/>
  <c r="P7" i="6" s="1"/>
  <c r="P8" i="6" s="1"/>
  <c r="P9" i="6" s="1"/>
  <c r="P10" i="6" s="1"/>
  <c r="P11" i="6" s="1"/>
  <c r="O6" i="6"/>
  <c r="O7" i="6" s="1"/>
  <c r="O8" i="6" s="1"/>
  <c r="O9" i="6" s="1"/>
  <c r="O10" i="6" s="1"/>
  <c r="O11" i="6" s="1"/>
  <c r="N6" i="6"/>
  <c r="N7" i="6" s="1"/>
  <c r="N8" i="6" s="1"/>
  <c r="N9" i="6" s="1"/>
  <c r="N10" i="6" s="1"/>
  <c r="N11" i="6" s="1"/>
  <c r="M6" i="6"/>
  <c r="M7" i="6" s="1"/>
  <c r="M8" i="6" s="1"/>
  <c r="M9" i="6" s="1"/>
  <c r="M10" i="6" s="1"/>
  <c r="M11" i="6" s="1"/>
  <c r="L6" i="6"/>
  <c r="L7" i="6" s="1"/>
  <c r="L8" i="6" s="1"/>
  <c r="L9" i="6" s="1"/>
  <c r="L10" i="6" s="1"/>
  <c r="L11" i="6" s="1"/>
  <c r="E6" i="6"/>
  <c r="D6" i="6"/>
  <c r="S5" i="6"/>
  <c r="R5" i="6"/>
  <c r="Q5" i="6"/>
  <c r="P5" i="6"/>
  <c r="O5" i="6"/>
  <c r="N5" i="6"/>
  <c r="M5" i="6"/>
  <c r="L5" i="6"/>
  <c r="K5" i="6"/>
  <c r="K6" i="6" s="1"/>
  <c r="K7" i="6" s="1"/>
  <c r="K8" i="6" s="1"/>
  <c r="K9" i="6" s="1"/>
  <c r="K10" i="6" s="1"/>
  <c r="K11" i="6" s="1"/>
  <c r="J5" i="6"/>
  <c r="J6" i="6" s="1"/>
  <c r="J7" i="6" s="1"/>
  <c r="J8" i="6" s="1"/>
  <c r="J9" i="6" s="1"/>
  <c r="J10" i="6" s="1"/>
  <c r="J11" i="6" s="1"/>
  <c r="I5" i="6"/>
  <c r="I6" i="6" s="1"/>
  <c r="I7" i="6" s="1"/>
  <c r="I8" i="6" s="1"/>
  <c r="I9" i="6" s="1"/>
  <c r="I10" i="6" s="1"/>
  <c r="I11" i="6" s="1"/>
  <c r="H5" i="6"/>
  <c r="H6" i="6" s="1"/>
  <c r="H7" i="6" s="1"/>
  <c r="H8" i="6" s="1"/>
  <c r="H9" i="6" s="1"/>
  <c r="H10" i="6" s="1"/>
  <c r="H11" i="6" s="1"/>
  <c r="G5" i="6"/>
  <c r="G6" i="6" s="1"/>
  <c r="G7" i="6" s="1"/>
  <c r="G8" i="6" s="1"/>
  <c r="G9" i="6" s="1"/>
  <c r="G10" i="6" s="1"/>
  <c r="G11" i="6" s="1"/>
  <c r="F5" i="6"/>
  <c r="F6" i="6" s="1"/>
  <c r="F7" i="6" s="1"/>
  <c r="F8" i="6" s="1"/>
  <c r="F9" i="6" s="1"/>
  <c r="F10" i="6" s="1"/>
  <c r="F11" i="6" s="1"/>
  <c r="E5" i="6"/>
  <c r="D5" i="6"/>
  <c r="M4" i="6"/>
  <c r="F4" i="6"/>
  <c r="E4" i="6"/>
  <c r="C6" i="6"/>
  <c r="C7" i="6" s="1"/>
  <c r="C8" i="6" s="1"/>
  <c r="C9" i="6" s="1"/>
  <c r="C10" i="6" s="1"/>
  <c r="C11" i="6" s="1"/>
  <c r="C5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L62" i="8"/>
  <c r="F67" i="8"/>
  <c r="C67" i="8"/>
  <c r="C66" i="8"/>
  <c r="F66" i="8" s="1"/>
  <c r="A41" i="8"/>
  <c r="F23" i="8"/>
  <c r="F21" i="8"/>
  <c r="A1" i="8"/>
  <c r="H1" i="8" s="1"/>
  <c r="O1" i="8"/>
  <c r="B28" i="5"/>
  <c r="B27" i="5"/>
  <c r="B23" i="5"/>
  <c r="B22" i="5"/>
  <c r="A7" i="8"/>
  <c r="D7" i="8" s="1"/>
  <c r="F8" i="8"/>
  <c r="F9" i="8" s="1"/>
  <c r="F10" i="8" s="1"/>
  <c r="A10" i="8" s="1"/>
  <c r="D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N4" i="6" l="1"/>
  <c r="G4" i="6"/>
  <c r="F22" i="8"/>
  <c r="C30" i="8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D8" i="8" s="1"/>
  <c r="A9" i="8"/>
  <c r="D9" i="8" s="1"/>
  <c r="F11" i="8"/>
  <c r="A11" i="8" s="1"/>
  <c r="D11" i="8" s="1"/>
  <c r="H3" i="8"/>
  <c r="B24" i="8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O4" i="6" l="1"/>
  <c r="H4" i="6"/>
  <c r="A4" i="8"/>
  <c r="H4" i="8" s="1"/>
  <c r="F24" i="8"/>
  <c r="F42" i="8"/>
  <c r="G42" i="8"/>
  <c r="B43" i="8"/>
  <c r="A42" i="8"/>
  <c r="A43" i="8" s="1"/>
  <c r="B25" i="8"/>
  <c r="F25" i="8" s="1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P4" i="6" l="1"/>
  <c r="I4" i="6"/>
  <c r="C65" i="8"/>
  <c r="F65" i="8" s="1"/>
  <c r="B44" i="8"/>
  <c r="A44" i="8" s="1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Q4" i="6" l="1"/>
  <c r="J4" i="6"/>
  <c r="I43" i="8"/>
  <c r="B45" i="8"/>
  <c r="A45" i="8" s="1"/>
  <c r="G44" i="8"/>
  <c r="F44" i="8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R4" i="6" l="1"/>
  <c r="K4" i="6"/>
  <c r="I44" i="8"/>
  <c r="B46" i="8"/>
  <c r="G45" i="8"/>
  <c r="F45" i="8"/>
  <c r="A46" i="8"/>
  <c r="K7" i="7"/>
  <c r="L6" i="7"/>
  <c r="I7" i="7"/>
  <c r="J6" i="7"/>
  <c r="H5" i="7"/>
  <c r="G6" i="7"/>
  <c r="E7" i="7"/>
  <c r="F6" i="7"/>
  <c r="A10" i="7"/>
  <c r="B9" i="7"/>
  <c r="S4" i="6" l="1"/>
  <c r="I45" i="8"/>
  <c r="B47" i="8"/>
  <c r="G46" i="8"/>
  <c r="F46" i="8"/>
  <c r="L7" i="7"/>
  <c r="K8" i="7"/>
  <c r="I8" i="7"/>
  <c r="J7" i="7"/>
  <c r="G7" i="7"/>
  <c r="H6" i="7"/>
  <c r="E8" i="7"/>
  <c r="F7" i="7"/>
  <c r="A11" i="7"/>
  <c r="B10" i="7"/>
  <c r="I46" i="8" l="1"/>
  <c r="B48" i="8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B49" i="8" l="1"/>
  <c r="A49" i="8" s="1"/>
  <c r="G48" i="8"/>
  <c r="F48" i="8"/>
  <c r="K10" i="7"/>
  <c r="L9" i="7"/>
  <c r="I10" i="7"/>
  <c r="J9" i="7"/>
  <c r="G9" i="7"/>
  <c r="H8" i="7"/>
  <c r="E10" i="7"/>
  <c r="F9" i="7"/>
  <c r="A13" i="7"/>
  <c r="B12" i="7"/>
  <c r="I48" i="8" l="1"/>
  <c r="B50" i="8"/>
  <c r="A50" i="8" s="1"/>
  <c r="G49" i="8"/>
  <c r="F49" i="8"/>
  <c r="I49" i="8" s="1"/>
  <c r="K11" i="7"/>
  <c r="L10" i="7"/>
  <c r="I11" i="7"/>
  <c r="J10" i="7"/>
  <c r="G10" i="7"/>
  <c r="H9" i="7"/>
  <c r="E11" i="7"/>
  <c r="F10" i="7"/>
  <c r="A14" i="7"/>
  <c r="B13" i="7"/>
  <c r="B51" i="8" l="1"/>
  <c r="A51" i="8" s="1"/>
  <c r="G50" i="8"/>
  <c r="F50" i="8"/>
  <c r="K12" i="7"/>
  <c r="L11" i="7"/>
  <c r="I12" i="7"/>
  <c r="J11" i="7"/>
  <c r="G11" i="7"/>
  <c r="H10" i="7"/>
  <c r="E12" i="7"/>
  <c r="F11" i="7"/>
  <c r="A15" i="7"/>
  <c r="B14" i="7"/>
  <c r="I50" i="8" l="1"/>
  <c r="B52" i="8"/>
  <c r="A52" i="8" s="1"/>
  <c r="G51" i="8"/>
  <c r="F51" i="8"/>
  <c r="K13" i="7"/>
  <c r="L12" i="7"/>
  <c r="I13" i="7"/>
  <c r="J12" i="7"/>
  <c r="G12" i="7"/>
  <c r="H11" i="7"/>
  <c r="E13" i="7"/>
  <c r="F12" i="7"/>
  <c r="A16" i="7"/>
  <c r="B15" i="7"/>
  <c r="I51" i="8" l="1"/>
  <c r="B53" i="8"/>
  <c r="B54" i="8" s="1"/>
  <c r="B55" i="8" s="1"/>
  <c r="B56" i="8" s="1"/>
  <c r="B57" i="8" s="1"/>
  <c r="B58" i="8" s="1"/>
  <c r="B59" i="8" s="1"/>
  <c r="B60" i="8" s="1"/>
  <c r="B61" i="8" s="1"/>
  <c r="G52" i="8"/>
  <c r="F52" i="8"/>
  <c r="K14" i="7"/>
  <c r="L13" i="7"/>
  <c r="I14" i="7"/>
  <c r="J13" i="7"/>
  <c r="G13" i="7"/>
  <c r="H12" i="7"/>
  <c r="E14" i="7"/>
  <c r="F13" i="7"/>
  <c r="C1" i="7"/>
  <c r="B16" i="7"/>
  <c r="I52" i="8" l="1"/>
  <c r="K15" i="7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<sst xmlns="http://schemas.openxmlformats.org/spreadsheetml/2006/main" count="167" uniqueCount="152">
  <si>
    <t>Test WS2812 led chain</t>
  </si>
  <si>
    <t>Test SSD1306 OLED screen</t>
  </si>
  <si>
    <t>Test capacitive touch sensors</t>
  </si>
  <si>
    <t>Test FreeRTOS</t>
  </si>
  <si>
    <t>Total progress</t>
  </si>
  <si>
    <t>Until first working version</t>
  </si>
  <si>
    <t>Implement advanced ssd1306 functions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</si>
  <si>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</si>
  <si>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</si>
  <si>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</si>
  <si>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</si>
  <si>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</si>
  <si>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</si>
  <si>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</si>
  <si>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</si>
  <si>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</si>
  <si>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</si>
  <si>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</si>
  <si>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</si>
  <si>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</si>
  <si>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</si>
  <si>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</si>
  <si>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</si>
  <si>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</si>
  <si>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</si>
  <si>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</si>
  <si>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</si>
  <si>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</si>
  <si>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</si>
  <si>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</si>
  <si>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</si>
  <si>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</si>
  <si>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</si>
  <si>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</si>
  <si>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</si>
  <si>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</si>
  <si>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</si>
  <si>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</si>
  <si>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</si>
  <si>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</si>
  <si>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</si>
  <si>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</si>
  <si>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</si>
  <si>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</si>
  <si>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</si>
  <si>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</si>
  <si>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</si>
  <si>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</si>
  <si>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</si>
  <si>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</si>
  <si>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</si>
  <si>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</si>
  <si>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</si>
  <si>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</si>
  <si>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</si>
  <si>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</si>
  <si>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</si>
  <si>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</si>
  <si>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</si>
  <si>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</si>
  <si>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</si>
  <si>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</si>
  <si>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</si>
  <si>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</si>
  <si>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</si>
  <si>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</si>
  <si>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</si>
  <si>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</si>
  <si>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</si>
  <si>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</si>
  <si>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</si>
  <si>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</si>
  <si>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</si>
  <si>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</si>
  <si>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</si>
  <si>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</si>
  <si>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</si>
  <si>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</si>
  <si>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</si>
  <si>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</si>
  <si>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</si>
  <si>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</si>
  <si>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</si>
  <si>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</si>
  <si>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</si>
  <si>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</si>
  <si>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</si>
  <si>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</si>
  <si>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</si>
  <si>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</si>
  <si>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</si>
  <si>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</si>
  <si>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</si>
  <si>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</si>
  <si>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</si>
  <si>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</si>
  <si>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</si>
  <si>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</si>
  <si>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</si>
  <si>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</si>
  <si>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</si>
  <si>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</si>
  <si>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</si>
  <si>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</si>
  <si>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</si>
  <si>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</si>
  <si>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</si>
  <si>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</si>
  <si>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</si>
  <si>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</si>
  <si>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</si>
  <si>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</si>
  <si>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</si>
  <si>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</si>
  <si>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</si>
  <si>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</si>
  <si>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</si>
  <si>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</si>
  <si>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</si>
  <si>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</si>
  <si>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</si>
  <si>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</si>
  <si>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</si>
  <si>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</si>
  <si>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</si>
  <si>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</si>
  <si>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</si>
  <si>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</si>
  <si>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</si>
  <si>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</si>
  <si>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</si>
  <si>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</si>
  <si>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</si>
  <si>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</si>
  <si>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</si>
  <si>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const uint8_t DISPLAY_INTENSITY[] = {</t>
  </si>
  <si>
    <t>Bedclock_IDF_V12</t>
  </si>
  <si>
    <t>x</t>
  </si>
  <si>
    <t>y</t>
  </si>
  <si>
    <t>First working version of pixel buffer</t>
  </si>
  <si>
    <t>First working version of application</t>
  </si>
  <si>
    <t>/*</t>
  </si>
  <si>
    <t>Different sub-projects to port the Arduino project to ESP-IDF</t>
  </si>
  <si>
    <t>*/</t>
  </si>
  <si>
    <t>First working version with graphics layout</t>
  </si>
  <si>
    <t>Different projects were created to port the Arduino version to ESP-IDF:</t>
  </si>
  <si>
    <t>|---|---|</t>
  </si>
  <si>
    <t>"| Directory | Purpose |</t>
  </si>
  <si>
    <t>R%</t>
  </si>
  <si>
    <t>G%</t>
  </si>
  <si>
    <t>B%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</si>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</sst>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General&quot; K&quot;"/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5" fillId="0" borderId="0" xfId="0" applyFont="1"/>
    <xf numFmtId="0" fontId="6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H22"/>
  <sheetViews>
    <sheetView topLeftCell="D1" workbookViewId="0">
      <pane ySplit="2" topLeftCell="A3" activePane="bottomLeft" state="frozen"/>
      <selection pane="bottomLeft" activeCell="F21" sqref="F21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  <col min="6" max="6" width="58.53125" bestFit="1" customWidth="1"/>
    <col min="7" max="7" width="61" bestFit="1" customWidth="1"/>
  </cols>
  <sheetData>
    <row r="1" spans="1:8" x14ac:dyDescent="0.45">
      <c r="A1" s="2">
        <f>AVERAGE(A5:A14)</f>
        <v>1</v>
      </c>
      <c r="B1" s="3" t="s">
        <v>5</v>
      </c>
    </row>
    <row r="2" spans="1:8" s="3" customFormat="1" x14ac:dyDescent="0.45">
      <c r="A2" s="2">
        <f>AVERAGE(A5:A1048576)</f>
        <v>0.61111111111111116</v>
      </c>
      <c r="B2" s="3" t="s">
        <v>4</v>
      </c>
    </row>
    <row r="3" spans="1:8" s="3" customFormat="1" x14ac:dyDescent="0.45">
      <c r="A3" s="2"/>
      <c r="F3" s="4" t="s">
        <v>141</v>
      </c>
      <c r="H3" s="3" t="s">
        <v>147</v>
      </c>
    </row>
    <row r="4" spans="1:8" x14ac:dyDescent="0.45">
      <c r="F4" t="s">
        <v>142</v>
      </c>
      <c r="G4" t="s">
        <v>145</v>
      </c>
      <c r="H4" s="4" t="s">
        <v>146</v>
      </c>
    </row>
    <row r="5" spans="1:8" x14ac:dyDescent="0.45">
      <c r="A5" s="1">
        <v>1</v>
      </c>
      <c r="B5" t="s">
        <v>0</v>
      </c>
      <c r="C5" t="s">
        <v>68</v>
      </c>
      <c r="E5" s="3"/>
      <c r="F5" t="str">
        <f t="shared" ref="F5:F16" si="0">"    "&amp;C5&amp;" : "&amp;B5</f>
        <v xml:space="preserve">    Bedclock_IDF_V01 : Test WS2812 led chain</v>
      </c>
      <c r="G5" t="str">
        <f t="shared" ref="G5:G16" si="1">"  * `"&amp;C5&amp;"` : "&amp;B5</f>
        <v xml:space="preserve">  * `Bedclock_IDF_V01` : Test WS2812 led chain</v>
      </c>
      <c r="H5" t="str">
        <f>"| `"&amp;C5&amp;"` | "&amp;B5&amp;" |"</f>
        <v>| `Bedclock_IDF_V01` | Test WS2812 led chain |</v>
      </c>
    </row>
    <row r="6" spans="1:8" x14ac:dyDescent="0.45">
      <c r="A6" s="1">
        <v>1</v>
      </c>
      <c r="B6" t="s">
        <v>1</v>
      </c>
      <c r="C6" t="s">
        <v>69</v>
      </c>
      <c r="E6" s="8"/>
      <c r="F6" t="str">
        <f t="shared" si="0"/>
        <v xml:space="preserve">    Bedclock_IDF_V02 : Test SSD1306 OLED screen</v>
      </c>
      <c r="G6" t="str">
        <f t="shared" si="1"/>
        <v xml:space="preserve">  * `Bedclock_IDF_V02` : Test SSD1306 OLED screen</v>
      </c>
      <c r="H6" t="str">
        <f t="shared" ref="H6:H16" si="2">"| `"&amp;C6&amp;"` | "&amp;B6&amp;" |"</f>
        <v>| `Bedclock_IDF_V02` | Test SSD1306 OLED screen |</v>
      </c>
    </row>
    <row r="7" spans="1:8" x14ac:dyDescent="0.45">
      <c r="A7" s="1">
        <v>1</v>
      </c>
      <c r="B7" t="s">
        <v>2</v>
      </c>
      <c r="C7" t="s">
        <v>70</v>
      </c>
      <c r="E7" s="8"/>
      <c r="F7" t="str">
        <f t="shared" si="0"/>
        <v xml:space="preserve">    Bedclock_IDF_V03 : Test capacitive touch sensors</v>
      </c>
      <c r="G7" t="str">
        <f t="shared" si="1"/>
        <v xml:space="preserve">  * `Bedclock_IDF_V03` : Test capacitive touch sensors</v>
      </c>
      <c r="H7" t="str">
        <f t="shared" si="2"/>
        <v>| `Bedclock_IDF_V03` | Test capacitive touch sensors |</v>
      </c>
    </row>
    <row r="8" spans="1:8" x14ac:dyDescent="0.45">
      <c r="A8" s="1">
        <v>1</v>
      </c>
      <c r="B8" t="s">
        <v>49</v>
      </c>
      <c r="C8" t="s">
        <v>67</v>
      </c>
      <c r="E8" s="8"/>
      <c r="F8" t="str">
        <f t="shared" si="0"/>
        <v xml:space="preserve">    Bedclock_IDF_V04 : Test WiFi</v>
      </c>
      <c r="G8" t="str">
        <f t="shared" si="1"/>
        <v xml:space="preserve">  * `Bedclock_IDF_V04` : Test WiFi</v>
      </c>
      <c r="H8" t="str">
        <f t="shared" si="2"/>
        <v>| `Bedclock_IDF_V04` | Test WiFi |</v>
      </c>
    </row>
    <row r="9" spans="1:8" x14ac:dyDescent="0.45">
      <c r="A9" s="1">
        <v>1</v>
      </c>
      <c r="B9" t="s">
        <v>66</v>
      </c>
      <c r="C9" t="s">
        <v>71</v>
      </c>
      <c r="E9" s="8"/>
      <c r="F9" t="str">
        <f t="shared" si="0"/>
        <v xml:space="preserve">    Bedclock_IDF_V05 : Test time sync with timeserver</v>
      </c>
      <c r="G9" t="str">
        <f t="shared" si="1"/>
        <v xml:space="preserve">  * `Bedclock_IDF_V05` : Test time sync with timeserver</v>
      </c>
      <c r="H9" t="str">
        <f t="shared" si="2"/>
        <v>| `Bedclock_IDF_V05` | Test time sync with timeserver |</v>
      </c>
    </row>
    <row r="10" spans="1:8" x14ac:dyDescent="0.45">
      <c r="A10" s="1">
        <v>1</v>
      </c>
      <c r="B10" t="s">
        <v>74</v>
      </c>
      <c r="C10" t="s">
        <v>75</v>
      </c>
      <c r="F10" t="str">
        <f t="shared" si="0"/>
        <v xml:space="preserve">    Bedclock_IDF_V06 : Port timer object using esp_timer_get_time() / 1000;</v>
      </c>
      <c r="G10" t="str">
        <f t="shared" si="1"/>
        <v xml:space="preserve">  * `Bedclock_IDF_V06` : Port timer object using esp_timer_get_time() / 1000;</v>
      </c>
      <c r="H10" t="str">
        <f t="shared" si="2"/>
        <v>| `Bedclock_IDF_V06` | Port timer object using esp_timer_get_time() / 1000; |</v>
      </c>
    </row>
    <row r="11" spans="1:8" x14ac:dyDescent="0.45">
      <c r="A11" s="1">
        <v>1</v>
      </c>
      <c r="B11" t="s">
        <v>3</v>
      </c>
      <c r="C11" t="s">
        <v>76</v>
      </c>
      <c r="F11" t="str">
        <f t="shared" si="0"/>
        <v xml:space="preserve">    Bedclock_IDF_V07 : Test FreeRTOS</v>
      </c>
      <c r="G11" t="str">
        <f t="shared" si="1"/>
        <v xml:space="preserve">  * `Bedclock_IDF_V07` : Test FreeRTOS</v>
      </c>
      <c r="H11" t="str">
        <f t="shared" si="2"/>
        <v>| `Bedclock_IDF_V07` | Test FreeRTOS |</v>
      </c>
    </row>
    <row r="12" spans="1:8" x14ac:dyDescent="0.45">
      <c r="A12" s="1">
        <v>1</v>
      </c>
      <c r="B12" t="s">
        <v>110</v>
      </c>
      <c r="C12" t="s">
        <v>77</v>
      </c>
      <c r="F12" t="str">
        <f t="shared" si="0"/>
        <v xml:space="preserve">    Bedclock_IDF_V08 : Implement multiple parallel processes</v>
      </c>
      <c r="G12" t="str">
        <f t="shared" si="1"/>
        <v xml:space="preserve">  * `Bedclock_IDF_V08` : Implement multiple parallel processes</v>
      </c>
      <c r="H12" t="str">
        <f t="shared" si="2"/>
        <v>| `Bedclock_IDF_V08` | Implement multiple parallel processes |</v>
      </c>
    </row>
    <row r="13" spans="1:8" x14ac:dyDescent="0.45">
      <c r="A13" s="1">
        <v>1</v>
      </c>
      <c r="B13" t="s">
        <v>79</v>
      </c>
      <c r="C13" t="s">
        <v>78</v>
      </c>
      <c r="F13" t="str">
        <f t="shared" si="0"/>
        <v xml:space="preserve">    Bedclock_IDF_V09 : Internal Espressif SSD1306 driver including LVGL</v>
      </c>
      <c r="G13" t="str">
        <f t="shared" si="1"/>
        <v xml:space="preserve">  * `Bedclock_IDF_V09` : Internal Espressif SSD1306 driver including LVGL</v>
      </c>
      <c r="H13" t="str">
        <f t="shared" si="2"/>
        <v>| `Bedclock_IDF_V09` | Internal Espressif SSD1306 driver including LVGL |</v>
      </c>
    </row>
    <row r="14" spans="1:8" x14ac:dyDescent="0.45">
      <c r="A14" s="1">
        <v>1</v>
      </c>
      <c r="B14" t="s">
        <v>140</v>
      </c>
      <c r="C14" t="s">
        <v>82</v>
      </c>
      <c r="F14" t="str">
        <f t="shared" si="0"/>
        <v xml:space="preserve">    Bedclock_IDF_V10 : First working version of application</v>
      </c>
      <c r="G14" t="str">
        <f t="shared" si="1"/>
        <v xml:space="preserve">  * `Bedclock_IDF_V10` : First working version of application</v>
      </c>
      <c r="H14" t="str">
        <f t="shared" si="2"/>
        <v>| `Bedclock_IDF_V10` | First working version of application |</v>
      </c>
    </row>
    <row r="15" spans="1:8" x14ac:dyDescent="0.45">
      <c r="A15" s="1">
        <v>1</v>
      </c>
      <c r="B15" t="s">
        <v>139</v>
      </c>
      <c r="C15" t="s">
        <v>94</v>
      </c>
      <c r="F15" t="str">
        <f t="shared" si="0"/>
        <v xml:space="preserve">    Bedclock_IDF_V11 : First working version of pixel buffer</v>
      </c>
      <c r="G15" t="str">
        <f t="shared" si="1"/>
        <v xml:space="preserve">  * `Bedclock_IDF_V11` : First working version of pixel buffer</v>
      </c>
      <c r="H15" t="str">
        <f t="shared" si="2"/>
        <v>| `Bedclock_IDF_V11` | First working version of pixel buffer |</v>
      </c>
    </row>
    <row r="16" spans="1:8" x14ac:dyDescent="0.45">
      <c r="A16" s="1">
        <v>0</v>
      </c>
      <c r="B16" t="s">
        <v>144</v>
      </c>
      <c r="C16" t="s">
        <v>136</v>
      </c>
      <c r="F16" t="str">
        <f t="shared" si="0"/>
        <v xml:space="preserve">    Bedclock_IDF_V12 : First working version with graphics layout</v>
      </c>
      <c r="G16" t="str">
        <f t="shared" si="1"/>
        <v xml:space="preserve">  * `Bedclock_IDF_V12` : First working version with graphics layout</v>
      </c>
      <c r="H16" t="str">
        <f t="shared" si="2"/>
        <v>| `Bedclock_IDF_V12` | First working version with graphics layout |</v>
      </c>
    </row>
    <row r="17" spans="1:6" x14ac:dyDescent="0.45">
      <c r="A17" s="1">
        <v>0</v>
      </c>
      <c r="B17" t="s">
        <v>108</v>
      </c>
      <c r="F17" t="s">
        <v>143</v>
      </c>
    </row>
    <row r="18" spans="1:6" x14ac:dyDescent="0.45">
      <c r="A18" s="1">
        <v>0</v>
      </c>
      <c r="B18" t="s">
        <v>109</v>
      </c>
    </row>
    <row r="19" spans="1:6" x14ac:dyDescent="0.45">
      <c r="A19" s="1">
        <v>0</v>
      </c>
      <c r="B19" t="s">
        <v>83</v>
      </c>
    </row>
    <row r="20" spans="1:6" x14ac:dyDescent="0.45">
      <c r="A20" s="1">
        <v>0</v>
      </c>
      <c r="B20" t="s">
        <v>73</v>
      </c>
    </row>
    <row r="21" spans="1:6" x14ac:dyDescent="0.45">
      <c r="A21" s="1">
        <v>0</v>
      </c>
      <c r="B21" t="s">
        <v>72</v>
      </c>
    </row>
    <row r="22" spans="1:6" x14ac:dyDescent="0.45">
      <c r="A22" s="1">
        <v>0</v>
      </c>
      <c r="B22" t="s">
        <v>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72"/>
  <sheetViews>
    <sheetView tabSelected="1" topLeftCell="A57" workbookViewId="0">
      <selection activeCell="G72" sqref="G72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98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99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100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101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102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103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  <c r="I7" t="str">
        <f>TEXT(F7,"0")&amp;" min"</f>
        <v>5 min</v>
      </c>
    </row>
    <row r="8" spans="1:18" x14ac:dyDescent="0.45">
      <c r="A8" t="str">
        <f>TEXT(settings!F8,"0")&amp;"*60*1000, "</f>
        <v xml:space="preserve">7*60*1000, </v>
      </c>
      <c r="B8" s="4" t="s">
        <v>104</v>
      </c>
      <c r="D8" t="str">
        <f t="shared" si="0"/>
        <v>7*60*1000,       // .led_timer = 1</v>
      </c>
      <c r="F8">
        <f>F7*$G$7</f>
        <v>7.0710680427981929</v>
      </c>
      <c r="I8" t="str">
        <f>I7&amp;", "&amp;TEXT(F8,"0")&amp;" min"</f>
        <v>5 min, 7 min</v>
      </c>
    </row>
    <row r="9" spans="1:18" x14ac:dyDescent="0.45">
      <c r="A9" t="str">
        <f>TEXT(settings!F9,"0")&amp;"*60*1000, "</f>
        <v xml:space="preserve">10*60*1000, </v>
      </c>
      <c r="B9" s="4" t="s">
        <v>105</v>
      </c>
      <c r="D9" t="str">
        <f t="shared" si="0"/>
        <v>10*60*1000,       // .led_timer = 2</v>
      </c>
      <c r="F9">
        <f t="shared" ref="F9:F11" si="1">F8*$G$7</f>
        <v>10.000000653176373</v>
      </c>
      <c r="I9" t="str">
        <f>I8&amp;", "&amp;TEXT(F9,"0")&amp;" min"</f>
        <v>5 min, 7 min, 10 min</v>
      </c>
    </row>
    <row r="10" spans="1:18" x14ac:dyDescent="0.45">
      <c r="A10" t="str">
        <f>TEXT(settings!F10,"0")&amp;"*60*1000, "</f>
        <v xml:space="preserve">14*60*1000, </v>
      </c>
      <c r="B10" s="4" t="s">
        <v>106</v>
      </c>
      <c r="D10" t="str">
        <f t="shared" si="0"/>
        <v>14*60*1000,       // .led_timer = 3</v>
      </c>
      <c r="F10">
        <f t="shared" si="1"/>
        <v>14.142137009327302</v>
      </c>
      <c r="I10" t="str">
        <f>I9&amp;", "&amp;TEXT(F10,"0")&amp;" min"</f>
        <v>5 min, 7 min, 10 min, 14 min</v>
      </c>
    </row>
    <row r="11" spans="1:18" x14ac:dyDescent="0.45">
      <c r="A11" t="str">
        <f>TEXT(settings!F11,"0")&amp;"*60*1000, "</f>
        <v xml:space="preserve">20*60*1000, </v>
      </c>
      <c r="B11" s="4" t="s">
        <v>107</v>
      </c>
      <c r="D11" t="str">
        <f t="shared" si="0"/>
        <v>20*60*1000,       // .led_timer = 4</v>
      </c>
      <c r="F11">
        <f t="shared" si="1"/>
        <v>20.000002612705579</v>
      </c>
      <c r="I11" t="str">
        <f>I10&amp;", "&amp;TEXT(F11,"0")&amp;" min"</f>
        <v>5 min, 7 min, 10 min, 14 min, 20 min</v>
      </c>
    </row>
    <row r="13" spans="1:18" x14ac:dyDescent="0.45">
      <c r="B13" t="s">
        <v>48</v>
      </c>
      <c r="C13" t="s">
        <v>133</v>
      </c>
      <c r="D13" t="s">
        <v>134</v>
      </c>
      <c r="F13" t="s">
        <v>122</v>
      </c>
      <c r="L13" s="3" t="s">
        <v>151</v>
      </c>
      <c r="M13" s="3" t="s">
        <v>48</v>
      </c>
      <c r="N13" s="3" t="s">
        <v>133</v>
      </c>
      <c r="O13" s="3" t="s">
        <v>134</v>
      </c>
      <c r="P13" s="3" t="s">
        <v>148</v>
      </c>
      <c r="Q13" s="3" t="s">
        <v>149</v>
      </c>
      <c r="R13" s="3" t="s">
        <v>150</v>
      </c>
    </row>
    <row r="14" spans="1:18" x14ac:dyDescent="0.45">
      <c r="A14">
        <v>0</v>
      </c>
      <c r="B14" s="11">
        <f>LOOKUP($E14,$L$14:$L$20,P$14:P$20)</f>
        <v>1.0079051383399209</v>
      </c>
      <c r="C14" s="11">
        <f t="shared" ref="C14:C17" si="2">LOOKUP($E14,$L$14:$L$20,Q$14:Q$20)</f>
        <v>1.0039525691699605</v>
      </c>
      <c r="D14" s="11">
        <f t="shared" ref="D14:D17" si="3">LOOKUP($E14,$L$14:$L$20,R$14:R$20)</f>
        <v>0.98814229249011865</v>
      </c>
      <c r="E14">
        <v>6500</v>
      </c>
      <c r="F14" t="str">
        <f>"  { .r = "&amp;TEXT(B14,"0.000")&amp;",  .g = "&amp;TEXT(C14,"0.000")&amp;",  .b = "&amp;TEXT(D14,"0.000")&amp;" },    // "&amp;TEXT(A14,"0")&amp;" = "&amp;E14&amp;" K"</f>
        <v xml:space="preserve">  { .r = 1.008,  .g = 1.004,  .b = 0.988 },    // 0 = 6500 K</v>
      </c>
      <c r="L14" s="15">
        <v>3000</v>
      </c>
      <c r="M14">
        <v>255</v>
      </c>
      <c r="N14">
        <v>177</v>
      </c>
      <c r="O14">
        <v>110</v>
      </c>
      <c r="P14">
        <f>M14/SUM($M14:$O14)*3</f>
        <v>1.411439114391144</v>
      </c>
      <c r="Q14">
        <f>N14/SUM($M14:$O14)*3</f>
        <v>0.97970479704797053</v>
      </c>
      <c r="R14">
        <f>O14/SUM($M14:$O14)*3</f>
        <v>0.60885608856088558</v>
      </c>
    </row>
    <row r="15" spans="1:18" x14ac:dyDescent="0.45">
      <c r="A15">
        <v>1</v>
      </c>
      <c r="B15" s="11">
        <f t="shared" ref="B15:B17" si="4">LOOKUP($E15,$L$14:$L$20,P$14:P$20)</f>
        <v>1.1103047895500726</v>
      </c>
      <c r="C15" s="11">
        <f t="shared" si="2"/>
        <v>0.99274310595065318</v>
      </c>
      <c r="D15" s="11">
        <f t="shared" si="3"/>
        <v>0.89695210449927432</v>
      </c>
      <c r="E15">
        <v>5000</v>
      </c>
      <c r="F15" t="str">
        <f t="shared" ref="F15:F17" si="5">"  { .r = "&amp;TEXT(B15,"0.000")&amp;",  .g = "&amp;TEXT(C15,"0.000")&amp;",  .b = "&amp;TEXT(D15,"0.000")&amp;" },    // "&amp;TEXT(A15,"0")&amp;" = "&amp;E15&amp;" K"</f>
        <v xml:space="preserve">  { .r = 1.110,  .g = 0.993,  .b = 0.897 },    // 1 = 5000 K</v>
      </c>
      <c r="L15" s="15">
        <v>4000</v>
      </c>
      <c r="M15">
        <v>255</v>
      </c>
      <c r="N15">
        <v>206</v>
      </c>
      <c r="O15">
        <v>166</v>
      </c>
      <c r="P15">
        <f>M15/SUM($M15:$O15)*3</f>
        <v>1.2200956937799043</v>
      </c>
      <c r="Q15">
        <f>N15/SUM($M15:$O15)*3</f>
        <v>0.9856459330143541</v>
      </c>
      <c r="R15">
        <f>O15/SUM($M15:$O15)*3</f>
        <v>0.79425837320574155</v>
      </c>
    </row>
    <row r="16" spans="1:18" x14ac:dyDescent="0.45">
      <c r="A16">
        <v>2</v>
      </c>
      <c r="B16" s="11">
        <f t="shared" si="4"/>
        <v>1.2200956937799043</v>
      </c>
      <c r="C16" s="11">
        <f t="shared" si="2"/>
        <v>0.9856459330143541</v>
      </c>
      <c r="D16" s="11">
        <f t="shared" si="3"/>
        <v>0.79425837320574155</v>
      </c>
      <c r="E16">
        <v>4000</v>
      </c>
      <c r="F16" t="str">
        <f t="shared" si="5"/>
        <v xml:space="preserve">  { .r = 1.220,  .g = 0.986,  .b = 0.794 },    // 2 = 4000 K</v>
      </c>
      <c r="L16" s="15">
        <v>5000</v>
      </c>
      <c r="M16">
        <v>255</v>
      </c>
      <c r="N16">
        <v>228</v>
      </c>
      <c r="O16">
        <v>206</v>
      </c>
      <c r="P16">
        <f>M16/SUM($M16:$O16)*3</f>
        <v>1.1103047895500726</v>
      </c>
      <c r="Q16">
        <f>N16/SUM($M16:$O16)*3</f>
        <v>0.99274310595065318</v>
      </c>
      <c r="R16">
        <f>O16/SUM($M16:$O16)*3</f>
        <v>0.89695210449927432</v>
      </c>
    </row>
    <row r="17" spans="1:18" x14ac:dyDescent="0.45">
      <c r="A17">
        <v>3</v>
      </c>
      <c r="B17" s="11">
        <f t="shared" si="4"/>
        <v>1.411439114391144</v>
      </c>
      <c r="C17" s="11">
        <f t="shared" si="2"/>
        <v>0.97970479704797053</v>
      </c>
      <c r="D17" s="11">
        <f t="shared" si="3"/>
        <v>0.60885608856088558</v>
      </c>
      <c r="E17">
        <v>3000</v>
      </c>
      <c r="F17" t="str">
        <f t="shared" si="5"/>
        <v xml:space="preserve">  { .r = 1.411,  .g = 0.980,  .b = 0.609 },    // 3 = 3000 K</v>
      </c>
      <c r="L17" s="15">
        <v>5500</v>
      </c>
      <c r="M17">
        <v>255</v>
      </c>
      <c r="N17">
        <v>237</v>
      </c>
      <c r="O17">
        <v>222</v>
      </c>
      <c r="P17">
        <f>M17/SUM($M17:$O17)*3</f>
        <v>1.0714285714285714</v>
      </c>
      <c r="Q17">
        <f>N17/SUM($M17:$O17)*3</f>
        <v>0.99579831932773111</v>
      </c>
      <c r="R17">
        <f>O17/SUM($M17:$O17)*3</f>
        <v>0.9327731092436975</v>
      </c>
    </row>
    <row r="18" spans="1:18" x14ac:dyDescent="0.45">
      <c r="F18" t="s">
        <v>121</v>
      </c>
      <c r="L18" s="15">
        <v>6000</v>
      </c>
      <c r="M18">
        <v>255</v>
      </c>
      <c r="N18">
        <v>246</v>
      </c>
      <c r="O18">
        <v>237</v>
      </c>
      <c r="P18">
        <f>M18/SUM($M18:$O18)*3</f>
        <v>1.0365853658536586</v>
      </c>
      <c r="Q18">
        <f>N18/SUM($M18:$O18)*3</f>
        <v>1</v>
      </c>
      <c r="R18">
        <f>O18/SUM($M18:$O18)*3</f>
        <v>0.96341463414634154</v>
      </c>
    </row>
    <row r="19" spans="1:18" x14ac:dyDescent="0.45">
      <c r="L19" s="15">
        <v>6200</v>
      </c>
      <c r="M19">
        <v>255</v>
      </c>
      <c r="N19">
        <v>249</v>
      </c>
      <c r="O19">
        <v>242</v>
      </c>
      <c r="P19">
        <f>M19/SUM($M19:$O19)*3</f>
        <v>1.0254691689008042</v>
      </c>
      <c r="Q19">
        <f>N19/SUM($M19:$O19)*3</f>
        <v>1.0013404825737267</v>
      </c>
      <c r="R19">
        <f>O19/SUM($M19:$O19)*3</f>
        <v>0.97319034852546915</v>
      </c>
    </row>
    <row r="20" spans="1:18" x14ac:dyDescent="0.45">
      <c r="B20" s="12">
        <v>2.5148667298248704</v>
      </c>
      <c r="F20" t="s">
        <v>125</v>
      </c>
      <c r="L20" s="15">
        <v>6500</v>
      </c>
      <c r="M20">
        <v>255</v>
      </c>
      <c r="N20">
        <v>254</v>
      </c>
      <c r="O20">
        <v>250</v>
      </c>
      <c r="P20">
        <f>M20/SUM($M20:$O20)*3</f>
        <v>1.0079051383399209</v>
      </c>
      <c r="Q20">
        <f>N20/SUM($M20:$O20)*3</f>
        <v>1.0039525691699605</v>
      </c>
      <c r="R20">
        <f>O20/SUM($M20:$O20)*3</f>
        <v>0.98814229249011865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  <c r="J21" t="str">
        <f>TEXT(100*B21,"0.0")&amp;"%"</f>
        <v>2.5%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6">"    "&amp;TEXT(B22,"0.000")&amp;",  // .led_intensity = "&amp;TEXT(A22,"0")</f>
        <v xml:space="preserve">    0.063,  // .led_intensity = 1</v>
      </c>
      <c r="J22" t="str">
        <f>J21&amp;", "&amp;TEXT(100*B22,"0")&amp;"%"</f>
        <v>2.5%, 6%</v>
      </c>
      <c r="N22" t="str">
        <f>E14&amp;" K"</f>
        <v>6500 K</v>
      </c>
    </row>
    <row r="23" spans="1:18" x14ac:dyDescent="0.45">
      <c r="A23">
        <v>2</v>
      </c>
      <c r="B23" s="12">
        <f>B22*$B$20</f>
        <v>0.15811386671950095</v>
      </c>
      <c r="F23" t="str">
        <f t="shared" si="6"/>
        <v xml:space="preserve">    0.158,  // .led_intensity = 2</v>
      </c>
      <c r="J23" t="str">
        <f>J22&amp;", "&amp;TEXT(100*B23,"0")&amp;"%"</f>
        <v>2.5%, 6%, 16%</v>
      </c>
      <c r="N23" t="str">
        <f>N22&amp;", "&amp;TEXT(E15,"0")&amp;" K"</f>
        <v>6500 K, 5000 K</v>
      </c>
    </row>
    <row r="24" spans="1:18" x14ac:dyDescent="0.45">
      <c r="A24">
        <v>3</v>
      </c>
      <c r="B24" s="12">
        <f>B23*$B$20</f>
        <v>0.39763530293683674</v>
      </c>
      <c r="F24" t="str">
        <f t="shared" si="6"/>
        <v xml:space="preserve">    0.398,  // .led_intensity = 3</v>
      </c>
      <c r="J24" t="str">
        <f>J23&amp;", "&amp;TEXT(100*B24,"0")&amp;"%"</f>
        <v>2.5%, 6%, 16%, 40%</v>
      </c>
      <c r="N24" t="str">
        <f t="shared" ref="N24:N25" si="7">N23&amp;", "&amp;TEXT(E16,"0")&amp;" K"</f>
        <v>6500 K, 5000 K, 4000 K</v>
      </c>
    </row>
    <row r="25" spans="1:18" x14ac:dyDescent="0.45">
      <c r="A25">
        <v>4</v>
      </c>
      <c r="B25" s="12">
        <f>B24*$B$20</f>
        <v>0.9999997939596843</v>
      </c>
      <c r="F25" t="str">
        <f t="shared" si="6"/>
        <v xml:space="preserve">    1.000,  // .led_intensity = 4</v>
      </c>
      <c r="J25" t="str">
        <f>J24&amp;", "&amp;TEXT(100*B25,"0")&amp;"%"</f>
        <v>2.5%, 6%, 16%, 40%, 100%</v>
      </c>
      <c r="N25" t="str">
        <f t="shared" si="7"/>
        <v>6500 K, 5000 K, 4000 K, 3000 K</v>
      </c>
    </row>
    <row r="26" spans="1:18" x14ac:dyDescent="0.45">
      <c r="F26" t="s">
        <v>121</v>
      </c>
    </row>
    <row r="28" spans="1:18" x14ac:dyDescent="0.45">
      <c r="A28" t="s">
        <v>126</v>
      </c>
      <c r="B28">
        <v>40</v>
      </c>
    </row>
    <row r="30" spans="1:18" x14ac:dyDescent="0.45">
      <c r="A30" t="s">
        <v>124</v>
      </c>
      <c r="B30">
        <v>2</v>
      </c>
      <c r="C30" s="12">
        <f>LOOKUP(B30,A21:A25,B21:B25)</f>
        <v>0.15811386671950095</v>
      </c>
    </row>
    <row r="32" spans="1:18" x14ac:dyDescent="0.45">
      <c r="A32" t="s">
        <v>129</v>
      </c>
      <c r="B32">
        <v>2</v>
      </c>
    </row>
    <row r="34" spans="1:9" x14ac:dyDescent="0.45">
      <c r="A34" t="s">
        <v>131</v>
      </c>
      <c r="B34">
        <v>20</v>
      </c>
    </row>
    <row r="35" spans="1:9" x14ac:dyDescent="0.45">
      <c r="C35" t="s">
        <v>130</v>
      </c>
      <c r="D35" t="s">
        <v>132</v>
      </c>
    </row>
    <row r="36" spans="1:9" x14ac:dyDescent="0.45">
      <c r="A36" t="s">
        <v>123</v>
      </c>
      <c r="B36" s="12">
        <f>LOOKUP($B$32,$A$14:$A$17,B14:B17)</f>
        <v>1.2200956937799043</v>
      </c>
      <c r="C36" s="12">
        <f>$B$28*$C$30*B36</f>
        <v>7.7165619164541139</v>
      </c>
      <c r="D36" s="12">
        <f>C36/$B$34</f>
        <v>0.38582809582270572</v>
      </c>
    </row>
    <row r="37" spans="1:9" x14ac:dyDescent="0.45">
      <c r="A37" t="s">
        <v>127</v>
      </c>
      <c r="B37" s="12">
        <f>LOOKUP($B$32,$A$14:$A$17,C14:C17)</f>
        <v>0.9856459330143541</v>
      </c>
      <c r="C37" s="12">
        <f>$B$28*$C$30*B37</f>
        <v>6.2337715874099899</v>
      </c>
      <c r="D37" s="12">
        <f>C37/$B$34</f>
        <v>0.31168857937049949</v>
      </c>
    </row>
    <row r="38" spans="1:9" x14ac:dyDescent="0.45">
      <c r="A38" t="s">
        <v>128</v>
      </c>
      <c r="B38" s="12">
        <f>LOOKUP($B$32,$A$14:$A$17,D14:D17)</f>
        <v>0.79425837320574155</v>
      </c>
      <c r="C38" s="12">
        <f>$B$28*$C$30*B38</f>
        <v>5.0233305024760107</v>
      </c>
      <c r="D38" s="12">
        <f>C38/$B$34</f>
        <v>0.25116652512380055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0.00, 0.39</v>
      </c>
      <c r="B42" s="12">
        <f>B41+$D$36</f>
        <v>0.38582809582270572</v>
      </c>
      <c r="C42" s="12">
        <f>C41+$D$37</f>
        <v>0.31168857937049949</v>
      </c>
      <c r="D42" s="12">
        <f>D41+$D$38</f>
        <v>0.25116652512380055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8">A42&amp;", "&amp;TEXT(B43,"0.00")</f>
        <v>0.00, 0.39, 0.77</v>
      </c>
      <c r="B43" s="12">
        <f t="shared" ref="B43:B60" si="9">B42+$D$36</f>
        <v>0.77165619164541144</v>
      </c>
      <c r="C43" s="12">
        <f t="shared" ref="C43:C60" si="10">C42+$D$37</f>
        <v>0.62337715874099897</v>
      </c>
      <c r="D43" s="12">
        <f t="shared" ref="D43:D60" si="11">D42+$D$38</f>
        <v>0.50233305024760111</v>
      </c>
      <c r="F43" s="13">
        <f t="shared" ref="F43:F52" si="12">INT(B43)</f>
        <v>0</v>
      </c>
      <c r="G43">
        <f t="shared" ref="G43:G52" si="13">INT(16*MOD(B43,1))</f>
        <v>12</v>
      </c>
      <c r="I43">
        <f t="shared" ref="I43:I52" si="14">F43+G43/16</f>
        <v>0.75</v>
      </c>
    </row>
    <row r="44" spans="1:9" x14ac:dyDescent="0.45">
      <c r="A44" t="str">
        <f t="shared" si="8"/>
        <v>0.00, 0.39, 0.77, 1.16</v>
      </c>
      <c r="B44" s="12">
        <f t="shared" si="9"/>
        <v>1.157484287468117</v>
      </c>
      <c r="C44" s="12">
        <f t="shared" si="10"/>
        <v>0.9350657381114984</v>
      </c>
      <c r="D44" s="12">
        <f t="shared" si="11"/>
        <v>0.75349957537140166</v>
      </c>
      <c r="F44" s="13">
        <f t="shared" si="12"/>
        <v>1</v>
      </c>
      <c r="G44">
        <f t="shared" si="13"/>
        <v>2</v>
      </c>
      <c r="I44">
        <f t="shared" si="14"/>
        <v>1.125</v>
      </c>
    </row>
    <row r="45" spans="1:9" x14ac:dyDescent="0.45">
      <c r="A45" t="str">
        <f t="shared" si="8"/>
        <v>0.00, 0.39, 0.77, 1.16, 1.54</v>
      </c>
      <c r="B45" s="12">
        <f t="shared" si="9"/>
        <v>1.5433123832908229</v>
      </c>
      <c r="C45" s="12">
        <f t="shared" si="10"/>
        <v>1.2467543174819979</v>
      </c>
      <c r="D45" s="12">
        <f t="shared" si="11"/>
        <v>1.0046661004952022</v>
      </c>
      <c r="F45" s="13">
        <f t="shared" si="12"/>
        <v>1</v>
      </c>
      <c r="G45">
        <f t="shared" si="13"/>
        <v>8</v>
      </c>
      <c r="I45">
        <f t="shared" si="14"/>
        <v>1.5</v>
      </c>
    </row>
    <row r="46" spans="1:9" x14ac:dyDescent="0.45">
      <c r="A46" t="str">
        <f t="shared" si="8"/>
        <v>0.00, 0.39, 0.77, 1.16, 1.54, 1.93</v>
      </c>
      <c r="B46" s="12">
        <f t="shared" si="9"/>
        <v>1.9291404791135287</v>
      </c>
      <c r="C46" s="12">
        <f t="shared" si="10"/>
        <v>1.5584428968524975</v>
      </c>
      <c r="D46" s="12">
        <f t="shared" si="11"/>
        <v>1.2558326256190027</v>
      </c>
      <c r="F46" s="13">
        <f t="shared" si="12"/>
        <v>1</v>
      </c>
      <c r="G46">
        <f t="shared" si="13"/>
        <v>14</v>
      </c>
      <c r="I46">
        <f t="shared" si="14"/>
        <v>1.875</v>
      </c>
    </row>
    <row r="47" spans="1:9" x14ac:dyDescent="0.45">
      <c r="A47" t="str">
        <f t="shared" si="8"/>
        <v>0.00, 0.39, 0.77, 1.16, 1.54, 1.93, 2.31</v>
      </c>
      <c r="B47" s="12">
        <f t="shared" si="9"/>
        <v>2.3149685749362345</v>
      </c>
      <c r="C47" s="12">
        <f t="shared" si="10"/>
        <v>1.870131476222997</v>
      </c>
      <c r="D47" s="12">
        <f t="shared" si="11"/>
        <v>1.5069991507428031</v>
      </c>
      <c r="F47" s="13">
        <f t="shared" si="12"/>
        <v>2</v>
      </c>
      <c r="G47">
        <f t="shared" si="13"/>
        <v>5</v>
      </c>
      <c r="I47">
        <f t="shared" si="14"/>
        <v>2.3125</v>
      </c>
    </row>
    <row r="48" spans="1:9" x14ac:dyDescent="0.45">
      <c r="A48" t="str">
        <f t="shared" si="8"/>
        <v>0.00, 0.39, 0.77, 1.16, 1.54, 1.93, 2.31, 2.70</v>
      </c>
      <c r="B48" s="12">
        <f t="shared" si="9"/>
        <v>2.7007966707589404</v>
      </c>
      <c r="C48" s="12">
        <f t="shared" si="10"/>
        <v>2.1818200555934966</v>
      </c>
      <c r="D48" s="12">
        <f t="shared" si="11"/>
        <v>1.7581656758666036</v>
      </c>
      <c r="F48" s="13">
        <f t="shared" si="12"/>
        <v>2</v>
      </c>
      <c r="G48">
        <f t="shared" si="13"/>
        <v>11</v>
      </c>
      <c r="I48">
        <f t="shared" si="14"/>
        <v>2.6875</v>
      </c>
    </row>
    <row r="49" spans="1:12" x14ac:dyDescent="0.45">
      <c r="A49" t="str">
        <f t="shared" si="8"/>
        <v>0.00, 0.39, 0.77, 1.16, 1.54, 1.93, 2.31, 2.70, 3.09</v>
      </c>
      <c r="B49" s="12">
        <f t="shared" si="9"/>
        <v>3.0866247665816462</v>
      </c>
      <c r="C49" s="12">
        <f t="shared" si="10"/>
        <v>2.4935086349639959</v>
      </c>
      <c r="D49" s="12">
        <f t="shared" si="11"/>
        <v>2.009332200990404</v>
      </c>
      <c r="F49" s="13">
        <f t="shared" si="12"/>
        <v>3</v>
      </c>
      <c r="G49">
        <f t="shared" si="13"/>
        <v>1</v>
      </c>
      <c r="I49">
        <f t="shared" si="14"/>
        <v>3.0625</v>
      </c>
    </row>
    <row r="50" spans="1:12" x14ac:dyDescent="0.45">
      <c r="A50" t="str">
        <f t="shared" si="8"/>
        <v>0.00, 0.39, 0.77, 1.16, 1.54, 1.93, 2.31, 2.70, 3.09, 3.47</v>
      </c>
      <c r="B50" s="12">
        <f t="shared" si="9"/>
        <v>3.472452862404352</v>
      </c>
      <c r="C50" s="12">
        <f t="shared" si="10"/>
        <v>2.8051972143344952</v>
      </c>
      <c r="D50" s="12">
        <f t="shared" si="11"/>
        <v>2.2604987261142044</v>
      </c>
      <c r="F50" s="13">
        <f t="shared" si="12"/>
        <v>3</v>
      </c>
      <c r="G50">
        <f t="shared" si="13"/>
        <v>7</v>
      </c>
      <c r="I50">
        <f t="shared" si="14"/>
        <v>3.4375</v>
      </c>
    </row>
    <row r="51" spans="1:12" x14ac:dyDescent="0.45">
      <c r="A51" t="str">
        <f t="shared" si="8"/>
        <v>0.00, 0.39, 0.77, 1.16, 1.54, 1.93, 2.31, 2.70, 3.09, 3.47, 3.86</v>
      </c>
      <c r="B51" s="12">
        <f t="shared" si="9"/>
        <v>3.8582809582270579</v>
      </c>
      <c r="C51" s="12">
        <f t="shared" si="10"/>
        <v>3.1168857937049945</v>
      </c>
      <c r="D51" s="12">
        <f t="shared" si="11"/>
        <v>2.5116652512380049</v>
      </c>
      <c r="F51" s="13">
        <f t="shared" si="12"/>
        <v>3</v>
      </c>
      <c r="G51">
        <f t="shared" si="13"/>
        <v>13</v>
      </c>
      <c r="I51">
        <f t="shared" si="14"/>
        <v>3.8125</v>
      </c>
    </row>
    <row r="52" spans="1:12" x14ac:dyDescent="0.45">
      <c r="A52" t="str">
        <f t="shared" si="8"/>
        <v>0.00, 0.39, 0.77, 1.16, 1.54, 1.93, 2.31, 2.70, 3.09, 3.47, 3.86, 4.24</v>
      </c>
      <c r="B52" s="12">
        <f t="shared" si="9"/>
        <v>4.2441090540497637</v>
      </c>
      <c r="C52" s="12">
        <f t="shared" si="10"/>
        <v>3.4285743730754938</v>
      </c>
      <c r="D52" s="12">
        <f t="shared" si="11"/>
        <v>2.7628317763618053</v>
      </c>
      <c r="F52" s="13">
        <f t="shared" si="12"/>
        <v>4</v>
      </c>
      <c r="G52">
        <f t="shared" si="13"/>
        <v>3</v>
      </c>
      <c r="I52">
        <f t="shared" si="14"/>
        <v>4.1875</v>
      </c>
    </row>
    <row r="53" spans="1:12" x14ac:dyDescent="0.45">
      <c r="B53" s="12">
        <f t="shared" si="9"/>
        <v>4.6299371498724691</v>
      </c>
      <c r="C53" s="12">
        <f t="shared" si="10"/>
        <v>3.7402629524459932</v>
      </c>
      <c r="D53" s="12">
        <f t="shared" si="11"/>
        <v>3.0139983014856058</v>
      </c>
    </row>
    <row r="54" spans="1:12" x14ac:dyDescent="0.45">
      <c r="B54" s="12">
        <f t="shared" si="9"/>
        <v>5.0157652456951745</v>
      </c>
      <c r="C54" s="12">
        <f t="shared" si="10"/>
        <v>4.0519515318164929</v>
      </c>
      <c r="D54" s="12">
        <f t="shared" si="11"/>
        <v>3.2651648266094062</v>
      </c>
    </row>
    <row r="55" spans="1:12" x14ac:dyDescent="0.45">
      <c r="B55" s="12">
        <f t="shared" si="9"/>
        <v>5.4015933415178798</v>
      </c>
      <c r="C55" s="12">
        <f t="shared" si="10"/>
        <v>4.3636401111869922</v>
      </c>
      <c r="D55" s="12">
        <f t="shared" si="11"/>
        <v>3.5163313517332067</v>
      </c>
    </row>
    <row r="56" spans="1:12" x14ac:dyDescent="0.45">
      <c r="B56" s="12">
        <f t="shared" si="9"/>
        <v>5.7874214373405852</v>
      </c>
      <c r="C56" s="12">
        <f t="shared" si="10"/>
        <v>4.6753286905574916</v>
      </c>
      <c r="D56" s="12">
        <f t="shared" si="11"/>
        <v>3.7674978768570071</v>
      </c>
    </row>
    <row r="57" spans="1:12" x14ac:dyDescent="0.45">
      <c r="B57" s="12">
        <f t="shared" si="9"/>
        <v>6.1732495331632906</v>
      </c>
      <c r="C57" s="12">
        <f t="shared" si="10"/>
        <v>4.9870172699279909</v>
      </c>
      <c r="D57" s="12">
        <f t="shared" si="11"/>
        <v>4.018664401980808</v>
      </c>
    </row>
    <row r="58" spans="1:12" x14ac:dyDescent="0.45">
      <c r="B58" s="12">
        <f t="shared" si="9"/>
        <v>6.559077628985996</v>
      </c>
      <c r="C58" s="12">
        <f t="shared" si="10"/>
        <v>5.2987058492984902</v>
      </c>
      <c r="D58" s="12">
        <f t="shared" si="11"/>
        <v>4.2698309271046089</v>
      </c>
    </row>
    <row r="59" spans="1:12" x14ac:dyDescent="0.45">
      <c r="B59" s="12">
        <f t="shared" si="9"/>
        <v>6.9449057248087014</v>
      </c>
      <c r="C59" s="12">
        <f t="shared" si="10"/>
        <v>5.6103944286689895</v>
      </c>
      <c r="D59" s="12">
        <f t="shared" si="11"/>
        <v>4.5209974522284098</v>
      </c>
    </row>
    <row r="60" spans="1:12" x14ac:dyDescent="0.45">
      <c r="B60" s="12">
        <f t="shared" si="9"/>
        <v>7.3307338206314068</v>
      </c>
      <c r="C60" s="12">
        <f t="shared" si="10"/>
        <v>5.9220830080394888</v>
      </c>
      <c r="D60" s="12">
        <f t="shared" si="11"/>
        <v>4.7721639773522107</v>
      </c>
    </row>
    <row r="61" spans="1:12" x14ac:dyDescent="0.45">
      <c r="B61" s="12">
        <f t="shared" ref="B61" si="15">B60+$D$36</f>
        <v>7.7165619164541122</v>
      </c>
      <c r="C61" s="12">
        <f t="shared" ref="C61" si="16">C60+$D$37</f>
        <v>6.2337715874099882</v>
      </c>
      <c r="D61" s="12">
        <f t="shared" ref="D61" si="17">D60+$D$38</f>
        <v>5.0233305024760115</v>
      </c>
    </row>
    <row r="62" spans="1:12" x14ac:dyDescent="0.45">
      <c r="L62">
        <f>HEX2DEC("1f")</f>
        <v>31</v>
      </c>
    </row>
    <row r="64" spans="1:12" x14ac:dyDescent="0.45">
      <c r="B64">
        <v>15.967105496833609</v>
      </c>
      <c r="F64" t="s">
        <v>135</v>
      </c>
    </row>
    <row r="65" spans="1:7" x14ac:dyDescent="0.45">
      <c r="A65">
        <v>0</v>
      </c>
      <c r="B65" s="13">
        <v>1</v>
      </c>
      <c r="C65" t="str">
        <f>"0x"&amp;DEC2HEX(B65,2)</f>
        <v>0x01</v>
      </c>
      <c r="D65" s="16">
        <f>B65/$B$67</f>
        <v>3.9215686274509803E-3</v>
      </c>
      <c r="F65" s="4" t="str">
        <f>"    "&amp;C65&amp;",    // .display_intensity = "&amp;TEXT(A65,"0")</f>
        <v xml:space="preserve">    0x01,    // .display_intensity = 0</v>
      </c>
    </row>
    <row r="66" spans="1:7" x14ac:dyDescent="0.45">
      <c r="A66">
        <v>1</v>
      </c>
      <c r="B66" s="13">
        <v>16</v>
      </c>
      <c r="C66" t="str">
        <f t="shared" ref="C66:C67" si="18">"0x"&amp;DEC2HEX(B66,2)</f>
        <v>0x10</v>
      </c>
      <c r="D66" s="16">
        <f>B66/$B$67</f>
        <v>6.2745098039215685E-2</v>
      </c>
      <c r="F66" s="4" t="str">
        <f t="shared" ref="F66:F67" si="19">"    "&amp;C66&amp;",    // .display_intensity = "&amp;TEXT(A66,"0")</f>
        <v xml:space="preserve">    0x10,    // .display_intensity = 1</v>
      </c>
    </row>
    <row r="67" spans="1:7" x14ac:dyDescent="0.45">
      <c r="A67">
        <v>2</v>
      </c>
      <c r="B67" s="13">
        <v>255</v>
      </c>
      <c r="C67" t="str">
        <f t="shared" si="18"/>
        <v>0xFF</v>
      </c>
      <c r="D67" s="16">
        <f>B67/$B$67</f>
        <v>1</v>
      </c>
      <c r="F67" s="4" t="str">
        <f t="shared" si="19"/>
        <v xml:space="preserve">    0xFF,    // .display_intensity = 2</v>
      </c>
    </row>
    <row r="68" spans="1:7" x14ac:dyDescent="0.45">
      <c r="F68" s="4" t="s">
        <v>121</v>
      </c>
    </row>
    <row r="70" spans="1:7" x14ac:dyDescent="0.45">
      <c r="F70" t="str">
        <f>TEXT(D65,"0.0%")</f>
        <v>0.4%</v>
      </c>
      <c r="G70" t="str">
        <f>F70</f>
        <v>0.4%</v>
      </c>
    </row>
    <row r="71" spans="1:7" x14ac:dyDescent="0.45">
      <c r="F71" t="str">
        <f>TEXT(D66,"0.0%")</f>
        <v>6.3%</v>
      </c>
      <c r="G71" t="str">
        <f>G70&amp;", "&amp;F71</f>
        <v>0.4%, 6.3%</v>
      </c>
    </row>
    <row r="72" spans="1:7" x14ac:dyDescent="0.45">
      <c r="F72" t="str">
        <f>TEXT(D67,"0.0%")</f>
        <v>100.0%</v>
      </c>
      <c r="G72" t="str">
        <f>G71&amp;", "&amp;F72</f>
        <v>0.4%, 6.3%, 100.0%</v>
      </c>
    </row>
  </sheetData>
  <sortState xmlns:xlrd2="http://schemas.microsoft.com/office/spreadsheetml/2017/richdata2" ref="L14:R20">
    <sortCondition ref="L14:L20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84</v>
      </c>
      <c r="B1">
        <v>16</v>
      </c>
    </row>
    <row r="3" spans="1:12" x14ac:dyDescent="0.45">
      <c r="A3" t="s">
        <v>85</v>
      </c>
      <c r="B3" t="s">
        <v>93</v>
      </c>
      <c r="C3" t="s">
        <v>92</v>
      </c>
    </row>
    <row r="4" spans="1:12" x14ac:dyDescent="0.45">
      <c r="A4">
        <v>0</v>
      </c>
      <c r="B4">
        <v>0</v>
      </c>
      <c r="C4">
        <v>0</v>
      </c>
      <c r="D4" t="s">
        <v>91</v>
      </c>
    </row>
    <row r="5" spans="1:12" x14ac:dyDescent="0.45">
      <c r="A5">
        <v>32</v>
      </c>
      <c r="B5">
        <v>0</v>
      </c>
      <c r="C5">
        <v>-32</v>
      </c>
      <c r="D5" t="s">
        <v>86</v>
      </c>
    </row>
    <row r="6" spans="1:12" x14ac:dyDescent="0.45">
      <c r="A6">
        <v>64</v>
      </c>
      <c r="B6">
        <v>68</v>
      </c>
      <c r="C6">
        <v>-56</v>
      </c>
      <c r="D6" t="s">
        <v>87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88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89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90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80</v>
      </c>
    </row>
    <row r="18" spans="1:13" x14ac:dyDescent="0.45">
      <c r="L18">
        <f>L17/8</f>
        <v>640</v>
      </c>
      <c r="M18" t="s">
        <v>81</v>
      </c>
    </row>
    <row r="20" spans="1:13" x14ac:dyDescent="0.45">
      <c r="A20" t="s">
        <v>111</v>
      </c>
      <c r="B20">
        <v>128</v>
      </c>
      <c r="C20" s="4" t="s">
        <v>120</v>
      </c>
    </row>
    <row r="21" spans="1:13" x14ac:dyDescent="0.45">
      <c r="A21" t="s">
        <v>112</v>
      </c>
      <c r="B21">
        <v>32</v>
      </c>
      <c r="C21" s="4" t="s">
        <v>120</v>
      </c>
    </row>
    <row r="22" spans="1:13" x14ac:dyDescent="0.45">
      <c r="A22" t="s">
        <v>80</v>
      </c>
      <c r="B22">
        <f>B20*B21</f>
        <v>4096</v>
      </c>
      <c r="C22" t="s">
        <v>116</v>
      </c>
    </row>
    <row r="23" spans="1:13" x14ac:dyDescent="0.45">
      <c r="A23" t="s">
        <v>81</v>
      </c>
      <c r="B23">
        <f>B22/8</f>
        <v>512</v>
      </c>
      <c r="C23" t="s">
        <v>81</v>
      </c>
    </row>
    <row r="25" spans="1:13" x14ac:dyDescent="0.45">
      <c r="A25" t="s">
        <v>113</v>
      </c>
      <c r="B25">
        <v>400000</v>
      </c>
      <c r="C25" t="s">
        <v>117</v>
      </c>
    </row>
    <row r="26" spans="1:13" x14ac:dyDescent="0.45">
      <c r="A26" t="s">
        <v>114</v>
      </c>
      <c r="B26" s="10">
        <v>0.8</v>
      </c>
    </row>
    <row r="27" spans="1:13" x14ac:dyDescent="0.45">
      <c r="A27" t="s">
        <v>118</v>
      </c>
      <c r="B27">
        <f>B22/(B25*B26)</f>
        <v>1.2800000000000001E-2</v>
      </c>
      <c r="C27" t="s">
        <v>115</v>
      </c>
    </row>
    <row r="28" spans="1:13" x14ac:dyDescent="0.45">
      <c r="B28">
        <f>B27*1000</f>
        <v>12.8</v>
      </c>
      <c r="C28" t="s">
        <v>119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B2:S17"/>
  <sheetViews>
    <sheetView workbookViewId="0">
      <selection activeCell="I21" sqref="I21"/>
    </sheetView>
  </sheetViews>
  <sheetFormatPr defaultColWidth="3.6640625" defaultRowHeight="14.25" x14ac:dyDescent="0.45"/>
  <sheetData>
    <row r="2" spans="2:19" x14ac:dyDescent="0.45">
      <c r="D2" t="s">
        <v>137</v>
      </c>
    </row>
    <row r="3" spans="2:19" x14ac:dyDescent="0.45">
      <c r="D3" s="3">
        <v>0</v>
      </c>
      <c r="E3" s="3">
        <f>D3+1</f>
        <v>1</v>
      </c>
      <c r="F3" s="3">
        <f t="shared" ref="F3:S3" si="0">E3+1</f>
        <v>2</v>
      </c>
      <c r="G3" s="3">
        <f t="shared" si="0"/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</row>
    <row r="4" spans="2:19" x14ac:dyDescent="0.45">
      <c r="B4" t="s">
        <v>138</v>
      </c>
      <c r="C4" s="3">
        <v>0</v>
      </c>
      <c r="D4" s="14">
        <v>0</v>
      </c>
      <c r="E4" s="14">
        <f>D4</f>
        <v>0</v>
      </c>
      <c r="F4" s="14">
        <f t="shared" ref="F4:S4" si="1">E4</f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v>1</v>
      </c>
      <c r="M4" s="14">
        <f t="shared" si="1"/>
        <v>1</v>
      </c>
      <c r="N4" s="14">
        <f t="shared" si="1"/>
        <v>1</v>
      </c>
      <c r="O4" s="14">
        <f t="shared" si="1"/>
        <v>1</v>
      </c>
      <c r="P4" s="14">
        <f t="shared" si="1"/>
        <v>1</v>
      </c>
      <c r="Q4" s="14">
        <f t="shared" si="1"/>
        <v>1</v>
      </c>
      <c r="R4" s="14">
        <f t="shared" si="1"/>
        <v>1</v>
      </c>
      <c r="S4" s="14">
        <f t="shared" si="1"/>
        <v>1</v>
      </c>
    </row>
    <row r="5" spans="2:19" x14ac:dyDescent="0.45">
      <c r="C5" s="3">
        <f>C4+1</f>
        <v>1</v>
      </c>
      <c r="D5" s="14">
        <f>D4+2</f>
        <v>2</v>
      </c>
      <c r="E5" s="14">
        <f t="shared" ref="E5:E11" si="2">E4+2</f>
        <v>2</v>
      </c>
      <c r="F5" s="14">
        <f t="shared" ref="F5:F11" si="3">F4+2</f>
        <v>2</v>
      </c>
      <c r="G5" s="14">
        <f t="shared" ref="G5:G11" si="4">G4+2</f>
        <v>2</v>
      </c>
      <c r="H5" s="14">
        <f t="shared" ref="H5:H11" si="5">H4+2</f>
        <v>2</v>
      </c>
      <c r="I5" s="14">
        <f t="shared" ref="I5:I11" si="6">I4+2</f>
        <v>2</v>
      </c>
      <c r="J5" s="14">
        <f t="shared" ref="J5:J11" si="7">J4+2</f>
        <v>2</v>
      </c>
      <c r="K5" s="14">
        <f t="shared" ref="K5:K11" si="8">K4+2</f>
        <v>2</v>
      </c>
      <c r="L5" s="14">
        <f t="shared" ref="L5:L11" si="9">L4+2</f>
        <v>3</v>
      </c>
      <c r="M5" s="14">
        <f t="shared" ref="M5:M11" si="10">M4+2</f>
        <v>3</v>
      </c>
      <c r="N5" s="14">
        <f t="shared" ref="N5:N11" si="11">N4+2</f>
        <v>3</v>
      </c>
      <c r="O5" s="14">
        <f t="shared" ref="O5:O11" si="12">O4+2</f>
        <v>3</v>
      </c>
      <c r="P5" s="14">
        <f t="shared" ref="P5:P11" si="13">P4+2</f>
        <v>3</v>
      </c>
      <c r="Q5" s="14">
        <f t="shared" ref="Q5:Q11" si="14">Q4+2</f>
        <v>3</v>
      </c>
      <c r="R5" s="14">
        <f t="shared" ref="R5:R11" si="15">R4+2</f>
        <v>3</v>
      </c>
      <c r="S5" s="14">
        <f t="shared" ref="S5:S11" si="16">S4+2</f>
        <v>3</v>
      </c>
    </row>
    <row r="6" spans="2:19" x14ac:dyDescent="0.45">
      <c r="C6" s="3">
        <f t="shared" ref="C6:C11" si="17">C5+1</f>
        <v>2</v>
      </c>
      <c r="D6" s="14">
        <f t="shared" ref="D6:D11" si="18">D5+2</f>
        <v>4</v>
      </c>
      <c r="E6" s="14">
        <f t="shared" si="2"/>
        <v>4</v>
      </c>
      <c r="F6" s="14">
        <f t="shared" si="3"/>
        <v>4</v>
      </c>
      <c r="G6" s="14">
        <f t="shared" si="4"/>
        <v>4</v>
      </c>
      <c r="H6" s="14">
        <f t="shared" si="5"/>
        <v>4</v>
      </c>
      <c r="I6" s="14">
        <f t="shared" si="6"/>
        <v>4</v>
      </c>
      <c r="J6" s="14">
        <f t="shared" si="7"/>
        <v>4</v>
      </c>
      <c r="K6" s="14">
        <f t="shared" si="8"/>
        <v>4</v>
      </c>
      <c r="L6" s="14">
        <f t="shared" si="9"/>
        <v>5</v>
      </c>
      <c r="M6" s="14">
        <f t="shared" si="10"/>
        <v>5</v>
      </c>
      <c r="N6" s="14">
        <f t="shared" si="11"/>
        <v>5</v>
      </c>
      <c r="O6" s="14">
        <f t="shared" si="12"/>
        <v>5</v>
      </c>
      <c r="P6" s="14">
        <f t="shared" si="13"/>
        <v>5</v>
      </c>
      <c r="Q6" s="14">
        <f t="shared" si="14"/>
        <v>5</v>
      </c>
      <c r="R6" s="14">
        <f t="shared" si="15"/>
        <v>5</v>
      </c>
      <c r="S6" s="14">
        <f t="shared" si="16"/>
        <v>5</v>
      </c>
    </row>
    <row r="7" spans="2:19" x14ac:dyDescent="0.45">
      <c r="C7" s="3">
        <f t="shared" si="17"/>
        <v>3</v>
      </c>
      <c r="D7" s="14">
        <f t="shared" si="18"/>
        <v>6</v>
      </c>
      <c r="E7" s="14">
        <f t="shared" si="2"/>
        <v>6</v>
      </c>
      <c r="F7" s="14">
        <f t="shared" si="3"/>
        <v>6</v>
      </c>
      <c r="G7" s="14">
        <f t="shared" si="4"/>
        <v>6</v>
      </c>
      <c r="H7" s="14">
        <f t="shared" si="5"/>
        <v>6</v>
      </c>
      <c r="I7" s="14">
        <f t="shared" si="6"/>
        <v>6</v>
      </c>
      <c r="J7" s="14">
        <f t="shared" si="7"/>
        <v>6</v>
      </c>
      <c r="K7" s="14">
        <f t="shared" si="8"/>
        <v>6</v>
      </c>
      <c r="L7" s="14">
        <f t="shared" si="9"/>
        <v>7</v>
      </c>
      <c r="M7" s="14">
        <f t="shared" si="10"/>
        <v>7</v>
      </c>
      <c r="N7" s="14">
        <f t="shared" si="11"/>
        <v>7</v>
      </c>
      <c r="O7" s="14">
        <f t="shared" si="12"/>
        <v>7</v>
      </c>
      <c r="P7" s="14">
        <f t="shared" si="13"/>
        <v>7</v>
      </c>
      <c r="Q7" s="14">
        <f t="shared" si="14"/>
        <v>7</v>
      </c>
      <c r="R7" s="14">
        <f t="shared" si="15"/>
        <v>7</v>
      </c>
      <c r="S7" s="14">
        <f t="shared" si="16"/>
        <v>7</v>
      </c>
    </row>
    <row r="8" spans="2:19" x14ac:dyDescent="0.45">
      <c r="C8" s="3">
        <f t="shared" si="17"/>
        <v>4</v>
      </c>
      <c r="D8" s="14">
        <f t="shared" si="18"/>
        <v>8</v>
      </c>
      <c r="E8" s="14">
        <f t="shared" si="2"/>
        <v>8</v>
      </c>
      <c r="F8" s="14">
        <f t="shared" si="3"/>
        <v>8</v>
      </c>
      <c r="G8" s="14">
        <f t="shared" si="4"/>
        <v>8</v>
      </c>
      <c r="H8" s="14">
        <f t="shared" si="5"/>
        <v>8</v>
      </c>
      <c r="I8" s="14">
        <f t="shared" si="6"/>
        <v>8</v>
      </c>
      <c r="J8" s="14">
        <f t="shared" si="7"/>
        <v>8</v>
      </c>
      <c r="K8" s="14">
        <f t="shared" si="8"/>
        <v>8</v>
      </c>
      <c r="L8" s="14">
        <f t="shared" si="9"/>
        <v>9</v>
      </c>
      <c r="M8" s="14">
        <f t="shared" si="10"/>
        <v>9</v>
      </c>
      <c r="N8" s="14">
        <f t="shared" si="11"/>
        <v>9</v>
      </c>
      <c r="O8" s="14">
        <f t="shared" si="12"/>
        <v>9</v>
      </c>
      <c r="P8" s="14">
        <f t="shared" si="13"/>
        <v>9</v>
      </c>
      <c r="Q8" s="14">
        <f t="shared" si="14"/>
        <v>9</v>
      </c>
      <c r="R8" s="14">
        <f t="shared" si="15"/>
        <v>9</v>
      </c>
      <c r="S8" s="14">
        <f t="shared" si="16"/>
        <v>9</v>
      </c>
    </row>
    <row r="9" spans="2:19" x14ac:dyDescent="0.45">
      <c r="C9" s="3">
        <f t="shared" si="17"/>
        <v>5</v>
      </c>
      <c r="D9" s="14">
        <f t="shared" si="18"/>
        <v>10</v>
      </c>
      <c r="E9" s="14">
        <f t="shared" si="2"/>
        <v>10</v>
      </c>
      <c r="F9" s="14">
        <f t="shared" si="3"/>
        <v>10</v>
      </c>
      <c r="G9" s="14">
        <f t="shared" si="4"/>
        <v>10</v>
      </c>
      <c r="H9" s="14">
        <f t="shared" si="5"/>
        <v>10</v>
      </c>
      <c r="I9" s="14">
        <f t="shared" si="6"/>
        <v>10</v>
      </c>
      <c r="J9" s="14">
        <f t="shared" si="7"/>
        <v>10</v>
      </c>
      <c r="K9" s="14">
        <f t="shared" si="8"/>
        <v>10</v>
      </c>
      <c r="L9" s="14">
        <f t="shared" si="9"/>
        <v>11</v>
      </c>
      <c r="M9" s="14">
        <f t="shared" si="10"/>
        <v>11</v>
      </c>
      <c r="N9" s="14">
        <f t="shared" si="11"/>
        <v>11</v>
      </c>
      <c r="O9" s="14">
        <f t="shared" si="12"/>
        <v>11</v>
      </c>
      <c r="P9" s="14">
        <f t="shared" si="13"/>
        <v>11</v>
      </c>
      <c r="Q9" s="14">
        <f t="shared" si="14"/>
        <v>11</v>
      </c>
      <c r="R9" s="14">
        <f t="shared" si="15"/>
        <v>11</v>
      </c>
      <c r="S9" s="14">
        <f t="shared" si="16"/>
        <v>11</v>
      </c>
    </row>
    <row r="10" spans="2:19" x14ac:dyDescent="0.45">
      <c r="C10" s="3">
        <f t="shared" si="17"/>
        <v>6</v>
      </c>
      <c r="D10" s="14">
        <f t="shared" si="18"/>
        <v>12</v>
      </c>
      <c r="E10" s="14">
        <f t="shared" si="2"/>
        <v>12</v>
      </c>
      <c r="F10" s="14">
        <f t="shared" si="3"/>
        <v>12</v>
      </c>
      <c r="G10" s="14">
        <f t="shared" si="4"/>
        <v>12</v>
      </c>
      <c r="H10" s="14">
        <f t="shared" si="5"/>
        <v>12</v>
      </c>
      <c r="I10" s="14">
        <f t="shared" si="6"/>
        <v>12</v>
      </c>
      <c r="J10" s="14">
        <f t="shared" si="7"/>
        <v>12</v>
      </c>
      <c r="K10" s="14">
        <f t="shared" si="8"/>
        <v>12</v>
      </c>
      <c r="L10" s="14">
        <f t="shared" si="9"/>
        <v>13</v>
      </c>
      <c r="M10" s="14">
        <f t="shared" si="10"/>
        <v>13</v>
      </c>
      <c r="N10" s="14">
        <f t="shared" si="11"/>
        <v>13</v>
      </c>
      <c r="O10" s="14">
        <f t="shared" si="12"/>
        <v>13</v>
      </c>
      <c r="P10" s="14">
        <f t="shared" si="13"/>
        <v>13</v>
      </c>
      <c r="Q10" s="14">
        <f t="shared" si="14"/>
        <v>13</v>
      </c>
      <c r="R10" s="14">
        <f t="shared" si="15"/>
        <v>13</v>
      </c>
      <c r="S10" s="14">
        <f t="shared" si="16"/>
        <v>13</v>
      </c>
    </row>
    <row r="11" spans="2:19" x14ac:dyDescent="0.45">
      <c r="C11" s="3">
        <f t="shared" si="17"/>
        <v>7</v>
      </c>
      <c r="D11" s="14">
        <f t="shared" si="18"/>
        <v>14</v>
      </c>
      <c r="E11" s="14">
        <f t="shared" si="2"/>
        <v>14</v>
      </c>
      <c r="F11" s="14">
        <f t="shared" si="3"/>
        <v>14</v>
      </c>
      <c r="G11" s="14">
        <f t="shared" si="4"/>
        <v>14</v>
      </c>
      <c r="H11" s="14">
        <f t="shared" si="5"/>
        <v>14</v>
      </c>
      <c r="I11" s="14">
        <f t="shared" si="6"/>
        <v>14</v>
      </c>
      <c r="J11" s="14">
        <f t="shared" si="7"/>
        <v>14</v>
      </c>
      <c r="K11" s="14">
        <f t="shared" si="8"/>
        <v>14</v>
      </c>
      <c r="L11" s="14">
        <f t="shared" si="9"/>
        <v>15</v>
      </c>
      <c r="M11" s="14">
        <f t="shared" si="10"/>
        <v>15</v>
      </c>
      <c r="N11" s="14">
        <f t="shared" si="11"/>
        <v>15</v>
      </c>
      <c r="O11" s="14">
        <f t="shared" si="12"/>
        <v>15</v>
      </c>
      <c r="P11" s="14">
        <f t="shared" si="13"/>
        <v>15</v>
      </c>
      <c r="Q11" s="14">
        <f t="shared" si="14"/>
        <v>15</v>
      </c>
      <c r="R11" s="14">
        <f t="shared" si="15"/>
        <v>15</v>
      </c>
      <c r="S11" s="14">
        <f t="shared" si="16"/>
        <v>15</v>
      </c>
    </row>
    <row r="15" spans="2:19" x14ac:dyDescent="0.45">
      <c r="G15">
        <v>128</v>
      </c>
    </row>
    <row r="16" spans="2:19" x14ac:dyDescent="0.45">
      <c r="G16">
        <v>4</v>
      </c>
    </row>
    <row r="17" spans="7:7" x14ac:dyDescent="0.45">
      <c r="G17">
        <f>G15*G16</f>
        <v>512</v>
      </c>
    </row>
  </sheetData>
  <sortState xmlns:xlrd2="http://schemas.microsoft.com/office/spreadsheetml/2017/richdata2" ref="I8:J55">
    <sortCondition ref="I8:I5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7</v>
      </c>
      <c r="G1" t="s">
        <v>9</v>
      </c>
      <c r="K1" t="s">
        <v>8</v>
      </c>
      <c r="O1" t="s">
        <v>46</v>
      </c>
      <c r="P1" t="s">
        <v>47</v>
      </c>
      <c r="Q1" t="s">
        <v>48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95</v>
      </c>
      <c r="AB1" t="s">
        <v>96</v>
      </c>
      <c r="AC1" t="s">
        <v>97</v>
      </c>
    </row>
    <row r="2" spans="1:29" x14ac:dyDescent="0.45">
      <c r="A2" t="s">
        <v>10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11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12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13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14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13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15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12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16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17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18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19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20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21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22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23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24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25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26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27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28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29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30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31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32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33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34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35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36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37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38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39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40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41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42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43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44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45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64</v>
      </c>
      <c r="F1" t="s">
        <v>65</v>
      </c>
    </row>
    <row r="2" spans="1:9" x14ac:dyDescent="0.45">
      <c r="A2" s="5" t="s">
        <v>50</v>
      </c>
      <c r="C2" t="s">
        <v>56</v>
      </c>
      <c r="D2" t="s">
        <v>57</v>
      </c>
      <c r="F2" t="s">
        <v>56</v>
      </c>
      <c r="G2" t="s">
        <v>57</v>
      </c>
    </row>
    <row r="3" spans="1:9" x14ac:dyDescent="0.45">
      <c r="A3" s="5" t="s">
        <v>51</v>
      </c>
      <c r="C3" s="4" t="s">
        <v>55</v>
      </c>
      <c r="D3">
        <f>HEX2DEC(C3)</f>
        <v>36864</v>
      </c>
      <c r="F3" s="4" t="s">
        <v>63</v>
      </c>
      <c r="G3">
        <f>HEX2DEC(F3)</f>
        <v>20480</v>
      </c>
    </row>
    <row r="4" spans="1:9" x14ac:dyDescent="0.45">
      <c r="A4" s="5" t="s">
        <v>52</v>
      </c>
      <c r="C4" s="4" t="s">
        <v>58</v>
      </c>
      <c r="D4">
        <f>HEX2DEC(C4)</f>
        <v>57344</v>
      </c>
      <c r="F4" s="4" t="s">
        <v>62</v>
      </c>
      <c r="G4">
        <f>HEX2DEC(F4)</f>
        <v>8192</v>
      </c>
    </row>
    <row r="5" spans="1:9" x14ac:dyDescent="0.45">
      <c r="A5" s="5" t="s">
        <v>53</v>
      </c>
      <c r="C5" s="4" t="s">
        <v>60</v>
      </c>
      <c r="D5">
        <f>HEX2DEC(C5)</f>
        <v>65536</v>
      </c>
      <c r="F5" s="7" t="s">
        <v>61</v>
      </c>
      <c r="G5">
        <f>HEX2DEC(F5)</f>
        <v>4063232</v>
      </c>
    </row>
    <row r="6" spans="1:9" x14ac:dyDescent="0.45">
      <c r="A6" s="5" t="s">
        <v>54</v>
      </c>
      <c r="C6" s="4" t="s">
        <v>59</v>
      </c>
      <c r="D6">
        <f>HEX2DEC(C6)</f>
        <v>4128768</v>
      </c>
      <c r="F6" s="4" t="s">
        <v>60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2024-11-14T14:11:08Z</dcterms:modified>
</cp:coreProperties>
</file>