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9FE28143-9BD0-4CAB-BC39-4E8CEF39CA09}" xr6:coauthVersionLast="47" xr6:coauthVersionMax="47" xr10:uidLastSave="{00000000-0000-0000-0000-000000000000}"/>
  <bookViews>
    <workbookView xWindow="-120" yWindow="-120" windowWidth="29040" windowHeight="15840" tabRatio="698" activeTab="2" xr2:uid="{F6D97A53-F63B-4272-A181-44B26E0B790F}"/>
  </bookViews>
  <sheets>
    <sheet name="Menu" sheetId="25" r:id="rId1"/>
    <sheet name="Produtos" sheetId="17" r:id="rId2"/>
    <sheet name="Vendas" sheetId="16" r:id="rId3"/>
    <sheet name="Vendedores" sheetId="28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2" hidden="1">Vendas!$C$4:$G$86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6" l="1" a="1"/>
  <c r="L5" i="16" s="1"/>
  <c r="L6" i="16" a="1"/>
  <c r="L6" i="16" s="1"/>
  <c r="L7" i="16" a="1"/>
  <c r="L7" i="16" s="1"/>
  <c r="L8" i="16" a="1"/>
  <c r="L8" i="16" s="1"/>
  <c r="L9" i="16" a="1"/>
  <c r="L9" i="16" s="1"/>
  <c r="L10" i="16" a="1"/>
  <c r="L10" i="16" s="1"/>
  <c r="L11" i="16" a="1"/>
  <c r="L11" i="16" s="1"/>
  <c r="L12" i="16" a="1"/>
  <c r="L12" i="16" s="1"/>
  <c r="L13" i="16" a="1"/>
  <c r="L13" i="16" s="1"/>
  <c r="L14" i="16" a="1"/>
  <c r="L14" i="16" s="1"/>
  <c r="L15" i="16" a="1"/>
  <c r="L15" i="16" s="1"/>
  <c r="L16" i="16" a="1"/>
  <c r="L16" i="16" s="1"/>
  <c r="L17" i="16" a="1"/>
  <c r="L17" i="16" s="1"/>
  <c r="L18" i="16" a="1"/>
  <c r="L18" i="16" s="1"/>
  <c r="L19" i="16" a="1"/>
  <c r="L19" i="16" s="1"/>
  <c r="L20" i="16" a="1"/>
  <c r="L20" i="16" s="1"/>
  <c r="L21" i="16" a="1"/>
  <c r="L21" i="16" s="1"/>
  <c r="L22" i="16" a="1"/>
  <c r="L22" i="16" s="1"/>
  <c r="L23" i="16" a="1"/>
  <c r="L23" i="16" s="1"/>
  <c r="L24" i="16" a="1"/>
  <c r="L24" i="16" s="1"/>
  <c r="L25" i="16" a="1"/>
  <c r="L25" i="16" s="1"/>
  <c r="L26" i="16" a="1"/>
  <c r="L26" i="16" s="1"/>
  <c r="L27" i="16" a="1"/>
  <c r="L27" i="16" s="1"/>
  <c r="L28" i="16" a="1"/>
  <c r="L28" i="16" s="1"/>
  <c r="L29" i="16" a="1"/>
  <c r="L29" i="16" s="1"/>
  <c r="L30" i="16" a="1"/>
  <c r="L30" i="16" s="1"/>
  <c r="L31" i="16" a="1"/>
  <c r="L31" i="16" s="1"/>
  <c r="L32" i="16" a="1"/>
  <c r="L32" i="16" s="1"/>
  <c r="L33" i="16" a="1"/>
  <c r="L33" i="16" s="1"/>
  <c r="L34" i="16" a="1"/>
  <c r="L34" i="16" s="1"/>
  <c r="L35" i="16" a="1"/>
  <c r="L35" i="16" s="1"/>
  <c r="L36" i="16" a="1"/>
  <c r="L36" i="16" s="1"/>
  <c r="L37" i="16" a="1"/>
  <c r="L37" i="16" s="1"/>
  <c r="L38" i="16" a="1"/>
  <c r="L38" i="16" s="1"/>
  <c r="L39" i="16" a="1"/>
  <c r="L39" i="16" s="1"/>
  <c r="L40" i="16" a="1"/>
  <c r="L40" i="16" s="1"/>
  <c r="L41" i="16" a="1"/>
  <c r="L41" i="16" s="1"/>
  <c r="L42" i="16" a="1"/>
  <c r="L42" i="16" s="1"/>
  <c r="L43" i="16" a="1"/>
  <c r="L43" i="16" s="1"/>
  <c r="L44" i="16" a="1"/>
  <c r="L44" i="16" s="1"/>
  <c r="L45" i="16" a="1"/>
  <c r="L45" i="16" s="1"/>
  <c r="L46" i="16" a="1"/>
  <c r="L46" i="16" s="1"/>
  <c r="L47" i="16" a="1"/>
  <c r="L47" i="16" s="1"/>
  <c r="L48" i="16" a="1"/>
  <c r="L48" i="16" s="1"/>
  <c r="L49" i="16" a="1"/>
  <c r="L49" i="16" s="1"/>
  <c r="L50" i="16" a="1"/>
  <c r="L50" i="16" s="1"/>
  <c r="L51" i="16" a="1"/>
  <c r="L51" i="16" s="1"/>
  <c r="L52" i="16" a="1"/>
  <c r="L52" i="16" s="1"/>
  <c r="L53" i="16" a="1"/>
  <c r="L53" i="16" s="1"/>
  <c r="L54" i="16" a="1"/>
  <c r="L54" i="16" s="1"/>
  <c r="L55" i="16" a="1"/>
  <c r="L55" i="16" s="1"/>
  <c r="L56" i="16" a="1"/>
  <c r="L56" i="16" s="1"/>
  <c r="L57" i="16" a="1"/>
  <c r="L57" i="16" s="1"/>
  <c r="L58" i="16" a="1"/>
  <c r="L58" i="16" s="1"/>
  <c r="L59" i="16" a="1"/>
  <c r="L59" i="16" s="1"/>
  <c r="L60" i="16" a="1"/>
  <c r="L60" i="16" s="1"/>
  <c r="L61" i="16" a="1"/>
  <c r="L61" i="16" s="1"/>
  <c r="L62" i="16" a="1"/>
  <c r="L62" i="16" s="1"/>
  <c r="L63" i="16" a="1"/>
  <c r="L63" i="16" s="1"/>
  <c r="L64" i="16" a="1"/>
  <c r="L64" i="16" s="1"/>
  <c r="L65" i="16" a="1"/>
  <c r="L65" i="16" s="1"/>
  <c r="L66" i="16" a="1"/>
  <c r="L66" i="16" s="1"/>
  <c r="L67" i="16" a="1"/>
  <c r="L67" i="16" s="1"/>
  <c r="L68" i="16" a="1"/>
  <c r="L68" i="16" s="1"/>
  <c r="L69" i="16" a="1"/>
  <c r="L69" i="16" s="1"/>
  <c r="L70" i="16" a="1"/>
  <c r="L70" i="16" s="1"/>
  <c r="L71" i="16" a="1"/>
  <c r="L71" i="16" s="1"/>
  <c r="L72" i="16" a="1"/>
  <c r="L72" i="16" s="1"/>
  <c r="L73" i="16" a="1"/>
  <c r="L73" i="16" s="1"/>
  <c r="L74" i="16" a="1"/>
  <c r="L74" i="16" s="1"/>
  <c r="L75" i="16" a="1"/>
  <c r="L75" i="16" s="1"/>
  <c r="L76" i="16" a="1"/>
  <c r="L76" i="16" s="1"/>
  <c r="L77" i="16" a="1"/>
  <c r="L77" i="16" s="1"/>
  <c r="L78" i="16" a="1"/>
  <c r="L78" i="16" s="1"/>
  <c r="L79" i="16" a="1"/>
  <c r="L79" i="16" s="1"/>
  <c r="L80" i="16" a="1"/>
  <c r="L80" i="16" s="1"/>
  <c r="L81" i="16" a="1"/>
  <c r="L81" i="16" s="1"/>
  <c r="L82" i="16" a="1"/>
  <c r="L82" i="16" s="1"/>
  <c r="L83" i="16" a="1"/>
  <c r="L83" i="16" s="1"/>
  <c r="L84" i="16" a="1"/>
  <c r="L84" i="16" s="1"/>
  <c r="L85" i="16" a="1"/>
  <c r="L85" i="16" s="1"/>
  <c r="L86" i="16" a="1"/>
  <c r="L86" i="16" s="1"/>
  <c r="K5" i="16" a="1"/>
  <c r="K5" i="16" s="1"/>
  <c r="K6" i="16" a="1"/>
  <c r="K6" i="16" s="1"/>
  <c r="K7" i="16" a="1"/>
  <c r="K7" i="16" s="1"/>
  <c r="K8" i="16" a="1"/>
  <c r="K8" i="16" s="1"/>
  <c r="K9" i="16" a="1"/>
  <c r="K9" i="16" s="1"/>
  <c r="K10" i="16" a="1"/>
  <c r="K10" i="16" s="1"/>
  <c r="K11" i="16" a="1"/>
  <c r="K11" i="16" s="1"/>
  <c r="K12" i="16" a="1"/>
  <c r="K12" i="16" s="1"/>
  <c r="K13" i="16" a="1"/>
  <c r="K13" i="16" s="1"/>
  <c r="K14" i="16" a="1"/>
  <c r="K14" i="16" s="1"/>
  <c r="K15" i="16" a="1"/>
  <c r="K15" i="16" s="1"/>
  <c r="K16" i="16" a="1"/>
  <c r="K16" i="16" s="1"/>
  <c r="K17" i="16" a="1"/>
  <c r="K17" i="16" s="1"/>
  <c r="K18" i="16" a="1"/>
  <c r="K18" i="16" s="1"/>
  <c r="K19" i="16" a="1"/>
  <c r="K19" i="16" s="1"/>
  <c r="K20" i="16" a="1"/>
  <c r="K20" i="16" s="1"/>
  <c r="K21" i="16" a="1"/>
  <c r="K21" i="16" s="1"/>
  <c r="K22" i="16" a="1"/>
  <c r="K22" i="16" s="1"/>
  <c r="K23" i="16" a="1"/>
  <c r="K23" i="16" s="1"/>
  <c r="K24" i="16" a="1"/>
  <c r="K24" i="16" s="1"/>
  <c r="K25" i="16" a="1"/>
  <c r="K25" i="16" s="1"/>
  <c r="K26" i="16" a="1"/>
  <c r="K26" i="16" s="1"/>
  <c r="K27" i="16" a="1"/>
  <c r="K27" i="16" s="1"/>
  <c r="K28" i="16" a="1"/>
  <c r="K28" i="16" s="1"/>
  <c r="K29" i="16" a="1"/>
  <c r="K29" i="16" s="1"/>
  <c r="K30" i="16" a="1"/>
  <c r="K30" i="16" s="1"/>
  <c r="K31" i="16" a="1"/>
  <c r="K31" i="16" s="1"/>
  <c r="K32" i="16" a="1"/>
  <c r="K32" i="16" s="1"/>
  <c r="K33" i="16" a="1"/>
  <c r="K33" i="16" s="1"/>
  <c r="K34" i="16" a="1"/>
  <c r="K34" i="16" s="1"/>
  <c r="K35" i="16" a="1"/>
  <c r="K35" i="16" s="1"/>
  <c r="K36" i="16" a="1"/>
  <c r="K36" i="16" s="1"/>
  <c r="K37" i="16" a="1"/>
  <c r="K37" i="16" s="1"/>
  <c r="K38" i="16" a="1"/>
  <c r="K38" i="16" s="1"/>
  <c r="K39" i="16" a="1"/>
  <c r="K39" i="16" s="1"/>
  <c r="K40" i="16" a="1"/>
  <c r="K40" i="16" s="1"/>
  <c r="K41" i="16" a="1"/>
  <c r="K41" i="16" s="1"/>
  <c r="K42" i="16" a="1"/>
  <c r="K42" i="16" s="1"/>
  <c r="K43" i="16" a="1"/>
  <c r="K43" i="16" s="1"/>
  <c r="K44" i="16" a="1"/>
  <c r="K44" i="16" s="1"/>
  <c r="K45" i="16" a="1"/>
  <c r="K45" i="16" s="1"/>
  <c r="K46" i="16" a="1"/>
  <c r="K46" i="16" s="1"/>
  <c r="K47" i="16" a="1"/>
  <c r="K47" i="16" s="1"/>
  <c r="K48" i="16" a="1"/>
  <c r="K48" i="16" s="1"/>
  <c r="K49" i="16" a="1"/>
  <c r="K49" i="16" s="1"/>
  <c r="K50" i="16" a="1"/>
  <c r="K50" i="16" s="1"/>
  <c r="K51" i="16" a="1"/>
  <c r="K51" i="16" s="1"/>
  <c r="K52" i="16" a="1"/>
  <c r="K52" i="16" s="1"/>
  <c r="K53" i="16" a="1"/>
  <c r="K53" i="16" s="1"/>
  <c r="K54" i="16" a="1"/>
  <c r="K54" i="16" s="1"/>
  <c r="K55" i="16" a="1"/>
  <c r="K55" i="16" s="1"/>
  <c r="K56" i="16" a="1"/>
  <c r="K56" i="16" s="1"/>
  <c r="K57" i="16" a="1"/>
  <c r="K57" i="16" s="1"/>
  <c r="K58" i="16" a="1"/>
  <c r="K58" i="16" s="1"/>
  <c r="K59" i="16" a="1"/>
  <c r="K59" i="16" s="1"/>
  <c r="K60" i="16" a="1"/>
  <c r="K60" i="16" s="1"/>
  <c r="K61" i="16" a="1"/>
  <c r="K61" i="16" s="1"/>
  <c r="K62" i="16" a="1"/>
  <c r="K62" i="16" s="1"/>
  <c r="K63" i="16" a="1"/>
  <c r="K63" i="16" s="1"/>
  <c r="K64" i="16" a="1"/>
  <c r="K64" i="16" s="1"/>
  <c r="K65" i="16" a="1"/>
  <c r="K65" i="16" s="1"/>
  <c r="K66" i="16" a="1"/>
  <c r="K66" i="16" s="1"/>
  <c r="K67" i="16" a="1"/>
  <c r="K67" i="16" s="1"/>
  <c r="K68" i="16" a="1"/>
  <c r="K68" i="16" s="1"/>
  <c r="K69" i="16" a="1"/>
  <c r="K69" i="16" s="1"/>
  <c r="K70" i="16" a="1"/>
  <c r="K70" i="16" s="1"/>
  <c r="K71" i="16" a="1"/>
  <c r="K71" i="16" s="1"/>
  <c r="K72" i="16" a="1"/>
  <c r="K72" i="16" s="1"/>
  <c r="K73" i="16" a="1"/>
  <c r="K73" i="16" s="1"/>
  <c r="K74" i="16" a="1"/>
  <c r="K74" i="16" s="1"/>
  <c r="K75" i="16" a="1"/>
  <c r="K75" i="16" s="1"/>
  <c r="K76" i="16" a="1"/>
  <c r="K76" i="16" s="1"/>
  <c r="K77" i="16" a="1"/>
  <c r="K77" i="16" s="1"/>
  <c r="K78" i="16" a="1"/>
  <c r="K78" i="16" s="1"/>
  <c r="K79" i="16" a="1"/>
  <c r="K79" i="16" s="1"/>
  <c r="K80" i="16" a="1"/>
  <c r="K80" i="16" s="1"/>
  <c r="K81" i="16" a="1"/>
  <c r="K81" i="16" s="1"/>
  <c r="K82" i="16" a="1"/>
  <c r="K82" i="16" s="1"/>
  <c r="K83" i="16" a="1"/>
  <c r="K83" i="16" s="1"/>
  <c r="K84" i="16" a="1"/>
  <c r="K84" i="16" s="1"/>
  <c r="K85" i="16" a="1"/>
  <c r="K85" i="16" s="1"/>
  <c r="K86" i="16" a="1"/>
  <c r="K86" i="16" s="1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E5" i="16" a="1"/>
  <c r="E5" i="16" s="1"/>
  <c r="F5" i="16" s="1"/>
  <c r="E6" i="16" a="1"/>
  <c r="E6" i="16" s="1"/>
  <c r="F6" i="16" s="1"/>
  <c r="E7" i="16" a="1"/>
  <c r="E7" i="16" s="1"/>
  <c r="F7" i="16" s="1"/>
  <c r="E8" i="16" a="1"/>
  <c r="E8" i="16" s="1"/>
  <c r="F8" i="16" s="1"/>
  <c r="E9" i="16" a="1"/>
  <c r="E9" i="16" s="1"/>
  <c r="F9" i="16" s="1"/>
  <c r="E10" i="16" a="1"/>
  <c r="E10" i="16" s="1"/>
  <c r="F10" i="16" s="1"/>
  <c r="E11" i="16" a="1"/>
  <c r="E11" i="16" s="1"/>
  <c r="F11" i="16" s="1"/>
  <c r="E12" i="16" a="1"/>
  <c r="E12" i="16" s="1"/>
  <c r="F12" i="16" s="1"/>
  <c r="E13" i="16" a="1"/>
  <c r="E13" i="16" s="1"/>
  <c r="F13" i="16" s="1"/>
  <c r="E14" i="16" a="1"/>
  <c r="E14" i="16" s="1"/>
  <c r="F14" i="16" s="1"/>
  <c r="E15" i="16" a="1"/>
  <c r="E15" i="16" s="1"/>
  <c r="F15" i="16" s="1"/>
  <c r="E16" i="16" a="1"/>
  <c r="E16" i="16" s="1"/>
  <c r="F16" i="16" s="1"/>
  <c r="E17" i="16" a="1"/>
  <c r="E17" i="16" s="1"/>
  <c r="F17" i="16" s="1"/>
  <c r="E18" i="16" a="1"/>
  <c r="E18" i="16" s="1"/>
  <c r="F18" i="16" s="1"/>
  <c r="E19" i="16" a="1"/>
  <c r="E19" i="16" s="1"/>
  <c r="F19" i="16" s="1"/>
  <c r="E20" i="16" a="1"/>
  <c r="E20" i="16" s="1"/>
  <c r="F20" i="16" s="1"/>
  <c r="E21" i="16" a="1"/>
  <c r="E21" i="16" s="1"/>
  <c r="F21" i="16" s="1"/>
  <c r="E22" i="16" a="1"/>
  <c r="E22" i="16" s="1"/>
  <c r="F22" i="16" s="1"/>
  <c r="E23" i="16" a="1"/>
  <c r="E23" i="16" s="1"/>
  <c r="F23" i="16" s="1"/>
  <c r="E24" i="16" a="1"/>
  <c r="E24" i="16" s="1"/>
  <c r="F24" i="16" s="1"/>
  <c r="E25" i="16" a="1"/>
  <c r="E25" i="16" s="1"/>
  <c r="F25" i="16" s="1"/>
  <c r="E26" i="16" a="1"/>
  <c r="E26" i="16" s="1"/>
  <c r="F26" i="16" s="1"/>
  <c r="E27" i="16" a="1"/>
  <c r="E27" i="16" s="1"/>
  <c r="F27" i="16" s="1"/>
  <c r="E28" i="16" a="1"/>
  <c r="E28" i="16" s="1"/>
  <c r="F28" i="16" s="1"/>
  <c r="E29" i="16" a="1"/>
  <c r="E29" i="16" s="1"/>
  <c r="F29" i="16" s="1"/>
  <c r="E30" i="16" a="1"/>
  <c r="E30" i="16" s="1"/>
  <c r="F30" i="16" s="1"/>
  <c r="E31" i="16" a="1"/>
  <c r="E31" i="16" s="1"/>
  <c r="F31" i="16" s="1"/>
  <c r="E32" i="16" a="1"/>
  <c r="E32" i="16" s="1"/>
  <c r="F32" i="16" s="1"/>
  <c r="E33" i="16" a="1"/>
  <c r="E33" i="16" s="1"/>
  <c r="F33" i="16" s="1"/>
  <c r="E34" i="16" a="1"/>
  <c r="E34" i="16" s="1"/>
  <c r="F34" i="16" s="1"/>
  <c r="E35" i="16" a="1"/>
  <c r="E35" i="16" s="1"/>
  <c r="F35" i="16" s="1"/>
  <c r="E36" i="16" a="1"/>
  <c r="E36" i="16" s="1"/>
  <c r="F36" i="16" s="1"/>
  <c r="E37" i="16" a="1"/>
  <c r="E37" i="16" s="1"/>
  <c r="F37" i="16" s="1"/>
  <c r="E38" i="16" a="1"/>
  <c r="E38" i="16" s="1"/>
  <c r="F38" i="16" s="1"/>
  <c r="E39" i="16" a="1"/>
  <c r="E39" i="16" s="1"/>
  <c r="F39" i="16" s="1"/>
  <c r="E40" i="16" a="1"/>
  <c r="E40" i="16" s="1"/>
  <c r="F40" i="16" s="1"/>
  <c r="E41" i="16" a="1"/>
  <c r="E41" i="16" s="1"/>
  <c r="F41" i="16" s="1"/>
  <c r="E42" i="16" a="1"/>
  <c r="E42" i="16" s="1"/>
  <c r="F42" i="16" s="1"/>
  <c r="E43" i="16" a="1"/>
  <c r="E43" i="16" s="1"/>
  <c r="F43" i="16" s="1"/>
  <c r="E44" i="16" a="1"/>
  <c r="E44" i="16" s="1"/>
  <c r="F44" i="16" s="1"/>
  <c r="E45" i="16" a="1"/>
  <c r="E45" i="16" s="1"/>
  <c r="F45" i="16" s="1"/>
  <c r="E46" i="16" a="1"/>
  <c r="E46" i="16" s="1"/>
  <c r="F46" i="16" s="1"/>
  <c r="E47" i="16" a="1"/>
  <c r="E47" i="16" s="1"/>
  <c r="F47" i="16" s="1"/>
  <c r="E48" i="16" a="1"/>
  <c r="E48" i="16" s="1"/>
  <c r="F48" i="16" s="1"/>
  <c r="E49" i="16" a="1"/>
  <c r="E49" i="16" s="1"/>
  <c r="F49" i="16" s="1"/>
  <c r="E50" i="16" a="1"/>
  <c r="E50" i="16" s="1"/>
  <c r="F50" i="16" s="1"/>
  <c r="E51" i="16" a="1"/>
  <c r="E51" i="16" s="1"/>
  <c r="F51" i="16" s="1"/>
  <c r="E52" i="16" a="1"/>
  <c r="E52" i="16" s="1"/>
  <c r="F52" i="16" s="1"/>
  <c r="E53" i="16" a="1"/>
  <c r="E53" i="16" s="1"/>
  <c r="F53" i="16" s="1"/>
  <c r="E54" i="16" a="1"/>
  <c r="E54" i="16" s="1"/>
  <c r="F54" i="16" s="1"/>
  <c r="E55" i="16" a="1"/>
  <c r="E55" i="16" s="1"/>
  <c r="F55" i="16" s="1"/>
  <c r="E56" i="16" a="1"/>
  <c r="E56" i="16" s="1"/>
  <c r="F56" i="16" s="1"/>
  <c r="E57" i="16" a="1"/>
  <c r="E57" i="16" s="1"/>
  <c r="F57" i="16" s="1"/>
  <c r="E58" i="16" a="1"/>
  <c r="E58" i="16" s="1"/>
  <c r="F58" i="16" s="1"/>
  <c r="E59" i="16" a="1"/>
  <c r="E59" i="16" s="1"/>
  <c r="F59" i="16" s="1"/>
  <c r="E60" i="16" a="1"/>
  <c r="E60" i="16" s="1"/>
  <c r="F60" i="16" s="1"/>
  <c r="E61" i="16" a="1"/>
  <c r="E61" i="16" s="1"/>
  <c r="F61" i="16" s="1"/>
  <c r="E62" i="16" a="1"/>
  <c r="E62" i="16" s="1"/>
  <c r="F62" i="16" s="1"/>
  <c r="E63" i="16" a="1"/>
  <c r="E63" i="16" s="1"/>
  <c r="F63" i="16" s="1"/>
  <c r="E64" i="16" a="1"/>
  <c r="E64" i="16" s="1"/>
  <c r="F64" i="16" s="1"/>
  <c r="E65" i="16" a="1"/>
  <c r="E65" i="16" s="1"/>
  <c r="F65" i="16" s="1"/>
  <c r="E66" i="16" a="1"/>
  <c r="E66" i="16" s="1"/>
  <c r="F66" i="16" s="1"/>
  <c r="E67" i="16" a="1"/>
  <c r="E67" i="16" s="1"/>
  <c r="F67" i="16" s="1"/>
  <c r="E68" i="16" a="1"/>
  <c r="E68" i="16" s="1"/>
  <c r="F68" i="16" s="1"/>
  <c r="E69" i="16" a="1"/>
  <c r="E69" i="16" s="1"/>
  <c r="F69" i="16" s="1"/>
  <c r="E70" i="16" a="1"/>
  <c r="E70" i="16" s="1"/>
  <c r="F70" i="16" s="1"/>
  <c r="E71" i="16" a="1"/>
  <c r="E71" i="16" s="1"/>
  <c r="F71" i="16" s="1"/>
  <c r="E72" i="16" a="1"/>
  <c r="E72" i="16" s="1"/>
  <c r="F72" i="16" s="1"/>
  <c r="E73" i="16" a="1"/>
  <c r="E73" i="16" s="1"/>
  <c r="F73" i="16" s="1"/>
  <c r="E74" i="16" a="1"/>
  <c r="E74" i="16" s="1"/>
  <c r="F74" i="16" s="1"/>
  <c r="E75" i="16" a="1"/>
  <c r="E75" i="16" s="1"/>
  <c r="F75" i="16" s="1"/>
  <c r="E76" i="16" a="1"/>
  <c r="E76" i="16" s="1"/>
  <c r="F76" i="16" s="1"/>
  <c r="E77" i="16" a="1"/>
  <c r="E77" i="16" s="1"/>
  <c r="F77" i="16" s="1"/>
  <c r="E78" i="16" a="1"/>
  <c r="E78" i="16" s="1"/>
  <c r="F78" i="16" s="1"/>
  <c r="E79" i="16" a="1"/>
  <c r="E79" i="16" s="1"/>
  <c r="F79" i="16" s="1"/>
  <c r="E80" i="16" a="1"/>
  <c r="E80" i="16" s="1"/>
  <c r="F80" i="16" s="1"/>
  <c r="E81" i="16" a="1"/>
  <c r="E81" i="16" s="1"/>
  <c r="F81" i="16" s="1"/>
  <c r="E82" i="16" a="1"/>
  <c r="E82" i="16" s="1"/>
  <c r="F82" i="16" s="1"/>
  <c r="E83" i="16" a="1"/>
  <c r="E83" i="16" s="1"/>
  <c r="F83" i="16" s="1"/>
  <c r="E84" i="16" a="1"/>
  <c r="E84" i="16" s="1"/>
  <c r="F84" i="16" s="1"/>
  <c r="E85" i="16" a="1"/>
  <c r="E85" i="16" s="1"/>
  <c r="F85" i="16" s="1"/>
  <c r="E86" i="16" a="1"/>
  <c r="E86" i="16" s="1"/>
  <c r="F86" i="16" s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N5" i="16" a="1"/>
  <c r="N5" i="16" s="1"/>
  <c r="N9" i="16" a="1"/>
  <c r="N9" i="16" s="1"/>
  <c r="N6" i="16" a="1"/>
  <c r="N6" i="16" s="1"/>
  <c r="F17" i="23"/>
  <c r="F18" i="23"/>
  <c r="F16" i="23" a="1"/>
  <c r="F16" i="23" s="1"/>
  <c r="N7" i="16" a="1"/>
  <c r="N7" i="16" s="1"/>
  <c r="N8" i="16" a="1"/>
  <c r="N8" i="16" s="1"/>
  <c r="N10" i="16" a="1"/>
  <c r="N10" i="16" s="1"/>
  <c r="N11" i="16" a="1"/>
  <c r="N11" i="16" s="1"/>
  <c r="N12" i="16" a="1"/>
  <c r="N12" i="16" s="1"/>
  <c r="N13" i="16" a="1"/>
  <c r="N13" i="16" s="1"/>
  <c r="N14" i="16" a="1"/>
  <c r="N14" i="16" s="1"/>
  <c r="N15" i="16" a="1"/>
  <c r="N15" i="16" s="1"/>
  <c r="N16" i="16" a="1"/>
  <c r="N16" i="16" s="1"/>
  <c r="N17" i="16" a="1"/>
  <c r="N17" i="16" s="1"/>
  <c r="N18" i="16" a="1"/>
  <c r="N18" i="16" s="1"/>
  <c r="N19" i="16" a="1"/>
  <c r="N19" i="16" s="1"/>
  <c r="N20" i="16" a="1"/>
  <c r="N20" i="16" s="1"/>
  <c r="N21" i="16" a="1"/>
  <c r="N21" i="16" s="1"/>
  <c r="N22" i="16" a="1"/>
  <c r="N22" i="16" s="1"/>
  <c r="N23" i="16" a="1"/>
  <c r="N23" i="16" s="1"/>
  <c r="N24" i="16" a="1"/>
  <c r="N24" i="16" s="1"/>
  <c r="N25" i="16" a="1"/>
  <c r="N25" i="16" s="1"/>
  <c r="N26" i="16" a="1"/>
  <c r="N26" i="16" s="1"/>
  <c r="N27" i="16" a="1"/>
  <c r="N27" i="16" s="1"/>
  <c r="N28" i="16" a="1"/>
  <c r="N28" i="16" s="1"/>
  <c r="N29" i="16" a="1"/>
  <c r="N29" i="16" s="1"/>
  <c r="N30" i="16" a="1"/>
  <c r="N30" i="16" s="1"/>
  <c r="N31" i="16" a="1"/>
  <c r="N31" i="16" s="1"/>
  <c r="N32" i="16" a="1"/>
  <c r="N32" i="16" s="1"/>
  <c r="N33" i="16" a="1"/>
  <c r="N33" i="16" s="1"/>
  <c r="N34" i="16" a="1"/>
  <c r="N34" i="16" s="1"/>
  <c r="N35" i="16" a="1"/>
  <c r="N35" i="16" s="1"/>
  <c r="N36" i="16" a="1"/>
  <c r="N36" i="16" s="1"/>
  <c r="N37" i="16" a="1"/>
  <c r="N37" i="16" s="1"/>
  <c r="N38" i="16" a="1"/>
  <c r="N38" i="16" s="1"/>
  <c r="N39" i="16" a="1"/>
  <c r="N39" i="16" s="1"/>
  <c r="N40" i="16" a="1"/>
  <c r="N40" i="16" s="1"/>
  <c r="N41" i="16" a="1"/>
  <c r="N41" i="16" s="1"/>
  <c r="N42" i="16" a="1"/>
  <c r="N42" i="16" s="1"/>
  <c r="N43" i="16" a="1"/>
  <c r="N43" i="16" s="1"/>
  <c r="N44" i="16" a="1"/>
  <c r="N44" i="16" s="1"/>
  <c r="N45" i="16" a="1"/>
  <c r="N45" i="16" s="1"/>
  <c r="N46" i="16" a="1"/>
  <c r="N46" i="16" s="1"/>
  <c r="N47" i="16" a="1"/>
  <c r="N47" i="16" s="1"/>
  <c r="N48" i="16" a="1"/>
  <c r="N48" i="16" s="1"/>
  <c r="N49" i="16" a="1"/>
  <c r="N49" i="16" s="1"/>
  <c r="N50" i="16" a="1"/>
  <c r="N50" i="16" s="1"/>
  <c r="N51" i="16" a="1"/>
  <c r="N51" i="16" s="1"/>
  <c r="N52" i="16" a="1"/>
  <c r="N52" i="16" s="1"/>
  <c r="N53" i="16" a="1"/>
  <c r="N53" i="16" s="1"/>
  <c r="N54" i="16" a="1"/>
  <c r="N54" i="16" s="1"/>
  <c r="N55" i="16" a="1"/>
  <c r="N55" i="16" s="1"/>
  <c r="N56" i="16" a="1"/>
  <c r="N56" i="16" s="1"/>
  <c r="N57" i="16" a="1"/>
  <c r="N57" i="16" s="1"/>
  <c r="N58" i="16" a="1"/>
  <c r="N58" i="16" s="1"/>
  <c r="N59" i="16" a="1"/>
  <c r="N59" i="16" s="1"/>
  <c r="N60" i="16" a="1"/>
  <c r="N60" i="16" s="1"/>
  <c r="N61" i="16" a="1"/>
  <c r="N61" i="16" s="1"/>
  <c r="N62" i="16" a="1"/>
  <c r="N62" i="16" s="1"/>
  <c r="N63" i="16" a="1"/>
  <c r="N63" i="16" s="1"/>
  <c r="N64" i="16" a="1"/>
  <c r="N64" i="16" s="1"/>
  <c r="N65" i="16" a="1"/>
  <c r="N65" i="16" s="1"/>
  <c r="N66" i="16" a="1"/>
  <c r="N66" i="16" s="1"/>
  <c r="N67" i="16" a="1"/>
  <c r="N67" i="16" s="1"/>
  <c r="N68" i="16" a="1"/>
  <c r="N68" i="16" s="1"/>
  <c r="N69" i="16" a="1"/>
  <c r="N69" i="16" s="1"/>
  <c r="N70" i="16" a="1"/>
  <c r="N70" i="16" s="1"/>
  <c r="N71" i="16" a="1"/>
  <c r="N71" i="16" s="1"/>
  <c r="N72" i="16" a="1"/>
  <c r="N72" i="16" s="1"/>
  <c r="N73" i="16" a="1"/>
  <c r="N73" i="16" s="1"/>
  <c r="N74" i="16" a="1"/>
  <c r="N74" i="16" s="1"/>
  <c r="N75" i="16" a="1"/>
  <c r="N75" i="16" s="1"/>
  <c r="N76" i="16" a="1"/>
  <c r="N76" i="16" s="1"/>
  <c r="N77" i="16" a="1"/>
  <c r="N77" i="16" s="1"/>
  <c r="N78" i="16" a="1"/>
  <c r="N78" i="16" s="1"/>
  <c r="N79" i="16" a="1"/>
  <c r="N79" i="16" s="1"/>
  <c r="N80" i="16" a="1"/>
  <c r="N80" i="16" s="1"/>
  <c r="N81" i="16" a="1"/>
  <c r="N81" i="16" s="1"/>
  <c r="N82" i="16" a="1"/>
  <c r="N82" i="16" s="1"/>
  <c r="N83" i="16" a="1"/>
  <c r="N83" i="16" s="1"/>
  <c r="N84" i="16" a="1"/>
  <c r="N84" i="16" s="1"/>
  <c r="N85" i="16" a="1"/>
  <c r="N85" i="16" s="1"/>
  <c r="N86" i="16" a="1"/>
  <c r="N86" i="16" s="1"/>
  <c r="C18" i="23" a="1"/>
  <c r="C18" i="23" s="1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J84" i="16" l="1" a="1"/>
  <c r="J84" i="16" s="1"/>
  <c r="J80" i="16" a="1"/>
  <c r="J80" i="16" s="1"/>
  <c r="J76" i="16" a="1"/>
  <c r="J76" i="16" s="1"/>
  <c r="J72" i="16" a="1"/>
  <c r="J72" i="16" s="1"/>
  <c r="J68" i="16" a="1"/>
  <c r="J68" i="16" s="1"/>
  <c r="J64" i="16" a="1"/>
  <c r="J64" i="16" s="1"/>
  <c r="J60" i="16" a="1"/>
  <c r="J60" i="16" s="1"/>
  <c r="J56" i="16" a="1"/>
  <c r="J56" i="16" s="1"/>
  <c r="J52" i="16" a="1"/>
  <c r="J52" i="16" s="1"/>
  <c r="J48" i="16" a="1"/>
  <c r="J48" i="16" s="1"/>
  <c r="J44" i="16" a="1"/>
  <c r="J44" i="16" s="1"/>
  <c r="J40" i="16" a="1"/>
  <c r="J40" i="16" s="1"/>
  <c r="J36" i="16" a="1"/>
  <c r="J36" i="16" s="1"/>
  <c r="J32" i="16" a="1"/>
  <c r="J32" i="16" s="1"/>
  <c r="J28" i="16" a="1"/>
  <c r="J28" i="16" s="1"/>
  <c r="J24" i="16" a="1"/>
  <c r="J24" i="16" s="1"/>
  <c r="J20" i="16" a="1"/>
  <c r="J20" i="16" s="1"/>
  <c r="J16" i="16" a="1"/>
  <c r="J16" i="16" s="1"/>
  <c r="J12" i="16" a="1"/>
  <c r="J12" i="16" s="1"/>
  <c r="J8" i="16" a="1"/>
  <c r="J8" i="16" s="1"/>
  <c r="J83" i="16" a="1"/>
  <c r="J83" i="16" s="1"/>
  <c r="J79" i="16" a="1"/>
  <c r="J79" i="16" s="1"/>
  <c r="J75" i="16" a="1"/>
  <c r="J75" i="16" s="1"/>
  <c r="J71" i="16" a="1"/>
  <c r="J71" i="16" s="1"/>
  <c r="J67" i="16" a="1"/>
  <c r="J67" i="16" s="1"/>
  <c r="J63" i="16" a="1"/>
  <c r="J63" i="16" s="1"/>
  <c r="J59" i="16" a="1"/>
  <c r="J59" i="16" s="1"/>
  <c r="J55" i="16" a="1"/>
  <c r="J55" i="16" s="1"/>
  <c r="J51" i="16" a="1"/>
  <c r="J51" i="16" s="1"/>
  <c r="J47" i="16" a="1"/>
  <c r="J47" i="16" s="1"/>
  <c r="J43" i="16" a="1"/>
  <c r="J43" i="16" s="1"/>
  <c r="J39" i="16" a="1"/>
  <c r="J39" i="16" s="1"/>
  <c r="J35" i="16" a="1"/>
  <c r="J35" i="16" s="1"/>
  <c r="J31" i="16" a="1"/>
  <c r="J31" i="16" s="1"/>
  <c r="J27" i="16" a="1"/>
  <c r="J27" i="16" s="1"/>
  <c r="J23" i="16" a="1"/>
  <c r="J23" i="16" s="1"/>
  <c r="J19" i="16" a="1"/>
  <c r="J19" i="16" s="1"/>
  <c r="J15" i="16" a="1"/>
  <c r="J15" i="16" s="1"/>
  <c r="J11" i="16" a="1"/>
  <c r="J11" i="16" s="1"/>
  <c r="J7" i="16" a="1"/>
  <c r="J7" i="16" s="1"/>
  <c r="J86" i="16" a="1"/>
  <c r="J86" i="16" s="1"/>
  <c r="J82" i="16" a="1"/>
  <c r="J82" i="16" s="1"/>
  <c r="J78" i="16" a="1"/>
  <c r="J78" i="16" s="1"/>
  <c r="J74" i="16" a="1"/>
  <c r="J74" i="16" s="1"/>
  <c r="J70" i="16" a="1"/>
  <c r="J70" i="16" s="1"/>
  <c r="J66" i="16" a="1"/>
  <c r="J66" i="16" s="1"/>
  <c r="J62" i="16" a="1"/>
  <c r="J62" i="16" s="1"/>
  <c r="J58" i="16" a="1"/>
  <c r="J58" i="16" s="1"/>
  <c r="J54" i="16" a="1"/>
  <c r="J54" i="16" s="1"/>
  <c r="J50" i="16" a="1"/>
  <c r="J50" i="16" s="1"/>
  <c r="J46" i="16" a="1"/>
  <c r="J46" i="16" s="1"/>
  <c r="J42" i="16" a="1"/>
  <c r="J42" i="16" s="1"/>
  <c r="J38" i="16" a="1"/>
  <c r="J38" i="16" s="1"/>
  <c r="J34" i="16" a="1"/>
  <c r="J34" i="16" s="1"/>
  <c r="J30" i="16" a="1"/>
  <c r="J30" i="16" s="1"/>
  <c r="J26" i="16" a="1"/>
  <c r="J26" i="16" s="1"/>
  <c r="J22" i="16" a="1"/>
  <c r="J22" i="16" s="1"/>
  <c r="J18" i="16" a="1"/>
  <c r="J18" i="16" s="1"/>
  <c r="J14" i="16" a="1"/>
  <c r="J14" i="16" s="1"/>
  <c r="J10" i="16" a="1"/>
  <c r="J10" i="16" s="1"/>
  <c r="J6" i="16" a="1"/>
  <c r="J6" i="16" s="1"/>
  <c r="J85" i="16" a="1"/>
  <c r="J85" i="16" s="1"/>
  <c r="J81" i="16" a="1"/>
  <c r="J81" i="16" s="1"/>
  <c r="J77" i="16" a="1"/>
  <c r="J77" i="16" s="1"/>
  <c r="J73" i="16" a="1"/>
  <c r="J73" i="16" s="1"/>
  <c r="J69" i="16" a="1"/>
  <c r="J69" i="16" s="1"/>
  <c r="J65" i="16" a="1"/>
  <c r="J65" i="16" s="1"/>
  <c r="J61" i="16" a="1"/>
  <c r="J61" i="16" s="1"/>
  <c r="J57" i="16" a="1"/>
  <c r="J57" i="16" s="1"/>
  <c r="J53" i="16" a="1"/>
  <c r="J53" i="16" s="1"/>
  <c r="J49" i="16" a="1"/>
  <c r="J49" i="16" s="1"/>
  <c r="J45" i="16" a="1"/>
  <c r="J45" i="16" s="1"/>
  <c r="J41" i="16" a="1"/>
  <c r="J41" i="16" s="1"/>
  <c r="J37" i="16" a="1"/>
  <c r="J37" i="16" s="1"/>
  <c r="J33" i="16" a="1"/>
  <c r="J33" i="16" s="1"/>
  <c r="J29" i="16" a="1"/>
  <c r="J29" i="16" s="1"/>
  <c r="J25" i="16" a="1"/>
  <c r="J25" i="16" s="1"/>
  <c r="J21" i="16" a="1"/>
  <c r="J21" i="16" s="1"/>
  <c r="J17" i="16" a="1"/>
  <c r="J17" i="16" s="1"/>
  <c r="J13" i="16" a="1"/>
  <c r="J13" i="16" s="1"/>
  <c r="J9" i="16" a="1"/>
  <c r="J9" i="16" s="1"/>
  <c r="J5" i="16" a="1"/>
  <c r="J5" i="16" s="1"/>
  <c r="M83" i="16" a="1"/>
  <c r="M83" i="16" s="1"/>
  <c r="M79" i="16" a="1"/>
  <c r="M79" i="16" s="1"/>
  <c r="M75" i="16" a="1"/>
  <c r="M75" i="16" s="1"/>
  <c r="M71" i="16" a="1"/>
  <c r="M71" i="16" s="1"/>
  <c r="M67" i="16" a="1"/>
  <c r="M67" i="16" s="1"/>
  <c r="M63" i="16" a="1"/>
  <c r="M63" i="16" s="1"/>
  <c r="M59" i="16" a="1"/>
  <c r="M59" i="16" s="1"/>
  <c r="M55" i="16" a="1"/>
  <c r="M55" i="16" s="1"/>
  <c r="M51" i="16" a="1"/>
  <c r="M51" i="16" s="1"/>
  <c r="M47" i="16" a="1"/>
  <c r="M47" i="16" s="1"/>
  <c r="M43" i="16" a="1"/>
  <c r="M43" i="16" s="1"/>
  <c r="M39" i="16" a="1"/>
  <c r="M39" i="16" s="1"/>
  <c r="M35" i="16" a="1"/>
  <c r="M35" i="16" s="1"/>
  <c r="M31" i="16" a="1"/>
  <c r="M31" i="16" s="1"/>
  <c r="M27" i="16" a="1"/>
  <c r="M27" i="16" s="1"/>
  <c r="M23" i="16" a="1"/>
  <c r="M23" i="16" s="1"/>
  <c r="M19" i="16" a="1"/>
  <c r="M19" i="16" s="1"/>
  <c r="M15" i="16" a="1"/>
  <c r="M15" i="16" s="1"/>
  <c r="M11" i="16" a="1"/>
  <c r="M11" i="16" s="1"/>
  <c r="M7" i="16" a="1"/>
  <c r="M7" i="16" s="1"/>
  <c r="P8" i="16"/>
  <c r="P6" i="16"/>
  <c r="M84" i="16" a="1"/>
  <c r="M84" i="16" s="1"/>
  <c r="M80" i="16" a="1"/>
  <c r="M80" i="16" s="1"/>
  <c r="M76" i="16" a="1"/>
  <c r="M76" i="16" s="1"/>
  <c r="M72" i="16" a="1"/>
  <c r="M72" i="16" s="1"/>
  <c r="M68" i="16" a="1"/>
  <c r="M68" i="16" s="1"/>
  <c r="M64" i="16" a="1"/>
  <c r="M64" i="16" s="1"/>
  <c r="M60" i="16" a="1"/>
  <c r="M60" i="16" s="1"/>
  <c r="M56" i="16" a="1"/>
  <c r="M56" i="16" s="1"/>
  <c r="M52" i="16" a="1"/>
  <c r="M52" i="16" s="1"/>
  <c r="M48" i="16" a="1"/>
  <c r="M48" i="16" s="1"/>
  <c r="M44" i="16" a="1"/>
  <c r="M44" i="16" s="1"/>
  <c r="M40" i="16" a="1"/>
  <c r="M40" i="16" s="1"/>
  <c r="M36" i="16" a="1"/>
  <c r="M36" i="16" s="1"/>
  <c r="M32" i="16" a="1"/>
  <c r="M32" i="16" s="1"/>
  <c r="M28" i="16" a="1"/>
  <c r="M28" i="16" s="1"/>
  <c r="M24" i="16" a="1"/>
  <c r="M24" i="16" s="1"/>
  <c r="M20" i="16" a="1"/>
  <c r="M20" i="16" s="1"/>
  <c r="M16" i="16" a="1"/>
  <c r="M16" i="16" s="1"/>
  <c r="M12" i="16" a="1"/>
  <c r="M12" i="16" s="1"/>
  <c r="M8" i="16" a="1"/>
  <c r="M8" i="16" s="1"/>
  <c r="M86" i="16" a="1"/>
  <c r="M86" i="16" s="1"/>
  <c r="M82" i="16" a="1"/>
  <c r="M82" i="16" s="1"/>
  <c r="M78" i="16" a="1"/>
  <c r="M78" i="16" s="1"/>
  <c r="M74" i="16" a="1"/>
  <c r="M74" i="16" s="1"/>
  <c r="M70" i="16" a="1"/>
  <c r="M70" i="16" s="1"/>
  <c r="M66" i="16" a="1"/>
  <c r="M66" i="16" s="1"/>
  <c r="M62" i="16" a="1"/>
  <c r="M62" i="16" s="1"/>
  <c r="M58" i="16" a="1"/>
  <c r="M58" i="16" s="1"/>
  <c r="M54" i="16" a="1"/>
  <c r="M54" i="16" s="1"/>
  <c r="M50" i="16" a="1"/>
  <c r="M50" i="16" s="1"/>
  <c r="M46" i="16" a="1"/>
  <c r="M46" i="16" s="1"/>
  <c r="M42" i="16" a="1"/>
  <c r="M42" i="16" s="1"/>
  <c r="M38" i="16" a="1"/>
  <c r="M38" i="16" s="1"/>
  <c r="M34" i="16" a="1"/>
  <c r="M34" i="16" s="1"/>
  <c r="M30" i="16" a="1"/>
  <c r="M30" i="16" s="1"/>
  <c r="M26" i="16" a="1"/>
  <c r="M26" i="16" s="1"/>
  <c r="M22" i="16" a="1"/>
  <c r="M22" i="16" s="1"/>
  <c r="M18" i="16" a="1"/>
  <c r="M18" i="16" s="1"/>
  <c r="M14" i="16" a="1"/>
  <c r="M14" i="16" s="1"/>
  <c r="M10" i="16" a="1"/>
  <c r="M10" i="16" s="1"/>
  <c r="M6" i="16" a="1"/>
  <c r="M6" i="16" s="1"/>
  <c r="P44" i="16"/>
  <c r="P28" i="16"/>
  <c r="M85" i="16" a="1"/>
  <c r="M85" i="16" s="1"/>
  <c r="M81" i="16" a="1"/>
  <c r="M81" i="16" s="1"/>
  <c r="M77" i="16" a="1"/>
  <c r="M77" i="16" s="1"/>
  <c r="M73" i="16" a="1"/>
  <c r="M73" i="16" s="1"/>
  <c r="M69" i="16" a="1"/>
  <c r="M69" i="16" s="1"/>
  <c r="M65" i="16" a="1"/>
  <c r="M65" i="16" s="1"/>
  <c r="M61" i="16" a="1"/>
  <c r="M61" i="16" s="1"/>
  <c r="M57" i="16" a="1"/>
  <c r="M57" i="16" s="1"/>
  <c r="M53" i="16" a="1"/>
  <c r="M53" i="16" s="1"/>
  <c r="M49" i="16" a="1"/>
  <c r="M49" i="16" s="1"/>
  <c r="M45" i="16" a="1"/>
  <c r="M45" i="16" s="1"/>
  <c r="M41" i="16" a="1"/>
  <c r="M41" i="16" s="1"/>
  <c r="M37" i="16" a="1"/>
  <c r="M37" i="16" s="1"/>
  <c r="M33" i="16" a="1"/>
  <c r="M33" i="16" s="1"/>
  <c r="M29" i="16" a="1"/>
  <c r="M29" i="16" s="1"/>
  <c r="M25" i="16" a="1"/>
  <c r="M25" i="16" s="1"/>
  <c r="M21" i="16" a="1"/>
  <c r="M21" i="16" s="1"/>
  <c r="M17" i="16" a="1"/>
  <c r="M17" i="16" s="1"/>
  <c r="M13" i="16" a="1"/>
  <c r="M13" i="16" s="1"/>
  <c r="M9" i="16" a="1"/>
  <c r="M9" i="16" s="1"/>
  <c r="M5" i="16" a="1"/>
  <c r="M5" i="16" s="1"/>
  <c r="P60" i="16"/>
  <c r="P76" i="16"/>
  <c r="P12" i="16"/>
  <c r="P86" i="16"/>
  <c r="P82" i="16"/>
  <c r="P78" i="16"/>
  <c r="P74" i="16"/>
  <c r="P70" i="16"/>
  <c r="P66" i="16"/>
  <c r="P62" i="16"/>
  <c r="P58" i="16"/>
  <c r="P54" i="16"/>
  <c r="P50" i="16"/>
  <c r="P46" i="16"/>
  <c r="P42" i="16"/>
  <c r="P38" i="16"/>
  <c r="P34" i="16"/>
  <c r="P30" i="16"/>
  <c r="P26" i="16"/>
  <c r="P22" i="16"/>
  <c r="P18" i="16"/>
  <c r="P14" i="16"/>
  <c r="P10" i="16"/>
  <c r="P7" i="16"/>
  <c r="P83" i="16"/>
  <c r="P79" i="16"/>
  <c r="P75" i="16"/>
  <c r="P71" i="16"/>
  <c r="P67" i="16"/>
  <c r="P63" i="16"/>
  <c r="P59" i="16"/>
  <c r="P55" i="16"/>
  <c r="P51" i="16"/>
  <c r="P47" i="16"/>
  <c r="P43" i="16"/>
  <c r="P39" i="16"/>
  <c r="P35" i="16"/>
  <c r="P31" i="16"/>
  <c r="P27" i="16"/>
  <c r="P23" i="16"/>
  <c r="P19" i="16"/>
  <c r="P15" i="16"/>
  <c r="P11" i="16"/>
  <c r="P84" i="16"/>
  <c r="P80" i="16"/>
  <c r="P72" i="16"/>
  <c r="P68" i="16"/>
  <c r="P64" i="16"/>
  <c r="P56" i="16"/>
  <c r="P52" i="16"/>
  <c r="P48" i="16"/>
  <c r="P40" i="16"/>
  <c r="P36" i="16"/>
  <c r="P32" i="16"/>
  <c r="P24" i="16"/>
  <c r="P20" i="16"/>
  <c r="P16" i="16"/>
  <c r="P85" i="16"/>
  <c r="P81" i="16"/>
  <c r="P77" i="16"/>
  <c r="P73" i="16"/>
  <c r="P69" i="16"/>
  <c r="P65" i="16"/>
  <c r="P61" i="16"/>
  <c r="P57" i="16"/>
  <c r="P53" i="16"/>
  <c r="P49" i="16"/>
  <c r="P45" i="16"/>
  <c r="P41" i="16"/>
  <c r="P37" i="16"/>
  <c r="P33" i="16"/>
  <c r="P29" i="16"/>
  <c r="P25" i="16"/>
  <c r="P21" i="16"/>
  <c r="P17" i="16"/>
  <c r="P13" i="16"/>
  <c r="P9" i="16"/>
  <c r="P5" i="16"/>
  <c r="D17" i="23"/>
  <c r="Q68" i="16"/>
  <c r="Q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Q83" i="16" l="1"/>
  <c r="Q75" i="16"/>
  <c r="Q73" i="16"/>
  <c r="Q65" i="16"/>
  <c r="Q64" i="16"/>
  <c r="Q79" i="16"/>
  <c r="Q71" i="16"/>
  <c r="Q80" i="16"/>
  <c r="Q72" i="16"/>
  <c r="Q84" i="16"/>
  <c r="Q67" i="16"/>
  <c r="Q82" i="16"/>
  <c r="Q74" i="16"/>
  <c r="Q66" i="16"/>
  <c r="Q86" i="16"/>
  <c r="Q78" i="16"/>
  <c r="Q70" i="16"/>
  <c r="Q85" i="16"/>
  <c r="Q77" i="16"/>
  <c r="Q69" i="16"/>
  <c r="Q81" i="16"/>
  <c r="Q5" i="16" l="1"/>
  <c r="Q6" i="16"/>
  <c r="Q7" i="16"/>
  <c r="Q8" i="16"/>
  <c r="Q9" i="16"/>
  <c r="Q10" i="16"/>
  <c r="Q11" i="16"/>
  <c r="F8" i="24" s="1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<sst xmlns="http://schemas.openxmlformats.org/spreadsheetml/2006/main" count="507" uniqueCount="179">
  <si>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</si>
  <si>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</si>
  <si>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</si>
  <si>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</si>
  <si>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</si>
  <si>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</si>
  <si>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</si>
  <si>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</si>
  <si>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</si>
  <si>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</si>
  <si>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</si>
  <si>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</si>
  <si>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</si>
  <si>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</si>
  <si>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</si>
  <si>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</si>
  <si>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</si>
  <si>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</si>
  <si>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</si>
  <si>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</si>
  <si>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</si>
  <si>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</si>
  <si>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</si>
  <si>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</si>
  <si>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</si>
  <si>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</si>
  <si>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</si>
  <si>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</si>
  <si>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</si>
  <si>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</si>
  <si>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</si>
  <si>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</si>
  <si>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</si>
  <si>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</si>
  <si>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</si>
  <si>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</si>
  <si>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</si>
  <si>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</si>
  <si>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</si>
  <si>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</si>
  <si>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</si>
  <si>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</si>
  <si>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</si>
  <si>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</si>
  <si>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</si>
  <si>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</si>
  <si>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</si>
  <si>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</si>
  <si>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</si>
  <si>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</si>
  <si>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</si>
  <si>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</si>
  <si>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</si>
  <si>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</si>
  <si>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</si>
  <si>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</si>
  <si>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</si>
  <si>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</si>
  <si>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</si>
  <si>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</si>
  <si>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</si>
  <si>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</si>
  <si>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</si>
  <si>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</si>
  <si>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</si>
  <si>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</si>
  <si>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</si>
  <si>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</si>
  <si>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</si>
  <si>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</si>
  <si>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</si>
  <si>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</si>
  <si>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</si>
  <si>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</si>
  <si>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</si>
  <si>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</si>
  <si>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</si>
  <si>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</si>
  <si>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</si>
  <si>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</si>
  <si>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</si>
  <si>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</si>
  <si>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</si>
  <si>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</si>
  <si>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</si>
  <si>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</si>
  <si>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</si>
  <si>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</si>
  <si>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</si>
  <si>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</si>
  <si>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</si>
  <si>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</si>
  <si>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</si>
  <si>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</si>
  <si>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</si>
  <si>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</si>
  <si>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</si>
  <si>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</si>
  <si>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</si>
  <si>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</si>
  <si>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</si>
  <si>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</si>
  <si>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</si>
  <si>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</si>
  <si>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</si>
  <si>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</si>
  <si>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</si>
  <si>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</si>
  <si>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</si>
  <si>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</si>
  <si>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</si>
  <si>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</si>
  <si>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</si>
  <si>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</si>
  <si>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</si>
  <si>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</si>
  <si>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</si>
  <si>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</si>
  <si>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</si>
  <si>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</si>
  <si>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</si>
  <si>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</si>
  <si>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</si>
  <si>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</si>
  <si>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</si>
  <si>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</si>
  <si>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</si>
  <si>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</si>
  <si>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</si>
  <si>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</si>
  <si>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</si>
  <si>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</si>
  <si>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</si>
  <si>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</si>
  <si>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</si>
  <si>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</si>
  <si>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</si>
  <si>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</si>
  <si>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</si>
  <si>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</si>
  <si>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</si>
  <si>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</si>
  <si>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</si>
  <si>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</si>
  <si>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</si>
  <si>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</si>
  <si>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</si>
  <si>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</si>
  <si>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</si>
  <si>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</si>
  <si>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</si>
  <si>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</si>
  <si>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</si>
  <si>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</si>
  <si>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</si>
  <si>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</si>
  <si>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</si>
  <si>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</si>
  <si>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</si>
  <si>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</si>
  <si>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</si>
  <si>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</si>
  <si>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</si>
  <si>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</si>
  <si>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</si>
  <si>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</si>
  <si>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</si>
  <si>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</si>
  <si>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</si>
  <si>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Linha</t>
  </si>
  <si>
    <t>Coluna</t>
  </si>
  <si>
    <t>Desc. Vend.</t>
  </si>
  <si>
    <t>Índice Linha</t>
  </si>
  <si>
    <t>Desc.</t>
  </si>
  <si>
    <t>Índice Coluna</t>
  </si>
  <si>
    <t>Índice Coluna2</t>
  </si>
  <si>
    <t>Desc. 2</t>
  </si>
  <si>
    <t>Desc. 3</t>
  </si>
  <si>
    <t>Índice Linha2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</si>
</sst>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9" fontId="26" fillId="8" borderId="0" xfId="5" applyFont="1" applyFill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10</xdr:col>
      <xdr:colOff>310242</xdr:colOff>
      <xdr:row>0</xdr:row>
      <xdr:rowOff>85725</xdr:rowOff>
    </xdr:from>
    <xdr:to>
      <xdr:col>11</xdr:col>
      <xdr:colOff>132805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1049111</xdr:colOff>
      <xdr:row>0</xdr:row>
      <xdr:rowOff>85725</xdr:rowOff>
    </xdr:from>
    <xdr:to>
      <xdr:col>9</xdr:col>
      <xdr:colOff>505642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7</xdr:col>
      <xdr:colOff>648380</xdr:colOff>
      <xdr:row>0</xdr:row>
      <xdr:rowOff>85725</xdr:rowOff>
    </xdr:from>
    <xdr:to>
      <xdr:col>8</xdr:col>
      <xdr:colOff>956719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6</xdr:col>
      <xdr:colOff>250371</xdr:colOff>
      <xdr:row>0</xdr:row>
      <xdr:rowOff>85725</xdr:rowOff>
    </xdr:from>
    <xdr:to>
      <xdr:col>7</xdr:col>
      <xdr:colOff>555987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5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4"/>
    <tableColumn id="2" xr3:uid="{E100D4E2-C3A0-43FF-A1D9-90A4BC2A9918}" name="Produtos"/>
    <tableColumn id="3" xr3:uid="{2EF7FEE0-6B6F-4534-86A0-46B6555B7BEF}" name="Tamanho" dataDxfId="23"/>
    <tableColumn id="4" xr3:uid="{4435A4B8-E7F0-4D66-A4F8-6A9FEAA36D5A}" name="Categoria"/>
    <tableColumn id="6" xr3:uid="{15F9CACC-A558-4A20-80CF-C2ADA2603221}" name="Estoque" dataDxfId="22"/>
    <tableColumn id="5" xr3:uid="{CA8AD0DE-58EC-4839-85FB-1DD75DA28087}" name="Preço Unitário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R86" totalsRowShown="0" headerRowDxfId="20" dataDxfId="19" headerRowCellStyle="Cabeçalho Meteora">
  <autoFilter ref="A4:R86" xr:uid="{AD739091-30BD-4C30-BDDA-7504C0C4B6E2}"/>
  <tableColumns count="18">
    <tableColumn id="7" xr3:uid="{5E8DE7C3-CDB6-4314-A5CC-C44D3C21973F}" name="Nº" dataDxfId="18">
      <calculatedColumnFormula>MONTH(TB_Vendas[[#This Row],[Data]])</calculatedColumnFormula>
    </tableColumn>
    <tableColumn id="10" xr3:uid="{BD1ABB49-B48B-4C50-A034-45488FDC03A8}" name="Mês" dataDxfId="17">
      <calculatedColumnFormula>PROPER(TEXT(DATE(,TB_Vendas[[#This Row],[Nº]],1),"Mmm"))</calculatedColumnFormula>
    </tableColumn>
    <tableColumn id="1" xr3:uid="{43632F1F-6978-4CE7-BB13-7CCE587D6821}" name="Data" dataDxfId="16"/>
    <tableColumn id="12" xr3:uid="{205A55AB-454E-4288-AE23-042C3C399E7A}" name="Código" dataDxfId="15"/>
    <tableColumn id="13" xr3:uid="{E43FCDEB-8823-490F-8086-1AD254FA7F2D}" name="Categoria" dataDxfId="8">
      <calculatedColumnFormula array="1">_xlfn.XLOOKUP(TB_Vendas[[#This Row],[Código]],TB_Produtos[[#All],[Código]],TB_Produtos[[#All],[Categoria]])</calculatedColumnFormula>
    </tableColumn>
    <tableColumn id="14" xr3:uid="{83590ADE-11D2-417A-A2D8-BAB26DEF434F}" name="Índice Coluna" dataDxfId="7">
      <calculatedColumnFormula>MATCH(TB_Vendas[[#This Row],[Categoria]],Desc_Categorias,0)</calculatedColumnFormula>
    </tableColumn>
    <tableColumn id="5" xr3:uid="{7DC2ADED-AF8A-4BC8-A38E-FEF676FE49C9}" name="Qtd" dataDxfId="14"/>
    <tableColumn id="15" xr3:uid="{4791FD98-8A22-4DFD-A138-51AFCF703E58}" name="Índice Linha" dataDxfId="6">
      <calculatedColumnFormula>MATCH(TB_Vendas[[#This Row],[Qtd]],Desc_Quantidades,1)</calculatedColumnFormula>
    </tableColumn>
    <tableColumn id="9" xr3:uid="{05B7315B-2774-41BC-AFEC-4A19E452D6C7}" name="Preço Unitário" dataDxfId="4">
      <calculatedColumnFormula>VLOOKUP(TB_Vendas[[#This Row],[Código]],Produtos!$B$6:$G$66,6,0)</calculatedColumnFormula>
    </tableColumn>
    <tableColumn id="18" xr3:uid="{12B6B4E3-D825-4DDC-B15D-63FC81049AC0}" name="Índice Coluna2" dataDxfId="3">
      <calculatedColumnFormula array="1">_xlfn.IFS(TB_Vendas[[#This Row],[Categoria]]='Cadastros Auxiliares'!$C$8,2,TB_Vendas[[#This Row],[Categoria]]='Cadastros Auxiliares'!$D$8,3,TB_Vendas[[#This Row],[Categoria]]='Cadastros Auxiliares'!$E$8,4)</calculatedColumnFormula>
    </tableColumn>
    <tableColumn id="19" xr3:uid="{DE3CF696-6723-4F6B-BA67-70CB82E43287}" name="Índice Linha2" dataDxfId="1">
      <calculatedColumnFormula array="1">_xlfn.IFS(TB_Vendas[[#This Row],[Qtd]]&lt;'Cadastros Auxiliares'!$B$10,2,TB_Vendas[[#This Row],[Qtd]]&lt;'Cadastros Auxiliares'!$B$11,3,TB_Vendas[[#This Row],[Qtd]]&lt;'Cadastros Auxiliares'!$B$12,4,TB_Vendas[[#This Row],[Qtd]]&lt;'Cadastros Auxiliares'!$B$13,5,TRUE,6)</calculatedColumnFormula>
    </tableColumn>
    <tableColumn id="17" xr3:uid="{8CDCDC8C-713E-4CAE-9A34-A2F19D143F47}" name="Desc. 3" dataDxfId="0" dataCellStyle="Porcentagem">
      <calculatedColumnFormula array="1">INDEX(Desc_TabelaToda,TB_Vendas[[#This Row],[Índice Linha2]],TB_Vendas[[#This Row],[Índice Coluna2]])</calculatedColumnFormula>
    </tableColumn>
    <tableColumn id="16" xr3:uid="{F4ED4567-6546-47E9-A6E0-297A23878EE6}" name="Desc. 2" dataDxfId="5" dataCellStyle="Porcentagem">
      <calculatedColumnFormula array="1">INDEX(Desc_TabelaToda,TB_Vendas[[#This Row],[Índice Linha]],TB_Vendas[[#This Row],[Índice Coluna]])</calculatedColumnFormula>
    </tableColumn>
    <tableColumn id="2" xr3:uid="{4BEBDE19-FA81-4412-AC83-E0AE6998A9B4}" name="Desc." dataDxfId="13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01AE281E-7CBE-4DE3-9706-AC7B12EEDFE1}" name="Desc. Vend." dataDxfId="10" dataCellStyle="Porcentagem">
      <calculatedColumnFormula>_xlfn.XLOOKUP(TB_Vendas[[#This Row],[Vendedor]],Vendedores!$A$4:$A$9,Vendedores!$D$4:$D$9)</calculatedColumnFormula>
    </tableColumn>
    <tableColumn id="11" xr3:uid="{81EC70A1-4D2D-4753-9D84-4D5194E807B5}" name="Desconto" dataDxfId="9" dataCellStyle="Porcentagem">
      <calculatedColumnFormula>IF(TB_Vendas[[#This Row],[Desc. Vend.]]&gt;TB_Vendas[[#This Row],[Desc.]],TB_Vendas[[#This Row],[Desc.]],TB_Vendas[[#This Row],[Desc. Vend.]])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2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</row>
    <row r="5" spans="1:1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36" zoomScale="120" zoomScaleNormal="120" workbookViewId="0">
      <selection activeCell="B6" sqref="B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R86"/>
  <sheetViews>
    <sheetView tabSelected="1" topLeftCell="B1" zoomScale="140" zoomScaleNormal="140" workbookViewId="0">
      <selection activeCell="I19" sqref="I19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6" width="11.5703125" style="1" customWidth="1"/>
    <col min="7" max="7" width="10.140625" bestFit="1" customWidth="1"/>
    <col min="8" max="8" width="10.140625" customWidth="1"/>
    <col min="9" max="9" width="22.85546875" bestFit="1" customWidth="1"/>
    <col min="10" max="11" width="13" customWidth="1"/>
    <col min="12" max="13" width="22.85546875" customWidth="1"/>
    <col min="14" max="14" width="17" bestFit="1" customWidth="1"/>
    <col min="15" max="16" width="17" customWidth="1"/>
    <col min="17" max="17" width="20.28515625" customWidth="1"/>
    <col min="18" max="18" width="17" bestFit="1" customWidth="1"/>
  </cols>
  <sheetData>
    <row r="1" spans="1:18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s="41" customFormat="1" ht="4.5" customHeight="1">
      <c r="A2" s="44"/>
      <c r="B2" s="44"/>
      <c r="C2" s="44"/>
      <c r="D2" s="44"/>
      <c r="E2" s="44"/>
      <c r="F2" s="44"/>
      <c r="G2" s="44"/>
      <c r="H2" s="44"/>
    </row>
    <row r="3" spans="1:18" ht="4.5" customHeight="1">
      <c r="A3" s="42"/>
      <c r="B3" s="42"/>
      <c r="C3" s="42"/>
      <c r="D3" s="42"/>
      <c r="E3" s="42"/>
      <c r="F3" s="42"/>
      <c r="G3" s="42"/>
      <c r="H3" s="42"/>
    </row>
    <row r="4" spans="1:18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174</v>
      </c>
      <c r="G4" s="36" t="s">
        <v>15</v>
      </c>
      <c r="H4" s="36" t="s">
        <v>172</v>
      </c>
      <c r="I4" s="36" t="s">
        <v>11</v>
      </c>
      <c r="J4" s="36" t="s">
        <v>175</v>
      </c>
      <c r="K4" s="36" t="s">
        <v>178</v>
      </c>
      <c r="L4" s="36" t="s">
        <v>177</v>
      </c>
      <c r="M4" s="36" t="s">
        <v>176</v>
      </c>
      <c r="N4" s="36" t="s">
        <v>173</v>
      </c>
      <c r="O4" s="36" t="s">
        <v>171</v>
      </c>
      <c r="P4" s="36" t="s">
        <v>133</v>
      </c>
      <c r="Q4" s="37" t="s">
        <v>16</v>
      </c>
      <c r="R4" s="36" t="s">
        <v>74</v>
      </c>
    </row>
    <row r="5" spans="1:18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 cm="1">
        <f t="array" ref="E5">_xlfn.XLOOKUP(TB_Vendas[[#This Row],[Código]],TB_Produtos[[#All],[Código]],TB_Produtos[[#All],[Categoria]])</f>
        <v>Acessórios</v>
      </c>
      <c r="F5" s="10">
        <f>MATCH(TB_Vendas[[#This Row],[Categoria]],Desc_Categorias,0)</f>
        <v>2</v>
      </c>
      <c r="G5" s="1">
        <v>1</v>
      </c>
      <c r="H5" s="1">
        <f>MATCH(TB_Vendas[[#This Row],[Qtd]],Desc_Quantidades,1)</f>
        <v>2</v>
      </c>
      <c r="I5" s="29">
        <f>VLOOKUP(TB_Vendas[[#This Row],[Código]],Produtos!$B$6:$G$66,6,0)</f>
        <v>39.9</v>
      </c>
      <c r="J5" s="121" cm="1">
        <f t="array" ref="J5">_xlfn.IFS(TB_Vendas[[#This Row],[Categoria]]='Cadastros Auxiliares'!$C$8,2,TB_Vendas[[#This Row],[Categoria]]='Cadastros Auxiliares'!$D$8,3,TB_Vendas[[#This Row],[Categoria]]='Cadastros Auxiliares'!$E$8,4)</f>
        <v>2</v>
      </c>
      <c r="K5" s="121" cm="1">
        <f t="array" ref="K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5" s="70" cm="1">
        <f t="array" ref="L5">INDEX(Desc_TabelaToda,TB_Vendas[[#This Row],[Índice Linha2]],TB_Vendas[[#This Row],[Índice Coluna2]])</f>
        <v>0</v>
      </c>
      <c r="M5" s="70" cm="1">
        <f t="array" ref="M5">INDEX(Desc_TabelaToda,TB_Vendas[[#This Row],[Índice Linha]],TB_Vendas[[#This Row],[Índice Coluna]])</f>
        <v>0</v>
      </c>
      <c r="N5" s="70" cm="1">
        <f t="array" ref="N5">INDEX(Desc_TabelaToda,MATCH(TB_Vendas[[#This Row],[Qtd]],Desc_Quantidades,1),MATCH(_xlfn.XLOOKUP(TB_Vendas[[#This Row],[Código]],TB_Produtos[[#All],[Código]],TB_Produtos[[#All],[Categoria]]),Desc_Categorias,0))</f>
        <v>0</v>
      </c>
      <c r="O5" s="70">
        <f>_xlfn.XLOOKUP(TB_Vendas[[#This Row],[Vendedor]],Vendedores!$A$4:$A$9,Vendedores!$D$4:$D$9)</f>
        <v>0.25</v>
      </c>
      <c r="P5" s="70">
        <f>IF(TB_Vendas[[#This Row],[Desc. Vend.]]&gt;TB_Vendas[[#This Row],[Desc.]],TB_Vendas[[#This Row],[Desc.]],TB_Vendas[[#This Row],[Desc. Vend.]])</f>
        <v>0</v>
      </c>
      <c r="Q5" s="8">
        <f>TB_Vendas[[#This Row],[Preço Unitário]]*TB_Vendas[[#This Row],[Qtd]]</f>
        <v>39.9</v>
      </c>
      <c r="R5" s="1" t="s">
        <v>127</v>
      </c>
    </row>
    <row r="6" spans="1:18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 cm="1">
        <f t="array" ref="E6">_xlfn.XLOOKUP(TB_Vendas[[#This Row],[Código]],TB_Produtos[[#All],[Código]],TB_Produtos[[#All],[Categoria]])</f>
        <v>Acessórios</v>
      </c>
      <c r="F6" s="10">
        <f>MATCH(TB_Vendas[[#This Row],[Categoria]],Desc_Categorias,0)</f>
        <v>2</v>
      </c>
      <c r="G6" s="1">
        <v>1</v>
      </c>
      <c r="H6" s="1">
        <f>MATCH(TB_Vendas[[#This Row],[Qtd]],Desc_Quantidades,1)</f>
        <v>2</v>
      </c>
      <c r="I6" s="29">
        <f>VLOOKUP(TB_Vendas[[#This Row],[Código]],Produtos!$B$6:$G$66,6,0)</f>
        <v>259.89999999999998</v>
      </c>
      <c r="J6" s="121" cm="1">
        <f t="array" ref="J6">_xlfn.IFS(TB_Vendas[[#This Row],[Categoria]]='Cadastros Auxiliares'!$C$8,2,TB_Vendas[[#This Row],[Categoria]]='Cadastros Auxiliares'!$D$8,3,TB_Vendas[[#This Row],[Categoria]]='Cadastros Auxiliares'!$E$8,4)</f>
        <v>2</v>
      </c>
      <c r="K6" s="121" cm="1">
        <f t="array" ref="K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6" s="70" cm="1">
        <f t="array" ref="L6">INDEX(Desc_TabelaToda,TB_Vendas[[#This Row],[Índice Linha2]],TB_Vendas[[#This Row],[Índice Coluna2]])</f>
        <v>0</v>
      </c>
      <c r="M6" s="70" cm="1">
        <f t="array" ref="M6">INDEX(Desc_TabelaToda,TB_Vendas[[#This Row],[Índice Linha]],TB_Vendas[[#This Row],[Índice Coluna]])</f>
        <v>0</v>
      </c>
      <c r="N6" s="70" cm="1">
        <f t="array" ref="N6">INDEX(Desc_TabelaToda,MATCH(TB_Vendas[[#This Row],[Qtd]],Desc_Quantidades,1),MATCH(_xlfn.XLOOKUP(TB_Vendas[[#This Row],[Código]],TB_Produtos[[#All],[Código]],TB_Produtos[[#All],[Categoria]]),Desc_Categorias,0))</f>
        <v>0</v>
      </c>
      <c r="O6" s="70">
        <f>_xlfn.XLOOKUP(TB_Vendas[[#This Row],[Vendedor]],Vendedores!$A$4:$A$9,Vendedores!$D$4:$D$9)</f>
        <v>0.25</v>
      </c>
      <c r="P6" s="70">
        <f>IF(TB_Vendas[[#This Row],[Desc. Vend.]]&gt;TB_Vendas[[#This Row],[Desc.]],TB_Vendas[[#This Row],[Desc.]],TB_Vendas[[#This Row],[Desc. Vend.]])</f>
        <v>0</v>
      </c>
      <c r="Q6" s="8">
        <f>TB_Vendas[[#This Row],[Preço Unitário]]*TB_Vendas[[#This Row],[Qtd]]</f>
        <v>259.89999999999998</v>
      </c>
      <c r="R6" s="1" t="s">
        <v>127</v>
      </c>
    </row>
    <row r="7" spans="1:18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 cm="1">
        <f t="array" ref="E7">_xlfn.XLOOKUP(TB_Vendas[[#This Row],[Código]],TB_Produtos[[#All],[Código]],TB_Produtos[[#All],[Categoria]])</f>
        <v>Vestuário</v>
      </c>
      <c r="F7" s="10">
        <f>MATCH(TB_Vendas[[#This Row],[Categoria]],Desc_Categorias,0)</f>
        <v>3</v>
      </c>
      <c r="G7" s="1">
        <v>2</v>
      </c>
      <c r="H7" s="1">
        <f>MATCH(TB_Vendas[[#This Row],[Qtd]],Desc_Quantidades,1)</f>
        <v>3</v>
      </c>
      <c r="I7" s="29">
        <f>VLOOKUP(TB_Vendas[[#This Row],[Código]],Produtos!$B$6:$G$66,6,0)</f>
        <v>32.9</v>
      </c>
      <c r="J7" s="121" cm="1">
        <f t="array" ref="J7">_xlfn.IFS(TB_Vendas[[#This Row],[Categoria]]='Cadastros Auxiliares'!$C$8,2,TB_Vendas[[#This Row],[Categoria]]='Cadastros Auxiliares'!$D$8,3,TB_Vendas[[#This Row],[Categoria]]='Cadastros Auxiliares'!$E$8,4)</f>
        <v>3</v>
      </c>
      <c r="K7" s="121" cm="1">
        <f t="array" ref="K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7" s="70" cm="1">
        <f t="array" ref="L7">INDEX(Desc_TabelaToda,TB_Vendas[[#This Row],[Índice Linha2]],TB_Vendas[[#This Row],[Índice Coluna2]])</f>
        <v>0.15</v>
      </c>
      <c r="M7" s="70" cm="1">
        <f t="array" ref="M7">INDEX(Desc_TabelaToda,TB_Vendas[[#This Row],[Índice Linha]],TB_Vendas[[#This Row],[Índice Coluna]])</f>
        <v>0.15</v>
      </c>
      <c r="N7" s="70" cm="1">
        <f t="array" ref="N7">INDEX(Desc_TabelaToda,MATCH(TB_Vendas[[#This Row],[Qtd]],Desc_Quantidades,1),MATCH(_xlfn.XLOOKUP(TB_Vendas[[#This Row],[Código]],TB_Produtos[[#All],[Código]],TB_Produtos[[#All],[Categoria]]),Desc_Categorias,0))</f>
        <v>0.15</v>
      </c>
      <c r="O7" s="70">
        <f>_xlfn.XLOOKUP(TB_Vendas[[#This Row],[Vendedor]],Vendedores!$A$4:$A$9,Vendedores!$D$4:$D$9)</f>
        <v>0.2</v>
      </c>
      <c r="P7" s="70">
        <f>IF(TB_Vendas[[#This Row],[Desc. Vend.]]&gt;TB_Vendas[[#This Row],[Desc.]],TB_Vendas[[#This Row],[Desc.]],TB_Vendas[[#This Row],[Desc. Vend.]])</f>
        <v>0.15</v>
      </c>
      <c r="Q7" s="8">
        <f>TB_Vendas[[#This Row],[Preço Unitário]]*TB_Vendas[[#This Row],[Qtd]]</f>
        <v>65.8</v>
      </c>
      <c r="R7" s="1" t="s">
        <v>126</v>
      </c>
    </row>
    <row r="8" spans="1:18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 cm="1">
        <f t="array" ref="E8">_xlfn.XLOOKUP(TB_Vendas[[#This Row],[Código]],TB_Produtos[[#All],[Código]],TB_Produtos[[#All],[Categoria]])</f>
        <v>Vestuário</v>
      </c>
      <c r="F8" s="10">
        <f>MATCH(TB_Vendas[[#This Row],[Categoria]],Desc_Categorias,0)</f>
        <v>3</v>
      </c>
      <c r="G8" s="1">
        <v>1</v>
      </c>
      <c r="H8" s="1">
        <f>MATCH(TB_Vendas[[#This Row],[Qtd]],Desc_Quantidades,1)</f>
        <v>2</v>
      </c>
      <c r="I8" s="29">
        <f>VLOOKUP(TB_Vendas[[#This Row],[Código]],Produtos!$B$6:$G$66,6,0)</f>
        <v>46.9</v>
      </c>
      <c r="J8" s="121" cm="1">
        <f t="array" ref="J8">_xlfn.IFS(TB_Vendas[[#This Row],[Categoria]]='Cadastros Auxiliares'!$C$8,2,TB_Vendas[[#This Row],[Categoria]]='Cadastros Auxiliares'!$D$8,3,TB_Vendas[[#This Row],[Categoria]]='Cadastros Auxiliares'!$E$8,4)</f>
        <v>3</v>
      </c>
      <c r="K8" s="121" cm="1">
        <f t="array" ref="K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8" s="70" cm="1">
        <f t="array" ref="L8">INDEX(Desc_TabelaToda,TB_Vendas[[#This Row],[Índice Linha2]],TB_Vendas[[#This Row],[Índice Coluna2]])</f>
        <v>0.1</v>
      </c>
      <c r="M8" s="70" cm="1">
        <f t="array" ref="M8">INDEX(Desc_TabelaToda,TB_Vendas[[#This Row],[Índice Linha]],TB_Vendas[[#This Row],[Índice Coluna]])</f>
        <v>0.1</v>
      </c>
      <c r="N8" s="70" cm="1">
        <f t="array" ref="N8">INDEX(Desc_TabelaToda,MATCH(TB_Vendas[[#This Row],[Qtd]],Desc_Quantidades,1),MATCH(_xlfn.XLOOKUP(TB_Vendas[[#This Row],[Código]],TB_Produtos[[#All],[Código]],TB_Produtos[[#All],[Categoria]]),Desc_Categorias,0))</f>
        <v>0.1</v>
      </c>
      <c r="O8" s="70">
        <f>_xlfn.XLOOKUP(TB_Vendas[[#This Row],[Vendedor]],Vendedores!$A$4:$A$9,Vendedores!$D$4:$D$9)</f>
        <v>0.15</v>
      </c>
      <c r="P8" s="70">
        <f>IF(TB_Vendas[[#This Row],[Desc. Vend.]]&gt;TB_Vendas[[#This Row],[Desc.]],TB_Vendas[[#This Row],[Desc.]],TB_Vendas[[#This Row],[Desc. Vend.]])</f>
        <v>0.1</v>
      </c>
      <c r="Q8" s="8">
        <f>TB_Vendas[[#This Row],[Preço Unitário]]*TB_Vendas[[#This Row],[Qtd]]</f>
        <v>46.9</v>
      </c>
      <c r="R8" s="1" t="s">
        <v>130</v>
      </c>
    </row>
    <row r="9" spans="1:18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 cm="1">
        <f t="array" ref="E9">_xlfn.XLOOKUP(TB_Vendas[[#This Row],[Código]],TB_Produtos[[#All],[Código]],TB_Produtos[[#All],[Categoria]])</f>
        <v>Vestuário</v>
      </c>
      <c r="F9" s="10">
        <f>MATCH(TB_Vendas[[#This Row],[Categoria]],Desc_Categorias,0)</f>
        <v>3</v>
      </c>
      <c r="G9" s="1">
        <v>1</v>
      </c>
      <c r="H9" s="1">
        <f>MATCH(TB_Vendas[[#This Row],[Qtd]],Desc_Quantidades,1)</f>
        <v>2</v>
      </c>
      <c r="I9" s="29">
        <f>VLOOKUP(TB_Vendas[[#This Row],[Código]],Produtos!$B$6:$G$66,6,0)</f>
        <v>29.9</v>
      </c>
      <c r="J9" s="121" cm="1">
        <f t="array" ref="J9">_xlfn.IFS(TB_Vendas[[#This Row],[Categoria]]='Cadastros Auxiliares'!$C$8,2,TB_Vendas[[#This Row],[Categoria]]='Cadastros Auxiliares'!$D$8,3,TB_Vendas[[#This Row],[Categoria]]='Cadastros Auxiliares'!$E$8,4)</f>
        <v>3</v>
      </c>
      <c r="K9" s="121" cm="1">
        <f t="array" ref="K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9" s="70" cm="1">
        <f t="array" ref="L9">INDEX(Desc_TabelaToda,TB_Vendas[[#This Row],[Índice Linha2]],TB_Vendas[[#This Row],[Índice Coluna2]])</f>
        <v>0.1</v>
      </c>
      <c r="M9" s="70" cm="1">
        <f t="array" ref="M9">INDEX(Desc_TabelaToda,TB_Vendas[[#This Row],[Índice Linha]],TB_Vendas[[#This Row],[Índice Coluna]])</f>
        <v>0.1</v>
      </c>
      <c r="N9" s="70" cm="1">
        <f t="array" ref="N9">INDEX(Desc_TabelaToda,MATCH(TB_Vendas[[#This Row],[Qtd]],Desc_Quantidades,1),MATCH(_xlfn.XLOOKUP(TB_Vendas[[#This Row],[Código]],TB_Produtos[[#All],[Código]],TB_Produtos[[#All],[Categoria]]),Desc_Categorias,0))</f>
        <v>0.1</v>
      </c>
      <c r="O9" s="70">
        <f>_xlfn.XLOOKUP(TB_Vendas[[#This Row],[Vendedor]],Vendedores!$A$4:$A$9,Vendedores!$D$4:$D$9)</f>
        <v>0.25</v>
      </c>
      <c r="P9" s="70">
        <f>IF(TB_Vendas[[#This Row],[Desc. Vend.]]&gt;TB_Vendas[[#This Row],[Desc.]],TB_Vendas[[#This Row],[Desc.]],TB_Vendas[[#This Row],[Desc. Vend.]])</f>
        <v>0.1</v>
      </c>
      <c r="Q9" s="8">
        <f>TB_Vendas[[#This Row],[Preço Unitário]]*TB_Vendas[[#This Row],[Qtd]]</f>
        <v>29.9</v>
      </c>
      <c r="R9" s="1" t="s">
        <v>127</v>
      </c>
    </row>
    <row r="10" spans="1:18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 cm="1">
        <f t="array" ref="E10">_xlfn.XLOOKUP(TB_Vendas[[#This Row],[Código]],TB_Produtos[[#All],[Código]],TB_Produtos[[#All],[Categoria]])</f>
        <v>Vestuário</v>
      </c>
      <c r="F10" s="10">
        <f>MATCH(TB_Vendas[[#This Row],[Categoria]],Desc_Categorias,0)</f>
        <v>3</v>
      </c>
      <c r="G10" s="1">
        <v>1</v>
      </c>
      <c r="H10" s="1">
        <f>MATCH(TB_Vendas[[#This Row],[Qtd]],Desc_Quantidades,1)</f>
        <v>2</v>
      </c>
      <c r="I10" s="29">
        <f>VLOOKUP(TB_Vendas[[#This Row],[Código]],Produtos!$B$6:$G$66,6,0)</f>
        <v>299.89999999999998</v>
      </c>
      <c r="J10" s="121" cm="1">
        <f t="array" ref="J10">_xlfn.IFS(TB_Vendas[[#This Row],[Categoria]]='Cadastros Auxiliares'!$C$8,2,TB_Vendas[[#This Row],[Categoria]]='Cadastros Auxiliares'!$D$8,3,TB_Vendas[[#This Row],[Categoria]]='Cadastros Auxiliares'!$E$8,4)</f>
        <v>3</v>
      </c>
      <c r="K10" s="121" cm="1">
        <f t="array" ref="K1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10" s="70" cm="1">
        <f t="array" ref="L10">INDEX(Desc_TabelaToda,TB_Vendas[[#This Row],[Índice Linha2]],TB_Vendas[[#This Row],[Índice Coluna2]])</f>
        <v>0.1</v>
      </c>
      <c r="M10" s="70" cm="1">
        <f t="array" ref="M10">INDEX(Desc_TabelaToda,TB_Vendas[[#This Row],[Índice Linha]],TB_Vendas[[#This Row],[Índice Coluna]])</f>
        <v>0.1</v>
      </c>
      <c r="N10" s="70" cm="1">
        <f t="array" ref="N10">INDEX(Desc_TabelaToda,MATCH(TB_Vendas[[#This Row],[Qtd]],Desc_Quantidades,1),MATCH(_xlfn.XLOOKUP(TB_Vendas[[#This Row],[Código]],TB_Produtos[[#All],[Código]],TB_Produtos[[#All],[Categoria]]),Desc_Categorias,0))</f>
        <v>0.1</v>
      </c>
      <c r="O10" s="70">
        <f>_xlfn.XLOOKUP(TB_Vendas[[#This Row],[Vendedor]],Vendedores!$A$4:$A$9,Vendedores!$D$4:$D$9)</f>
        <v>0.15</v>
      </c>
      <c r="P10" s="70">
        <f>IF(TB_Vendas[[#This Row],[Desc. Vend.]]&gt;TB_Vendas[[#This Row],[Desc.]],TB_Vendas[[#This Row],[Desc.]],TB_Vendas[[#This Row],[Desc. Vend.]])</f>
        <v>0.1</v>
      </c>
      <c r="Q10" s="8">
        <f>TB_Vendas[[#This Row],[Preço Unitário]]*TB_Vendas[[#This Row],[Qtd]]</f>
        <v>299.89999999999998</v>
      </c>
      <c r="R10" s="1" t="s">
        <v>130</v>
      </c>
    </row>
    <row r="11" spans="1:18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 cm="1">
        <f t="array" ref="E11">_xlfn.XLOOKUP(TB_Vendas[[#This Row],[Código]],TB_Produtos[[#All],[Código]],TB_Produtos[[#All],[Categoria]])</f>
        <v>Vestuário</v>
      </c>
      <c r="F11" s="10">
        <f>MATCH(TB_Vendas[[#This Row],[Categoria]],Desc_Categorias,0)</f>
        <v>3</v>
      </c>
      <c r="G11" s="1">
        <v>1</v>
      </c>
      <c r="H11" s="1">
        <f>MATCH(TB_Vendas[[#This Row],[Qtd]],Desc_Quantidades,1)</f>
        <v>2</v>
      </c>
      <c r="I11" s="29">
        <f>VLOOKUP(TB_Vendas[[#This Row],[Código]],Produtos!$B$6:$G$66,6,0)</f>
        <v>146</v>
      </c>
      <c r="J11" s="121" cm="1">
        <f t="array" ref="J11">_xlfn.IFS(TB_Vendas[[#This Row],[Categoria]]='Cadastros Auxiliares'!$C$8,2,TB_Vendas[[#This Row],[Categoria]]='Cadastros Auxiliares'!$D$8,3,TB_Vendas[[#This Row],[Categoria]]='Cadastros Auxiliares'!$E$8,4)</f>
        <v>3</v>
      </c>
      <c r="K11" s="121" cm="1">
        <f t="array" ref="K1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11" s="70" cm="1">
        <f t="array" ref="L11">INDEX(Desc_TabelaToda,TB_Vendas[[#This Row],[Índice Linha2]],TB_Vendas[[#This Row],[Índice Coluna2]])</f>
        <v>0.1</v>
      </c>
      <c r="M11" s="70" cm="1">
        <f t="array" ref="M11">INDEX(Desc_TabelaToda,TB_Vendas[[#This Row],[Índice Linha]],TB_Vendas[[#This Row],[Índice Coluna]])</f>
        <v>0.1</v>
      </c>
      <c r="N11" s="70" cm="1">
        <f t="array" ref="N11">INDEX(Desc_TabelaToda,MATCH(TB_Vendas[[#This Row],[Qtd]],Desc_Quantidades,1),MATCH(_xlfn.XLOOKUP(TB_Vendas[[#This Row],[Código]],TB_Produtos[[#All],[Código]],TB_Produtos[[#All],[Categoria]]),Desc_Categorias,0))</f>
        <v>0.1</v>
      </c>
      <c r="O11" s="70">
        <f>_xlfn.XLOOKUP(TB_Vendas[[#This Row],[Vendedor]],Vendedores!$A$4:$A$9,Vendedores!$D$4:$D$9)</f>
        <v>0.1</v>
      </c>
      <c r="P11" s="70">
        <f>IF(TB_Vendas[[#This Row],[Desc. Vend.]]&gt;TB_Vendas[[#This Row],[Desc.]],TB_Vendas[[#This Row],[Desc.]],TB_Vendas[[#This Row],[Desc. Vend.]])</f>
        <v>0.1</v>
      </c>
      <c r="Q11" s="8">
        <f>TB_Vendas[[#This Row],[Preço Unitário]]*TB_Vendas[[#This Row],[Qtd]]</f>
        <v>146</v>
      </c>
      <c r="R11" s="1" t="s">
        <v>128</v>
      </c>
    </row>
    <row r="12" spans="1:18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 cm="1">
        <f t="array" ref="E12">_xlfn.XLOOKUP(TB_Vendas[[#This Row],[Código]],TB_Produtos[[#All],[Código]],TB_Produtos[[#All],[Categoria]])</f>
        <v>Vestuário</v>
      </c>
      <c r="F12" s="10">
        <f>MATCH(TB_Vendas[[#This Row],[Categoria]],Desc_Categorias,0)</f>
        <v>3</v>
      </c>
      <c r="G12" s="1">
        <v>2</v>
      </c>
      <c r="H12" s="1">
        <f>MATCH(TB_Vendas[[#This Row],[Qtd]],Desc_Quantidades,1)</f>
        <v>3</v>
      </c>
      <c r="I12" s="29">
        <f>VLOOKUP(TB_Vendas[[#This Row],[Código]],Produtos!$B$6:$G$66,6,0)</f>
        <v>89.9</v>
      </c>
      <c r="J12" s="121" cm="1">
        <f t="array" ref="J12">_xlfn.IFS(TB_Vendas[[#This Row],[Categoria]]='Cadastros Auxiliares'!$C$8,2,TB_Vendas[[#This Row],[Categoria]]='Cadastros Auxiliares'!$D$8,3,TB_Vendas[[#This Row],[Categoria]]='Cadastros Auxiliares'!$E$8,4)</f>
        <v>3</v>
      </c>
      <c r="K12" s="121" cm="1">
        <f t="array" ref="K1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12" s="70" cm="1">
        <f t="array" ref="L12">INDEX(Desc_TabelaToda,TB_Vendas[[#This Row],[Índice Linha2]],TB_Vendas[[#This Row],[Índice Coluna2]])</f>
        <v>0.15</v>
      </c>
      <c r="M12" s="70" cm="1">
        <f t="array" ref="M12">INDEX(Desc_TabelaToda,TB_Vendas[[#This Row],[Índice Linha]],TB_Vendas[[#This Row],[Índice Coluna]])</f>
        <v>0.15</v>
      </c>
      <c r="N12" s="70" cm="1">
        <f t="array" ref="N12">INDEX(Desc_TabelaToda,MATCH(TB_Vendas[[#This Row],[Qtd]],Desc_Quantidades,1),MATCH(_xlfn.XLOOKUP(TB_Vendas[[#This Row],[Código]],TB_Produtos[[#All],[Código]],TB_Produtos[[#All],[Categoria]]),Desc_Categorias,0))</f>
        <v>0.15</v>
      </c>
      <c r="O12" s="70">
        <f>_xlfn.XLOOKUP(TB_Vendas[[#This Row],[Vendedor]],Vendedores!$A$4:$A$9,Vendedores!$D$4:$D$9)</f>
        <v>0.1</v>
      </c>
      <c r="P12" s="70">
        <f>IF(TB_Vendas[[#This Row],[Desc. Vend.]]&gt;TB_Vendas[[#This Row],[Desc.]],TB_Vendas[[#This Row],[Desc.]],TB_Vendas[[#This Row],[Desc. Vend.]])</f>
        <v>0.1</v>
      </c>
      <c r="Q12" s="8">
        <f>TB_Vendas[[#This Row],[Preço Unitário]]*TB_Vendas[[#This Row],[Qtd]]</f>
        <v>179.8</v>
      </c>
      <c r="R12" s="1" t="s">
        <v>128</v>
      </c>
    </row>
    <row r="13" spans="1:18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 cm="1">
        <f t="array" ref="E13">_xlfn.XLOOKUP(TB_Vendas[[#This Row],[Código]],TB_Produtos[[#All],[Código]],TB_Produtos[[#All],[Categoria]])</f>
        <v>Calçado</v>
      </c>
      <c r="F13" s="10">
        <f>MATCH(TB_Vendas[[#This Row],[Categoria]],Desc_Categorias,0)</f>
        <v>4</v>
      </c>
      <c r="G13" s="1">
        <v>2</v>
      </c>
      <c r="H13" s="1">
        <f>MATCH(TB_Vendas[[#This Row],[Qtd]],Desc_Quantidades,1)</f>
        <v>3</v>
      </c>
      <c r="I13" s="29">
        <f>VLOOKUP(TB_Vendas[[#This Row],[Código]],Produtos!$B$6:$G$66,6,0)</f>
        <v>250</v>
      </c>
      <c r="J13" s="121" cm="1">
        <f t="array" ref="J13">_xlfn.IFS(TB_Vendas[[#This Row],[Categoria]]='Cadastros Auxiliares'!$C$8,2,TB_Vendas[[#This Row],[Categoria]]='Cadastros Auxiliares'!$D$8,3,TB_Vendas[[#This Row],[Categoria]]='Cadastros Auxiliares'!$E$8,4)</f>
        <v>4</v>
      </c>
      <c r="K13" s="121" cm="1">
        <f t="array" ref="K1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13" s="70" cm="1">
        <f t="array" ref="L13">INDEX(Desc_TabelaToda,TB_Vendas[[#This Row],[Índice Linha2]],TB_Vendas[[#This Row],[Índice Coluna2]])</f>
        <v>0.1</v>
      </c>
      <c r="M13" s="70" cm="1">
        <f t="array" ref="M13">INDEX(Desc_TabelaToda,TB_Vendas[[#This Row],[Índice Linha]],TB_Vendas[[#This Row],[Índice Coluna]])</f>
        <v>0.1</v>
      </c>
      <c r="N13" s="70" cm="1">
        <f t="array" ref="N13">INDEX(Desc_TabelaToda,MATCH(TB_Vendas[[#This Row],[Qtd]],Desc_Quantidades,1),MATCH(_xlfn.XLOOKUP(TB_Vendas[[#This Row],[Código]],TB_Produtos[[#All],[Código]],TB_Produtos[[#All],[Categoria]]),Desc_Categorias,0))</f>
        <v>0.1</v>
      </c>
      <c r="O13" s="70">
        <f>_xlfn.XLOOKUP(TB_Vendas[[#This Row],[Vendedor]],Vendedores!$A$4:$A$9,Vendedores!$D$4:$D$9)</f>
        <v>0.25</v>
      </c>
      <c r="P13" s="70">
        <f>IF(TB_Vendas[[#This Row],[Desc. Vend.]]&gt;TB_Vendas[[#This Row],[Desc.]],TB_Vendas[[#This Row],[Desc.]],TB_Vendas[[#This Row],[Desc. Vend.]])</f>
        <v>0.1</v>
      </c>
      <c r="Q13" s="8">
        <f>TB_Vendas[[#This Row],[Preço Unitário]]*TB_Vendas[[#This Row],[Qtd]]</f>
        <v>500</v>
      </c>
      <c r="R13" s="1" t="s">
        <v>127</v>
      </c>
    </row>
    <row r="14" spans="1:18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 cm="1">
        <f t="array" ref="E14">_xlfn.XLOOKUP(TB_Vendas[[#This Row],[Código]],TB_Produtos[[#All],[Código]],TB_Produtos[[#All],[Categoria]])</f>
        <v>Vestuário</v>
      </c>
      <c r="F14" s="10">
        <f>MATCH(TB_Vendas[[#This Row],[Categoria]],Desc_Categorias,0)</f>
        <v>3</v>
      </c>
      <c r="G14" s="1">
        <v>1</v>
      </c>
      <c r="H14" s="1">
        <f>MATCH(TB_Vendas[[#This Row],[Qtd]],Desc_Quantidades,1)</f>
        <v>2</v>
      </c>
      <c r="I14" s="29">
        <f>VLOOKUP(TB_Vendas[[#This Row],[Código]],Produtos!$B$6:$G$66,6,0)</f>
        <v>39.9</v>
      </c>
      <c r="J14" s="121" cm="1">
        <f t="array" ref="J14">_xlfn.IFS(TB_Vendas[[#This Row],[Categoria]]='Cadastros Auxiliares'!$C$8,2,TB_Vendas[[#This Row],[Categoria]]='Cadastros Auxiliares'!$D$8,3,TB_Vendas[[#This Row],[Categoria]]='Cadastros Auxiliares'!$E$8,4)</f>
        <v>3</v>
      </c>
      <c r="K14" s="121" cm="1">
        <f t="array" ref="K1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14" s="70" cm="1">
        <f t="array" ref="L14">INDEX(Desc_TabelaToda,TB_Vendas[[#This Row],[Índice Linha2]],TB_Vendas[[#This Row],[Índice Coluna2]])</f>
        <v>0.1</v>
      </c>
      <c r="M14" s="70" cm="1">
        <f t="array" ref="M14">INDEX(Desc_TabelaToda,TB_Vendas[[#This Row],[Índice Linha]],TB_Vendas[[#This Row],[Índice Coluna]])</f>
        <v>0.1</v>
      </c>
      <c r="N14" s="70" cm="1">
        <f t="array" ref="N14">INDEX(Desc_TabelaToda,MATCH(TB_Vendas[[#This Row],[Qtd]],Desc_Quantidades,1),MATCH(_xlfn.XLOOKUP(TB_Vendas[[#This Row],[Código]],TB_Produtos[[#All],[Código]],TB_Produtos[[#All],[Categoria]]),Desc_Categorias,0))</f>
        <v>0.1</v>
      </c>
      <c r="O14" s="70">
        <f>_xlfn.XLOOKUP(TB_Vendas[[#This Row],[Vendedor]],Vendedores!$A$4:$A$9,Vendedores!$D$4:$D$9)</f>
        <v>0.25</v>
      </c>
      <c r="P14" s="70">
        <f>IF(TB_Vendas[[#This Row],[Desc. Vend.]]&gt;TB_Vendas[[#This Row],[Desc.]],TB_Vendas[[#This Row],[Desc.]],TB_Vendas[[#This Row],[Desc. Vend.]])</f>
        <v>0.1</v>
      </c>
      <c r="Q14" s="8">
        <f>TB_Vendas[[#This Row],[Preço Unitário]]*TB_Vendas[[#This Row],[Qtd]]</f>
        <v>39.9</v>
      </c>
      <c r="R14" s="1" t="s">
        <v>127</v>
      </c>
    </row>
    <row r="15" spans="1:18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 cm="1">
        <f t="array" ref="E15">_xlfn.XLOOKUP(TB_Vendas[[#This Row],[Código]],TB_Produtos[[#All],[Código]],TB_Produtos[[#All],[Categoria]])</f>
        <v>Vestuário</v>
      </c>
      <c r="F15" s="10">
        <f>MATCH(TB_Vendas[[#This Row],[Categoria]],Desc_Categorias,0)</f>
        <v>3</v>
      </c>
      <c r="G15" s="1">
        <v>1</v>
      </c>
      <c r="H15" s="1">
        <f>MATCH(TB_Vendas[[#This Row],[Qtd]],Desc_Quantidades,1)</f>
        <v>2</v>
      </c>
      <c r="I15" s="29">
        <f>VLOOKUP(TB_Vendas[[#This Row],[Código]],Produtos!$B$6:$G$66,6,0)</f>
        <v>142.9</v>
      </c>
      <c r="J15" s="121" cm="1">
        <f t="array" ref="J15">_xlfn.IFS(TB_Vendas[[#This Row],[Categoria]]='Cadastros Auxiliares'!$C$8,2,TB_Vendas[[#This Row],[Categoria]]='Cadastros Auxiliares'!$D$8,3,TB_Vendas[[#This Row],[Categoria]]='Cadastros Auxiliares'!$E$8,4)</f>
        <v>3</v>
      </c>
      <c r="K15" s="121" cm="1">
        <f t="array" ref="K1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15" s="70" cm="1">
        <f t="array" ref="L15">INDEX(Desc_TabelaToda,TB_Vendas[[#This Row],[Índice Linha2]],TB_Vendas[[#This Row],[Índice Coluna2]])</f>
        <v>0.1</v>
      </c>
      <c r="M15" s="70" cm="1">
        <f t="array" ref="M15">INDEX(Desc_TabelaToda,TB_Vendas[[#This Row],[Índice Linha]],TB_Vendas[[#This Row],[Índice Coluna]])</f>
        <v>0.1</v>
      </c>
      <c r="N15" s="70" cm="1">
        <f t="array" ref="N15">INDEX(Desc_TabelaToda,MATCH(TB_Vendas[[#This Row],[Qtd]],Desc_Quantidades,1),MATCH(_xlfn.XLOOKUP(TB_Vendas[[#This Row],[Código]],TB_Produtos[[#All],[Código]],TB_Produtos[[#All],[Categoria]]),Desc_Categorias,0))</f>
        <v>0.1</v>
      </c>
      <c r="O15" s="70">
        <f>_xlfn.XLOOKUP(TB_Vendas[[#This Row],[Vendedor]],Vendedores!$A$4:$A$9,Vendedores!$D$4:$D$9)</f>
        <v>0.2</v>
      </c>
      <c r="P15" s="70">
        <f>IF(TB_Vendas[[#This Row],[Desc. Vend.]]&gt;TB_Vendas[[#This Row],[Desc.]],TB_Vendas[[#This Row],[Desc.]],TB_Vendas[[#This Row],[Desc. Vend.]])</f>
        <v>0.1</v>
      </c>
      <c r="Q15" s="8">
        <f>TB_Vendas[[#This Row],[Preço Unitário]]*TB_Vendas[[#This Row],[Qtd]]</f>
        <v>142.9</v>
      </c>
      <c r="R15" s="1" t="s">
        <v>129</v>
      </c>
    </row>
    <row r="16" spans="1:18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 cm="1">
        <f t="array" ref="E16">_xlfn.XLOOKUP(TB_Vendas[[#This Row],[Código]],TB_Produtos[[#All],[Código]],TB_Produtos[[#All],[Categoria]])</f>
        <v>Vestuário</v>
      </c>
      <c r="F16" s="10">
        <f>MATCH(TB_Vendas[[#This Row],[Categoria]],Desc_Categorias,0)</f>
        <v>3</v>
      </c>
      <c r="G16" s="1">
        <v>1</v>
      </c>
      <c r="H16" s="1">
        <f>MATCH(TB_Vendas[[#This Row],[Qtd]],Desc_Quantidades,1)</f>
        <v>2</v>
      </c>
      <c r="I16" s="29">
        <f>VLOOKUP(TB_Vendas[[#This Row],[Código]],Produtos!$B$6:$G$66,6,0)</f>
        <v>300</v>
      </c>
      <c r="J16" s="121" cm="1">
        <f t="array" ref="J16">_xlfn.IFS(TB_Vendas[[#This Row],[Categoria]]='Cadastros Auxiliares'!$C$8,2,TB_Vendas[[#This Row],[Categoria]]='Cadastros Auxiliares'!$D$8,3,TB_Vendas[[#This Row],[Categoria]]='Cadastros Auxiliares'!$E$8,4)</f>
        <v>3</v>
      </c>
      <c r="K16" s="121" cm="1">
        <f t="array" ref="K1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16" s="70" cm="1">
        <f t="array" ref="L16">INDEX(Desc_TabelaToda,TB_Vendas[[#This Row],[Índice Linha2]],TB_Vendas[[#This Row],[Índice Coluna2]])</f>
        <v>0.1</v>
      </c>
      <c r="M16" s="70" cm="1">
        <f t="array" ref="M16">INDEX(Desc_TabelaToda,TB_Vendas[[#This Row],[Índice Linha]],TB_Vendas[[#This Row],[Índice Coluna]])</f>
        <v>0.1</v>
      </c>
      <c r="N16" s="70" cm="1">
        <f t="array" ref="N16">INDEX(Desc_TabelaToda,MATCH(TB_Vendas[[#This Row],[Qtd]],Desc_Quantidades,1),MATCH(_xlfn.XLOOKUP(TB_Vendas[[#This Row],[Código]],TB_Produtos[[#All],[Código]],TB_Produtos[[#All],[Categoria]]),Desc_Categorias,0))</f>
        <v>0.1</v>
      </c>
      <c r="O16" s="70">
        <f>_xlfn.XLOOKUP(TB_Vendas[[#This Row],[Vendedor]],Vendedores!$A$4:$A$9,Vendedores!$D$4:$D$9)</f>
        <v>0.1</v>
      </c>
      <c r="P16" s="70">
        <f>IF(TB_Vendas[[#This Row],[Desc. Vend.]]&gt;TB_Vendas[[#This Row],[Desc.]],TB_Vendas[[#This Row],[Desc.]],TB_Vendas[[#This Row],[Desc. Vend.]])</f>
        <v>0.1</v>
      </c>
      <c r="Q16" s="8">
        <f>TB_Vendas[[#This Row],[Preço Unitário]]*TB_Vendas[[#This Row],[Qtd]]</f>
        <v>300</v>
      </c>
      <c r="R16" s="1" t="s">
        <v>128</v>
      </c>
    </row>
    <row r="17" spans="1:18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 cm="1">
        <f t="array" ref="E17">_xlfn.XLOOKUP(TB_Vendas[[#This Row],[Código]],TB_Produtos[[#All],[Código]],TB_Produtos[[#All],[Categoria]])</f>
        <v>Vestuário</v>
      </c>
      <c r="F17" s="10">
        <f>MATCH(TB_Vendas[[#This Row],[Categoria]],Desc_Categorias,0)</f>
        <v>3</v>
      </c>
      <c r="G17" s="1">
        <v>2</v>
      </c>
      <c r="H17" s="1">
        <f>MATCH(TB_Vendas[[#This Row],[Qtd]],Desc_Quantidades,1)</f>
        <v>3</v>
      </c>
      <c r="I17" s="29">
        <f>VLOOKUP(TB_Vendas[[#This Row],[Código]],Produtos!$B$6:$G$66,6,0)</f>
        <v>289.89999999999998</v>
      </c>
      <c r="J17" s="121" cm="1">
        <f t="array" ref="J17">_xlfn.IFS(TB_Vendas[[#This Row],[Categoria]]='Cadastros Auxiliares'!$C$8,2,TB_Vendas[[#This Row],[Categoria]]='Cadastros Auxiliares'!$D$8,3,TB_Vendas[[#This Row],[Categoria]]='Cadastros Auxiliares'!$E$8,4)</f>
        <v>3</v>
      </c>
      <c r="K17" s="121" cm="1">
        <f t="array" ref="K1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17" s="70" cm="1">
        <f t="array" ref="L17">INDEX(Desc_TabelaToda,TB_Vendas[[#This Row],[Índice Linha2]],TB_Vendas[[#This Row],[Índice Coluna2]])</f>
        <v>0.15</v>
      </c>
      <c r="M17" s="70" cm="1">
        <f t="array" ref="M17">INDEX(Desc_TabelaToda,TB_Vendas[[#This Row],[Índice Linha]],TB_Vendas[[#This Row],[Índice Coluna]])</f>
        <v>0.15</v>
      </c>
      <c r="N17" s="70" cm="1">
        <f t="array" ref="N17">INDEX(Desc_TabelaToda,MATCH(TB_Vendas[[#This Row],[Qtd]],Desc_Quantidades,1),MATCH(_xlfn.XLOOKUP(TB_Vendas[[#This Row],[Código]],TB_Produtos[[#All],[Código]],TB_Produtos[[#All],[Categoria]]),Desc_Categorias,0))</f>
        <v>0.15</v>
      </c>
      <c r="O17" s="70">
        <f>_xlfn.XLOOKUP(TB_Vendas[[#This Row],[Vendedor]],Vendedores!$A$4:$A$9,Vendedores!$D$4:$D$9)</f>
        <v>0.2</v>
      </c>
      <c r="P17" s="70">
        <f>IF(TB_Vendas[[#This Row],[Desc. Vend.]]&gt;TB_Vendas[[#This Row],[Desc.]],TB_Vendas[[#This Row],[Desc.]],TB_Vendas[[#This Row],[Desc. Vend.]])</f>
        <v>0.15</v>
      </c>
      <c r="Q17" s="8">
        <f>TB_Vendas[[#This Row],[Preço Unitário]]*TB_Vendas[[#This Row],[Qtd]]</f>
        <v>579.79999999999995</v>
      </c>
      <c r="R17" s="1" t="s">
        <v>129</v>
      </c>
    </row>
    <row r="18" spans="1:18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 cm="1">
        <f t="array" ref="E18">_xlfn.XLOOKUP(TB_Vendas[[#This Row],[Código]],TB_Produtos[[#All],[Código]],TB_Produtos[[#All],[Categoria]])</f>
        <v>Calçado</v>
      </c>
      <c r="F18" s="10">
        <f>MATCH(TB_Vendas[[#This Row],[Categoria]],Desc_Categorias,0)</f>
        <v>4</v>
      </c>
      <c r="G18" s="1">
        <v>1</v>
      </c>
      <c r="H18" s="1">
        <f>MATCH(TB_Vendas[[#This Row],[Qtd]],Desc_Quantidades,1)</f>
        <v>2</v>
      </c>
      <c r="I18" s="29">
        <f>VLOOKUP(TB_Vendas[[#This Row],[Código]],Produtos!$B$6:$G$66,6,0)</f>
        <v>249.9</v>
      </c>
      <c r="J18" s="121" cm="1">
        <f t="array" ref="J18">_xlfn.IFS(TB_Vendas[[#This Row],[Categoria]]='Cadastros Auxiliares'!$C$8,2,TB_Vendas[[#This Row],[Categoria]]='Cadastros Auxiliares'!$D$8,3,TB_Vendas[[#This Row],[Categoria]]='Cadastros Auxiliares'!$E$8,4)</f>
        <v>4</v>
      </c>
      <c r="K18" s="121" cm="1">
        <f t="array" ref="K1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18" s="70" cm="1">
        <f t="array" ref="L18">INDEX(Desc_TabelaToda,TB_Vendas[[#This Row],[Índice Linha2]],TB_Vendas[[#This Row],[Índice Coluna2]])</f>
        <v>0</v>
      </c>
      <c r="M18" s="70" cm="1">
        <f t="array" ref="M18">INDEX(Desc_TabelaToda,TB_Vendas[[#This Row],[Índice Linha]],TB_Vendas[[#This Row],[Índice Coluna]])</f>
        <v>0</v>
      </c>
      <c r="N18" s="70" cm="1">
        <f t="array" ref="N18">INDEX(Desc_TabelaToda,MATCH(TB_Vendas[[#This Row],[Qtd]],Desc_Quantidades,1),MATCH(_xlfn.XLOOKUP(TB_Vendas[[#This Row],[Código]],TB_Produtos[[#All],[Código]],TB_Produtos[[#All],[Categoria]]),Desc_Categorias,0))</f>
        <v>0</v>
      </c>
      <c r="O18" s="70">
        <f>_xlfn.XLOOKUP(TB_Vendas[[#This Row],[Vendedor]],Vendedores!$A$4:$A$9,Vendedores!$D$4:$D$9)</f>
        <v>0.2</v>
      </c>
      <c r="P18" s="70">
        <f>IF(TB_Vendas[[#This Row],[Desc. Vend.]]&gt;TB_Vendas[[#This Row],[Desc.]],TB_Vendas[[#This Row],[Desc.]],TB_Vendas[[#This Row],[Desc. Vend.]])</f>
        <v>0</v>
      </c>
      <c r="Q18" s="8">
        <f>TB_Vendas[[#This Row],[Preço Unitário]]*TB_Vendas[[#This Row],[Qtd]]</f>
        <v>249.9</v>
      </c>
      <c r="R18" s="1" t="s">
        <v>129</v>
      </c>
    </row>
    <row r="19" spans="1:18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 cm="1">
        <f t="array" ref="E19">_xlfn.XLOOKUP(TB_Vendas[[#This Row],[Código]],TB_Produtos[[#All],[Código]],TB_Produtos[[#All],[Categoria]])</f>
        <v>Vestuário</v>
      </c>
      <c r="F19" s="10">
        <f>MATCH(TB_Vendas[[#This Row],[Categoria]],Desc_Categorias,0)</f>
        <v>3</v>
      </c>
      <c r="G19" s="1">
        <v>2</v>
      </c>
      <c r="H19" s="1">
        <f>MATCH(TB_Vendas[[#This Row],[Qtd]],Desc_Quantidades,1)</f>
        <v>3</v>
      </c>
      <c r="I19" s="29">
        <f>VLOOKUP(TB_Vendas[[#This Row],[Código]],Produtos!$B$6:$G$66,6,0)</f>
        <v>39.9</v>
      </c>
      <c r="J19" s="121" cm="1">
        <f t="array" ref="J19">_xlfn.IFS(TB_Vendas[[#This Row],[Categoria]]='Cadastros Auxiliares'!$C$8,2,TB_Vendas[[#This Row],[Categoria]]='Cadastros Auxiliares'!$D$8,3,TB_Vendas[[#This Row],[Categoria]]='Cadastros Auxiliares'!$E$8,4)</f>
        <v>3</v>
      </c>
      <c r="K19" s="121" cm="1">
        <f t="array" ref="K1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19" s="70" cm="1">
        <f t="array" ref="L19">INDEX(Desc_TabelaToda,TB_Vendas[[#This Row],[Índice Linha2]],TB_Vendas[[#This Row],[Índice Coluna2]])</f>
        <v>0.15</v>
      </c>
      <c r="M19" s="70" cm="1">
        <f t="array" ref="M19">INDEX(Desc_TabelaToda,TB_Vendas[[#This Row],[Índice Linha]],TB_Vendas[[#This Row],[Índice Coluna]])</f>
        <v>0.15</v>
      </c>
      <c r="N19" s="70" cm="1">
        <f t="array" ref="N19">INDEX(Desc_TabelaToda,MATCH(TB_Vendas[[#This Row],[Qtd]],Desc_Quantidades,1),MATCH(_xlfn.XLOOKUP(TB_Vendas[[#This Row],[Código]],TB_Produtos[[#All],[Código]],TB_Produtos[[#All],[Categoria]]),Desc_Categorias,0))</f>
        <v>0.15</v>
      </c>
      <c r="O19" s="70">
        <f>_xlfn.XLOOKUP(TB_Vendas[[#This Row],[Vendedor]],Vendedores!$A$4:$A$9,Vendedores!$D$4:$D$9)</f>
        <v>0.2</v>
      </c>
      <c r="P19" s="70">
        <f>IF(TB_Vendas[[#This Row],[Desc. Vend.]]&gt;TB_Vendas[[#This Row],[Desc.]],TB_Vendas[[#This Row],[Desc.]],TB_Vendas[[#This Row],[Desc. Vend.]])</f>
        <v>0.15</v>
      </c>
      <c r="Q19" s="8">
        <f>TB_Vendas[[#This Row],[Preço Unitário]]*TB_Vendas[[#This Row],[Qtd]]</f>
        <v>79.8</v>
      </c>
      <c r="R19" s="1" t="s">
        <v>129</v>
      </c>
    </row>
    <row r="20" spans="1:18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 cm="1">
        <f t="array" ref="E20">_xlfn.XLOOKUP(TB_Vendas[[#This Row],[Código]],TB_Produtos[[#All],[Código]],TB_Produtos[[#All],[Categoria]])</f>
        <v>Vestuário</v>
      </c>
      <c r="F20" s="10">
        <f>MATCH(TB_Vendas[[#This Row],[Categoria]],Desc_Categorias,0)</f>
        <v>3</v>
      </c>
      <c r="G20" s="1">
        <v>4</v>
      </c>
      <c r="H20" s="1">
        <f>MATCH(TB_Vendas[[#This Row],[Qtd]],Desc_Quantidades,1)</f>
        <v>4</v>
      </c>
      <c r="I20" s="29">
        <f>VLOOKUP(TB_Vendas[[#This Row],[Código]],Produtos!$B$6:$G$66,6,0)</f>
        <v>289.89999999999998</v>
      </c>
      <c r="J20" s="121" cm="1">
        <f t="array" ref="J20">_xlfn.IFS(TB_Vendas[[#This Row],[Categoria]]='Cadastros Auxiliares'!$C$8,2,TB_Vendas[[#This Row],[Categoria]]='Cadastros Auxiliares'!$D$8,3,TB_Vendas[[#This Row],[Categoria]]='Cadastros Auxiliares'!$E$8,4)</f>
        <v>3</v>
      </c>
      <c r="K20" s="121" cm="1">
        <f t="array" ref="K2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20" s="70" cm="1">
        <f t="array" ref="L20">INDEX(Desc_TabelaToda,TB_Vendas[[#This Row],[Índice Linha2]],TB_Vendas[[#This Row],[Índice Coluna2]])</f>
        <v>0.2</v>
      </c>
      <c r="M20" s="70" cm="1">
        <f t="array" ref="M20">INDEX(Desc_TabelaToda,TB_Vendas[[#This Row],[Índice Linha]],TB_Vendas[[#This Row],[Índice Coluna]])</f>
        <v>0.2</v>
      </c>
      <c r="N20" s="70" cm="1">
        <f t="array" ref="N20">INDEX(Desc_TabelaToda,MATCH(TB_Vendas[[#This Row],[Qtd]],Desc_Quantidades,1),MATCH(_xlfn.XLOOKUP(TB_Vendas[[#This Row],[Código]],TB_Produtos[[#All],[Código]],TB_Produtos[[#All],[Categoria]]),Desc_Categorias,0))</f>
        <v>0.2</v>
      </c>
      <c r="O20" s="70">
        <f>_xlfn.XLOOKUP(TB_Vendas[[#This Row],[Vendedor]],Vendedores!$A$4:$A$9,Vendedores!$D$4:$D$9)</f>
        <v>0.2</v>
      </c>
      <c r="P20" s="70">
        <f>IF(TB_Vendas[[#This Row],[Desc. Vend.]]&gt;TB_Vendas[[#This Row],[Desc.]],TB_Vendas[[#This Row],[Desc.]],TB_Vendas[[#This Row],[Desc. Vend.]])</f>
        <v>0.2</v>
      </c>
      <c r="Q20" s="8">
        <f>TB_Vendas[[#This Row],[Preço Unitário]]*TB_Vendas[[#This Row],[Qtd]]</f>
        <v>1159.5999999999999</v>
      </c>
      <c r="R20" s="1" t="s">
        <v>129</v>
      </c>
    </row>
    <row r="21" spans="1:18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 cm="1">
        <f t="array" ref="E21">_xlfn.XLOOKUP(TB_Vendas[[#This Row],[Código]],TB_Produtos[[#All],[Código]],TB_Produtos[[#All],[Categoria]])</f>
        <v>Vestuário</v>
      </c>
      <c r="F21" s="10">
        <f>MATCH(TB_Vendas[[#This Row],[Categoria]],Desc_Categorias,0)</f>
        <v>3</v>
      </c>
      <c r="G21" s="1">
        <v>3</v>
      </c>
      <c r="H21" s="1">
        <f>MATCH(TB_Vendas[[#This Row],[Qtd]],Desc_Quantidades,1)</f>
        <v>4</v>
      </c>
      <c r="I21" s="29">
        <f>VLOOKUP(TB_Vendas[[#This Row],[Código]],Produtos!$B$6:$G$66,6,0)</f>
        <v>180</v>
      </c>
      <c r="J21" s="121" cm="1">
        <f t="array" ref="J21">_xlfn.IFS(TB_Vendas[[#This Row],[Categoria]]='Cadastros Auxiliares'!$C$8,2,TB_Vendas[[#This Row],[Categoria]]='Cadastros Auxiliares'!$D$8,3,TB_Vendas[[#This Row],[Categoria]]='Cadastros Auxiliares'!$E$8,4)</f>
        <v>3</v>
      </c>
      <c r="K21" s="121" cm="1">
        <f t="array" ref="K2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21" s="70" cm="1">
        <f t="array" ref="L21">INDEX(Desc_TabelaToda,TB_Vendas[[#This Row],[Índice Linha2]],TB_Vendas[[#This Row],[Índice Coluna2]])</f>
        <v>0.2</v>
      </c>
      <c r="M21" s="70" cm="1">
        <f t="array" ref="M21">INDEX(Desc_TabelaToda,TB_Vendas[[#This Row],[Índice Linha]],TB_Vendas[[#This Row],[Índice Coluna]])</f>
        <v>0.2</v>
      </c>
      <c r="N21" s="70" cm="1">
        <f t="array" ref="N21">INDEX(Desc_TabelaToda,MATCH(TB_Vendas[[#This Row],[Qtd]],Desc_Quantidades,1),MATCH(_xlfn.XLOOKUP(TB_Vendas[[#This Row],[Código]],TB_Produtos[[#All],[Código]],TB_Produtos[[#All],[Categoria]]),Desc_Categorias,0))</f>
        <v>0.2</v>
      </c>
      <c r="O21" s="70">
        <f>_xlfn.XLOOKUP(TB_Vendas[[#This Row],[Vendedor]],Vendedores!$A$4:$A$9,Vendedores!$D$4:$D$9)</f>
        <v>0.25</v>
      </c>
      <c r="P21" s="70">
        <f>IF(TB_Vendas[[#This Row],[Desc. Vend.]]&gt;TB_Vendas[[#This Row],[Desc.]],TB_Vendas[[#This Row],[Desc.]],TB_Vendas[[#This Row],[Desc. Vend.]])</f>
        <v>0.2</v>
      </c>
      <c r="Q21" s="8">
        <f>TB_Vendas[[#This Row],[Preço Unitário]]*TB_Vendas[[#This Row],[Qtd]]</f>
        <v>540</v>
      </c>
      <c r="R21" s="1" t="s">
        <v>127</v>
      </c>
    </row>
    <row r="22" spans="1:18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 cm="1">
        <f t="array" ref="E22">_xlfn.XLOOKUP(TB_Vendas[[#This Row],[Código]],TB_Produtos[[#All],[Código]],TB_Produtos[[#All],[Categoria]])</f>
        <v>Vestuário</v>
      </c>
      <c r="F22" s="10">
        <f>MATCH(TB_Vendas[[#This Row],[Categoria]],Desc_Categorias,0)</f>
        <v>3</v>
      </c>
      <c r="G22" s="1">
        <v>2</v>
      </c>
      <c r="H22" s="1">
        <f>MATCH(TB_Vendas[[#This Row],[Qtd]],Desc_Quantidades,1)</f>
        <v>3</v>
      </c>
      <c r="I22" s="29">
        <f>VLOOKUP(TB_Vendas[[#This Row],[Código]],Produtos!$B$6:$G$66,6,0)</f>
        <v>32.9</v>
      </c>
      <c r="J22" s="121" cm="1">
        <f t="array" ref="J22">_xlfn.IFS(TB_Vendas[[#This Row],[Categoria]]='Cadastros Auxiliares'!$C$8,2,TB_Vendas[[#This Row],[Categoria]]='Cadastros Auxiliares'!$D$8,3,TB_Vendas[[#This Row],[Categoria]]='Cadastros Auxiliares'!$E$8,4)</f>
        <v>3</v>
      </c>
      <c r="K22" s="121" cm="1">
        <f t="array" ref="K2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22" s="70" cm="1">
        <f t="array" ref="L22">INDEX(Desc_TabelaToda,TB_Vendas[[#This Row],[Índice Linha2]],TB_Vendas[[#This Row],[Índice Coluna2]])</f>
        <v>0.15</v>
      </c>
      <c r="M22" s="70" cm="1">
        <f t="array" ref="M22">INDEX(Desc_TabelaToda,TB_Vendas[[#This Row],[Índice Linha]],TB_Vendas[[#This Row],[Índice Coluna]])</f>
        <v>0.15</v>
      </c>
      <c r="N22" s="70" cm="1">
        <f t="array" ref="N22">INDEX(Desc_TabelaToda,MATCH(TB_Vendas[[#This Row],[Qtd]],Desc_Quantidades,1),MATCH(_xlfn.XLOOKUP(TB_Vendas[[#This Row],[Código]],TB_Produtos[[#All],[Código]],TB_Produtos[[#All],[Categoria]]),Desc_Categorias,0))</f>
        <v>0.15</v>
      </c>
      <c r="O22" s="70">
        <f>_xlfn.XLOOKUP(TB_Vendas[[#This Row],[Vendedor]],Vendedores!$A$4:$A$9,Vendedores!$D$4:$D$9)</f>
        <v>0.2</v>
      </c>
      <c r="P22" s="70">
        <f>IF(TB_Vendas[[#This Row],[Desc. Vend.]]&gt;TB_Vendas[[#This Row],[Desc.]],TB_Vendas[[#This Row],[Desc.]],TB_Vendas[[#This Row],[Desc. Vend.]])</f>
        <v>0.15</v>
      </c>
      <c r="Q22" s="8">
        <f>TB_Vendas[[#This Row],[Preço Unitário]]*TB_Vendas[[#This Row],[Qtd]]</f>
        <v>65.8</v>
      </c>
      <c r="R22" s="1" t="s">
        <v>126</v>
      </c>
    </row>
    <row r="23" spans="1:18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 cm="1">
        <f t="array" ref="E23">_xlfn.XLOOKUP(TB_Vendas[[#This Row],[Código]],TB_Produtos[[#All],[Código]],TB_Produtos[[#All],[Categoria]])</f>
        <v>Calçado</v>
      </c>
      <c r="F23" s="10">
        <f>MATCH(TB_Vendas[[#This Row],[Categoria]],Desc_Categorias,0)</f>
        <v>4</v>
      </c>
      <c r="G23" s="1">
        <v>3</v>
      </c>
      <c r="H23" s="1">
        <f>MATCH(TB_Vendas[[#This Row],[Qtd]],Desc_Quantidades,1)</f>
        <v>4</v>
      </c>
      <c r="I23" s="29">
        <f>VLOOKUP(TB_Vendas[[#This Row],[Código]],Produtos!$B$6:$G$66,6,0)</f>
        <v>255</v>
      </c>
      <c r="J23" s="121" cm="1">
        <f t="array" ref="J23">_xlfn.IFS(TB_Vendas[[#This Row],[Categoria]]='Cadastros Auxiliares'!$C$8,2,TB_Vendas[[#This Row],[Categoria]]='Cadastros Auxiliares'!$D$8,3,TB_Vendas[[#This Row],[Categoria]]='Cadastros Auxiliares'!$E$8,4)</f>
        <v>4</v>
      </c>
      <c r="K23" s="121" cm="1">
        <f t="array" ref="K2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23" s="70" cm="1">
        <f t="array" ref="L23">INDEX(Desc_TabelaToda,TB_Vendas[[#This Row],[Índice Linha2]],TB_Vendas[[#This Row],[Índice Coluna2]])</f>
        <v>0.15</v>
      </c>
      <c r="M23" s="70" cm="1">
        <f t="array" ref="M23">INDEX(Desc_TabelaToda,TB_Vendas[[#This Row],[Índice Linha]],TB_Vendas[[#This Row],[Índice Coluna]])</f>
        <v>0.15</v>
      </c>
      <c r="N23" s="70" cm="1">
        <f t="array" ref="N23">INDEX(Desc_TabelaToda,MATCH(TB_Vendas[[#This Row],[Qtd]],Desc_Quantidades,1),MATCH(_xlfn.XLOOKUP(TB_Vendas[[#This Row],[Código]],TB_Produtos[[#All],[Código]],TB_Produtos[[#All],[Categoria]]),Desc_Categorias,0))</f>
        <v>0.15</v>
      </c>
      <c r="O23" s="70">
        <f>_xlfn.XLOOKUP(TB_Vendas[[#This Row],[Vendedor]],Vendedores!$A$4:$A$9,Vendedores!$D$4:$D$9)</f>
        <v>0.2</v>
      </c>
      <c r="P23" s="70">
        <f>IF(TB_Vendas[[#This Row],[Desc. Vend.]]&gt;TB_Vendas[[#This Row],[Desc.]],TB_Vendas[[#This Row],[Desc.]],TB_Vendas[[#This Row],[Desc. Vend.]])</f>
        <v>0.15</v>
      </c>
      <c r="Q23" s="8">
        <f>TB_Vendas[[#This Row],[Preço Unitário]]*TB_Vendas[[#This Row],[Qtd]]</f>
        <v>765</v>
      </c>
      <c r="R23" s="1" t="s">
        <v>129</v>
      </c>
    </row>
    <row r="24" spans="1:18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 cm="1">
        <f t="array" ref="E24">_xlfn.XLOOKUP(TB_Vendas[[#This Row],[Código]],TB_Produtos[[#All],[Código]],TB_Produtos[[#All],[Categoria]])</f>
        <v>Vestuário</v>
      </c>
      <c r="F24" s="10">
        <f>MATCH(TB_Vendas[[#This Row],[Categoria]],Desc_Categorias,0)</f>
        <v>3</v>
      </c>
      <c r="G24" s="1">
        <v>1</v>
      </c>
      <c r="H24" s="1">
        <f>MATCH(TB_Vendas[[#This Row],[Qtd]],Desc_Quantidades,1)</f>
        <v>2</v>
      </c>
      <c r="I24" s="29">
        <f>VLOOKUP(TB_Vendas[[#This Row],[Código]],Produtos!$B$6:$G$66,6,0)</f>
        <v>142.9</v>
      </c>
      <c r="J24" s="121" cm="1">
        <f t="array" ref="J24">_xlfn.IFS(TB_Vendas[[#This Row],[Categoria]]='Cadastros Auxiliares'!$C$8,2,TB_Vendas[[#This Row],[Categoria]]='Cadastros Auxiliares'!$D$8,3,TB_Vendas[[#This Row],[Categoria]]='Cadastros Auxiliares'!$E$8,4)</f>
        <v>3</v>
      </c>
      <c r="K24" s="121" cm="1">
        <f t="array" ref="K2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24" s="70" cm="1">
        <f t="array" ref="L24">INDEX(Desc_TabelaToda,TB_Vendas[[#This Row],[Índice Linha2]],TB_Vendas[[#This Row],[Índice Coluna2]])</f>
        <v>0.1</v>
      </c>
      <c r="M24" s="70" cm="1">
        <f t="array" ref="M24">INDEX(Desc_TabelaToda,TB_Vendas[[#This Row],[Índice Linha]],TB_Vendas[[#This Row],[Índice Coluna]])</f>
        <v>0.1</v>
      </c>
      <c r="N24" s="70" cm="1">
        <f t="array" ref="N24">INDEX(Desc_TabelaToda,MATCH(TB_Vendas[[#This Row],[Qtd]],Desc_Quantidades,1),MATCH(_xlfn.XLOOKUP(TB_Vendas[[#This Row],[Código]],TB_Produtos[[#All],[Código]],TB_Produtos[[#All],[Categoria]]),Desc_Categorias,0))</f>
        <v>0.1</v>
      </c>
      <c r="O24" s="70">
        <f>_xlfn.XLOOKUP(TB_Vendas[[#This Row],[Vendedor]],Vendedores!$A$4:$A$9,Vendedores!$D$4:$D$9)</f>
        <v>0.2</v>
      </c>
      <c r="P24" s="70">
        <f>IF(TB_Vendas[[#This Row],[Desc. Vend.]]&gt;TB_Vendas[[#This Row],[Desc.]],TB_Vendas[[#This Row],[Desc.]],TB_Vendas[[#This Row],[Desc. Vend.]])</f>
        <v>0.1</v>
      </c>
      <c r="Q24" s="8">
        <f>TB_Vendas[[#This Row],[Preço Unitário]]*TB_Vendas[[#This Row],[Qtd]]</f>
        <v>142.9</v>
      </c>
      <c r="R24" s="1" t="s">
        <v>126</v>
      </c>
    </row>
    <row r="25" spans="1:18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 cm="1">
        <f t="array" ref="E25">_xlfn.XLOOKUP(TB_Vendas[[#This Row],[Código]],TB_Produtos[[#All],[Código]],TB_Produtos[[#All],[Categoria]])</f>
        <v>Vestuário</v>
      </c>
      <c r="F25" s="10">
        <f>MATCH(TB_Vendas[[#This Row],[Categoria]],Desc_Categorias,0)</f>
        <v>3</v>
      </c>
      <c r="G25" s="1">
        <v>4</v>
      </c>
      <c r="H25" s="1">
        <f>MATCH(TB_Vendas[[#This Row],[Qtd]],Desc_Quantidades,1)</f>
        <v>4</v>
      </c>
      <c r="I25" s="29">
        <f>VLOOKUP(TB_Vendas[[#This Row],[Código]],Produtos!$B$6:$G$66,6,0)</f>
        <v>92.9</v>
      </c>
      <c r="J25" s="121" cm="1">
        <f t="array" ref="J25">_xlfn.IFS(TB_Vendas[[#This Row],[Categoria]]='Cadastros Auxiliares'!$C$8,2,TB_Vendas[[#This Row],[Categoria]]='Cadastros Auxiliares'!$D$8,3,TB_Vendas[[#This Row],[Categoria]]='Cadastros Auxiliares'!$E$8,4)</f>
        <v>3</v>
      </c>
      <c r="K25" s="121" cm="1">
        <f t="array" ref="K2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25" s="70" cm="1">
        <f t="array" ref="L25">INDEX(Desc_TabelaToda,TB_Vendas[[#This Row],[Índice Linha2]],TB_Vendas[[#This Row],[Índice Coluna2]])</f>
        <v>0.2</v>
      </c>
      <c r="M25" s="70" cm="1">
        <f t="array" ref="M25">INDEX(Desc_TabelaToda,TB_Vendas[[#This Row],[Índice Linha]],TB_Vendas[[#This Row],[Índice Coluna]])</f>
        <v>0.2</v>
      </c>
      <c r="N25" s="70" cm="1">
        <f t="array" ref="N25">INDEX(Desc_TabelaToda,MATCH(TB_Vendas[[#This Row],[Qtd]],Desc_Quantidades,1),MATCH(_xlfn.XLOOKUP(TB_Vendas[[#This Row],[Código]],TB_Produtos[[#All],[Código]],TB_Produtos[[#All],[Categoria]]),Desc_Categorias,0))</f>
        <v>0.2</v>
      </c>
      <c r="O25" s="70">
        <f>_xlfn.XLOOKUP(TB_Vendas[[#This Row],[Vendedor]],Vendedores!$A$4:$A$9,Vendedores!$D$4:$D$9)</f>
        <v>0.1</v>
      </c>
      <c r="P25" s="70">
        <f>IF(TB_Vendas[[#This Row],[Desc. Vend.]]&gt;TB_Vendas[[#This Row],[Desc.]],TB_Vendas[[#This Row],[Desc.]],TB_Vendas[[#This Row],[Desc. Vend.]])</f>
        <v>0.1</v>
      </c>
      <c r="Q25" s="8">
        <f>TB_Vendas[[#This Row],[Preço Unitário]]*TB_Vendas[[#This Row],[Qtd]]</f>
        <v>371.6</v>
      </c>
      <c r="R25" s="1" t="s">
        <v>128</v>
      </c>
    </row>
    <row r="26" spans="1:18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 cm="1">
        <f t="array" ref="E26">_xlfn.XLOOKUP(TB_Vendas[[#This Row],[Código]],TB_Produtos[[#All],[Código]],TB_Produtos[[#All],[Categoria]])</f>
        <v>Vestuário</v>
      </c>
      <c r="F26" s="10">
        <f>MATCH(TB_Vendas[[#This Row],[Categoria]],Desc_Categorias,0)</f>
        <v>3</v>
      </c>
      <c r="G26" s="1">
        <v>2</v>
      </c>
      <c r="H26" s="1">
        <f>MATCH(TB_Vendas[[#This Row],[Qtd]],Desc_Quantidades,1)</f>
        <v>3</v>
      </c>
      <c r="I26" s="29">
        <f>VLOOKUP(TB_Vendas[[#This Row],[Código]],Produtos!$B$6:$G$66,6,0)</f>
        <v>54.9</v>
      </c>
      <c r="J26" s="121" cm="1">
        <f t="array" ref="J26">_xlfn.IFS(TB_Vendas[[#This Row],[Categoria]]='Cadastros Auxiliares'!$C$8,2,TB_Vendas[[#This Row],[Categoria]]='Cadastros Auxiliares'!$D$8,3,TB_Vendas[[#This Row],[Categoria]]='Cadastros Auxiliares'!$E$8,4)</f>
        <v>3</v>
      </c>
      <c r="K26" s="121" cm="1">
        <f t="array" ref="K2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26" s="70" cm="1">
        <f t="array" ref="L26">INDEX(Desc_TabelaToda,TB_Vendas[[#This Row],[Índice Linha2]],TB_Vendas[[#This Row],[Índice Coluna2]])</f>
        <v>0.15</v>
      </c>
      <c r="M26" s="70" cm="1">
        <f t="array" ref="M26">INDEX(Desc_TabelaToda,TB_Vendas[[#This Row],[Índice Linha]],TB_Vendas[[#This Row],[Índice Coluna]])</f>
        <v>0.15</v>
      </c>
      <c r="N26" s="70" cm="1">
        <f t="array" ref="N26">INDEX(Desc_TabelaToda,MATCH(TB_Vendas[[#This Row],[Qtd]],Desc_Quantidades,1),MATCH(_xlfn.XLOOKUP(TB_Vendas[[#This Row],[Código]],TB_Produtos[[#All],[Código]],TB_Produtos[[#All],[Categoria]]),Desc_Categorias,0))</f>
        <v>0.15</v>
      </c>
      <c r="O26" s="70">
        <f>_xlfn.XLOOKUP(TB_Vendas[[#This Row],[Vendedor]],Vendedores!$A$4:$A$9,Vendedores!$D$4:$D$9)</f>
        <v>0.2</v>
      </c>
      <c r="P26" s="70">
        <f>IF(TB_Vendas[[#This Row],[Desc. Vend.]]&gt;TB_Vendas[[#This Row],[Desc.]],TB_Vendas[[#This Row],[Desc.]],TB_Vendas[[#This Row],[Desc. Vend.]])</f>
        <v>0.15</v>
      </c>
      <c r="Q26" s="8">
        <f>TB_Vendas[[#This Row],[Preço Unitário]]*TB_Vendas[[#This Row],[Qtd]]</f>
        <v>109.8</v>
      </c>
      <c r="R26" s="1" t="s">
        <v>126</v>
      </c>
    </row>
    <row r="27" spans="1:18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 cm="1">
        <f t="array" ref="E27">_xlfn.XLOOKUP(TB_Vendas[[#This Row],[Código]],TB_Produtos[[#All],[Código]],TB_Produtos[[#All],[Categoria]])</f>
        <v>Vestuário</v>
      </c>
      <c r="F27" s="10">
        <f>MATCH(TB_Vendas[[#This Row],[Categoria]],Desc_Categorias,0)</f>
        <v>3</v>
      </c>
      <c r="G27" s="1">
        <v>3</v>
      </c>
      <c r="H27" s="1">
        <f>MATCH(TB_Vendas[[#This Row],[Qtd]],Desc_Quantidades,1)</f>
        <v>4</v>
      </c>
      <c r="I27" s="29">
        <f>VLOOKUP(TB_Vendas[[#This Row],[Código]],Produtos!$B$6:$G$66,6,0)</f>
        <v>142.9</v>
      </c>
      <c r="J27" s="121" cm="1">
        <f t="array" ref="J27">_xlfn.IFS(TB_Vendas[[#This Row],[Categoria]]='Cadastros Auxiliares'!$C$8,2,TB_Vendas[[#This Row],[Categoria]]='Cadastros Auxiliares'!$D$8,3,TB_Vendas[[#This Row],[Categoria]]='Cadastros Auxiliares'!$E$8,4)</f>
        <v>3</v>
      </c>
      <c r="K27" s="121" cm="1">
        <f t="array" ref="K2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27" s="70" cm="1">
        <f t="array" ref="L27">INDEX(Desc_TabelaToda,TB_Vendas[[#This Row],[Índice Linha2]],TB_Vendas[[#This Row],[Índice Coluna2]])</f>
        <v>0.2</v>
      </c>
      <c r="M27" s="70" cm="1">
        <f t="array" ref="M27">INDEX(Desc_TabelaToda,TB_Vendas[[#This Row],[Índice Linha]],TB_Vendas[[#This Row],[Índice Coluna]])</f>
        <v>0.2</v>
      </c>
      <c r="N27" s="70" cm="1">
        <f t="array" ref="N27">INDEX(Desc_TabelaToda,MATCH(TB_Vendas[[#This Row],[Qtd]],Desc_Quantidades,1),MATCH(_xlfn.XLOOKUP(TB_Vendas[[#This Row],[Código]],TB_Produtos[[#All],[Código]],TB_Produtos[[#All],[Categoria]]),Desc_Categorias,0))</f>
        <v>0.2</v>
      </c>
      <c r="O27" s="70">
        <f>_xlfn.XLOOKUP(TB_Vendas[[#This Row],[Vendedor]],Vendedores!$A$4:$A$9,Vendedores!$D$4:$D$9)</f>
        <v>0.25</v>
      </c>
      <c r="P27" s="70">
        <f>IF(TB_Vendas[[#This Row],[Desc. Vend.]]&gt;TB_Vendas[[#This Row],[Desc.]],TB_Vendas[[#This Row],[Desc.]],TB_Vendas[[#This Row],[Desc. Vend.]])</f>
        <v>0.2</v>
      </c>
      <c r="Q27" s="8">
        <f>TB_Vendas[[#This Row],[Preço Unitário]]*TB_Vendas[[#This Row],[Qtd]]</f>
        <v>428.70000000000005</v>
      </c>
      <c r="R27" s="1" t="s">
        <v>127</v>
      </c>
    </row>
    <row r="28" spans="1:18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 cm="1">
        <f t="array" ref="E28">_xlfn.XLOOKUP(TB_Vendas[[#This Row],[Código]],TB_Produtos[[#All],[Código]],TB_Produtos[[#All],[Categoria]])</f>
        <v>Acessórios</v>
      </c>
      <c r="F28" s="10">
        <f>MATCH(TB_Vendas[[#This Row],[Categoria]],Desc_Categorias,0)</f>
        <v>2</v>
      </c>
      <c r="G28" s="1">
        <v>2</v>
      </c>
      <c r="H28" s="1">
        <f>MATCH(TB_Vendas[[#This Row],[Qtd]],Desc_Quantidades,1)</f>
        <v>3</v>
      </c>
      <c r="I28" s="29">
        <f>VLOOKUP(TB_Vendas[[#This Row],[Código]],Produtos!$B$6:$G$66,6,0)</f>
        <v>120</v>
      </c>
      <c r="J28" s="121" cm="1">
        <f t="array" ref="J28">_xlfn.IFS(TB_Vendas[[#This Row],[Categoria]]='Cadastros Auxiliares'!$C$8,2,TB_Vendas[[#This Row],[Categoria]]='Cadastros Auxiliares'!$D$8,3,TB_Vendas[[#This Row],[Categoria]]='Cadastros Auxiliares'!$E$8,4)</f>
        <v>2</v>
      </c>
      <c r="K28" s="121" cm="1">
        <f t="array" ref="K2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28" s="70" cm="1">
        <f t="array" ref="L28">INDEX(Desc_TabelaToda,TB_Vendas[[#This Row],[Índice Linha2]],TB_Vendas[[#This Row],[Índice Coluna2]])</f>
        <v>0.05</v>
      </c>
      <c r="M28" s="70" cm="1">
        <f t="array" ref="M28">INDEX(Desc_TabelaToda,TB_Vendas[[#This Row],[Índice Linha]],TB_Vendas[[#This Row],[Índice Coluna]])</f>
        <v>0.05</v>
      </c>
      <c r="N28" s="70" cm="1">
        <f t="array" ref="N28">INDEX(Desc_TabelaToda,MATCH(TB_Vendas[[#This Row],[Qtd]],Desc_Quantidades,1),MATCH(_xlfn.XLOOKUP(TB_Vendas[[#This Row],[Código]],TB_Produtos[[#All],[Código]],TB_Produtos[[#All],[Categoria]]),Desc_Categorias,0))</f>
        <v>0.05</v>
      </c>
      <c r="O28" s="70">
        <f>_xlfn.XLOOKUP(TB_Vendas[[#This Row],[Vendedor]],Vendedores!$A$4:$A$9,Vendedores!$D$4:$D$9)</f>
        <v>0.25</v>
      </c>
      <c r="P28" s="70">
        <f>IF(TB_Vendas[[#This Row],[Desc. Vend.]]&gt;TB_Vendas[[#This Row],[Desc.]],TB_Vendas[[#This Row],[Desc.]],TB_Vendas[[#This Row],[Desc. Vend.]])</f>
        <v>0.05</v>
      </c>
      <c r="Q28" s="8">
        <f>TB_Vendas[[#This Row],[Preço Unitário]]*TB_Vendas[[#This Row],[Qtd]]</f>
        <v>240</v>
      </c>
      <c r="R28" s="1" t="s">
        <v>127</v>
      </c>
    </row>
    <row r="29" spans="1:18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 cm="1">
        <f t="array" ref="E29">_xlfn.XLOOKUP(TB_Vendas[[#This Row],[Código]],TB_Produtos[[#All],[Código]],TB_Produtos[[#All],[Categoria]])</f>
        <v>Vestuário</v>
      </c>
      <c r="F29" s="10">
        <f>MATCH(TB_Vendas[[#This Row],[Categoria]],Desc_Categorias,0)</f>
        <v>3</v>
      </c>
      <c r="G29" s="1">
        <v>1</v>
      </c>
      <c r="H29" s="1">
        <f>MATCH(TB_Vendas[[#This Row],[Qtd]],Desc_Quantidades,1)</f>
        <v>2</v>
      </c>
      <c r="I29" s="29">
        <f>VLOOKUP(TB_Vendas[[#This Row],[Código]],Produtos!$B$6:$G$66,6,0)</f>
        <v>65.900000000000006</v>
      </c>
      <c r="J29" s="121" cm="1">
        <f t="array" ref="J29">_xlfn.IFS(TB_Vendas[[#This Row],[Categoria]]='Cadastros Auxiliares'!$C$8,2,TB_Vendas[[#This Row],[Categoria]]='Cadastros Auxiliares'!$D$8,3,TB_Vendas[[#This Row],[Categoria]]='Cadastros Auxiliares'!$E$8,4)</f>
        <v>3</v>
      </c>
      <c r="K29" s="121" cm="1">
        <f t="array" ref="K2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29" s="70" cm="1">
        <f t="array" ref="L29">INDEX(Desc_TabelaToda,TB_Vendas[[#This Row],[Índice Linha2]],TB_Vendas[[#This Row],[Índice Coluna2]])</f>
        <v>0.1</v>
      </c>
      <c r="M29" s="70" cm="1">
        <f t="array" ref="M29">INDEX(Desc_TabelaToda,TB_Vendas[[#This Row],[Índice Linha]],TB_Vendas[[#This Row],[Índice Coluna]])</f>
        <v>0.1</v>
      </c>
      <c r="N29" s="70" cm="1">
        <f t="array" ref="N29">INDEX(Desc_TabelaToda,MATCH(TB_Vendas[[#This Row],[Qtd]],Desc_Quantidades,1),MATCH(_xlfn.XLOOKUP(TB_Vendas[[#This Row],[Código]],TB_Produtos[[#All],[Código]],TB_Produtos[[#All],[Categoria]]),Desc_Categorias,0))</f>
        <v>0.1</v>
      </c>
      <c r="O29" s="70">
        <f>_xlfn.XLOOKUP(TB_Vendas[[#This Row],[Vendedor]],Vendedores!$A$4:$A$9,Vendedores!$D$4:$D$9)</f>
        <v>0.2</v>
      </c>
      <c r="P29" s="70">
        <f>IF(TB_Vendas[[#This Row],[Desc. Vend.]]&gt;TB_Vendas[[#This Row],[Desc.]],TB_Vendas[[#This Row],[Desc.]],TB_Vendas[[#This Row],[Desc. Vend.]])</f>
        <v>0.1</v>
      </c>
      <c r="Q29" s="8">
        <f>TB_Vendas[[#This Row],[Preço Unitário]]*TB_Vendas[[#This Row],[Qtd]]</f>
        <v>65.900000000000006</v>
      </c>
      <c r="R29" s="1" t="s">
        <v>129</v>
      </c>
    </row>
    <row r="30" spans="1:18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 cm="1">
        <f t="array" ref="E30">_xlfn.XLOOKUP(TB_Vendas[[#This Row],[Código]],TB_Produtos[[#All],[Código]],TB_Produtos[[#All],[Categoria]])</f>
        <v>Vestuário</v>
      </c>
      <c r="F30" s="10">
        <f>MATCH(TB_Vendas[[#This Row],[Categoria]],Desc_Categorias,0)</f>
        <v>3</v>
      </c>
      <c r="G30" s="1">
        <v>5</v>
      </c>
      <c r="H30" s="1">
        <f>MATCH(TB_Vendas[[#This Row],[Qtd]],Desc_Quantidades,1)</f>
        <v>5</v>
      </c>
      <c r="I30" s="29">
        <f>VLOOKUP(TB_Vendas[[#This Row],[Código]],Produtos!$B$6:$G$66,6,0)</f>
        <v>32.9</v>
      </c>
      <c r="J30" s="121" cm="1">
        <f t="array" ref="J30">_xlfn.IFS(TB_Vendas[[#This Row],[Categoria]]='Cadastros Auxiliares'!$C$8,2,TB_Vendas[[#This Row],[Categoria]]='Cadastros Auxiliares'!$D$8,3,TB_Vendas[[#This Row],[Categoria]]='Cadastros Auxiliares'!$E$8,4)</f>
        <v>3</v>
      </c>
      <c r="K30" s="121" cm="1">
        <f t="array" ref="K3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30" s="70" cm="1">
        <f t="array" ref="L30">INDEX(Desc_TabelaToda,TB_Vendas[[#This Row],[Índice Linha2]],TB_Vendas[[#This Row],[Índice Coluna2]])</f>
        <v>0.25</v>
      </c>
      <c r="M30" s="70" cm="1">
        <f t="array" ref="M30">INDEX(Desc_TabelaToda,TB_Vendas[[#This Row],[Índice Linha]],TB_Vendas[[#This Row],[Índice Coluna]])</f>
        <v>0.25</v>
      </c>
      <c r="N30" s="70" cm="1">
        <f t="array" ref="N30">INDEX(Desc_TabelaToda,MATCH(TB_Vendas[[#This Row],[Qtd]],Desc_Quantidades,1),MATCH(_xlfn.XLOOKUP(TB_Vendas[[#This Row],[Código]],TB_Produtos[[#All],[Código]],TB_Produtos[[#All],[Categoria]]),Desc_Categorias,0))</f>
        <v>0.25</v>
      </c>
      <c r="O30" s="70">
        <f>_xlfn.XLOOKUP(TB_Vendas[[#This Row],[Vendedor]],Vendedores!$A$4:$A$9,Vendedores!$D$4:$D$9)</f>
        <v>0.15</v>
      </c>
      <c r="P30" s="70">
        <f>IF(TB_Vendas[[#This Row],[Desc. Vend.]]&gt;TB_Vendas[[#This Row],[Desc.]],TB_Vendas[[#This Row],[Desc.]],TB_Vendas[[#This Row],[Desc. Vend.]])</f>
        <v>0.15</v>
      </c>
      <c r="Q30" s="8">
        <f>TB_Vendas[[#This Row],[Preço Unitário]]*TB_Vendas[[#This Row],[Qtd]]</f>
        <v>164.5</v>
      </c>
      <c r="R30" s="1" t="s">
        <v>130</v>
      </c>
    </row>
    <row r="31" spans="1:18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 cm="1">
        <f t="array" ref="E31">_xlfn.XLOOKUP(TB_Vendas[[#This Row],[Código]],TB_Produtos[[#All],[Código]],TB_Produtos[[#All],[Categoria]])</f>
        <v>Vestuário</v>
      </c>
      <c r="F31" s="10">
        <f>MATCH(TB_Vendas[[#This Row],[Categoria]],Desc_Categorias,0)</f>
        <v>3</v>
      </c>
      <c r="G31" s="1">
        <v>2</v>
      </c>
      <c r="H31" s="1">
        <f>MATCH(TB_Vendas[[#This Row],[Qtd]],Desc_Quantidades,1)</f>
        <v>3</v>
      </c>
      <c r="I31" s="29">
        <f>VLOOKUP(TB_Vendas[[#This Row],[Código]],Produtos!$B$6:$G$66,6,0)</f>
        <v>180</v>
      </c>
      <c r="J31" s="121" cm="1">
        <f t="array" ref="J31">_xlfn.IFS(TB_Vendas[[#This Row],[Categoria]]='Cadastros Auxiliares'!$C$8,2,TB_Vendas[[#This Row],[Categoria]]='Cadastros Auxiliares'!$D$8,3,TB_Vendas[[#This Row],[Categoria]]='Cadastros Auxiliares'!$E$8,4)</f>
        <v>3</v>
      </c>
      <c r="K31" s="121" cm="1">
        <f t="array" ref="K3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31" s="70" cm="1">
        <f t="array" ref="L31">INDEX(Desc_TabelaToda,TB_Vendas[[#This Row],[Índice Linha2]],TB_Vendas[[#This Row],[Índice Coluna2]])</f>
        <v>0.15</v>
      </c>
      <c r="M31" s="70" cm="1">
        <f t="array" ref="M31">INDEX(Desc_TabelaToda,TB_Vendas[[#This Row],[Índice Linha]],TB_Vendas[[#This Row],[Índice Coluna]])</f>
        <v>0.15</v>
      </c>
      <c r="N31" s="70" cm="1">
        <f t="array" ref="N31">INDEX(Desc_TabelaToda,MATCH(TB_Vendas[[#This Row],[Qtd]],Desc_Quantidades,1),MATCH(_xlfn.XLOOKUP(TB_Vendas[[#This Row],[Código]],TB_Produtos[[#All],[Código]],TB_Produtos[[#All],[Categoria]]),Desc_Categorias,0))</f>
        <v>0.15</v>
      </c>
      <c r="O31" s="70">
        <f>_xlfn.XLOOKUP(TB_Vendas[[#This Row],[Vendedor]],Vendedores!$A$4:$A$9,Vendedores!$D$4:$D$9)</f>
        <v>0.25</v>
      </c>
      <c r="P31" s="70">
        <f>IF(TB_Vendas[[#This Row],[Desc. Vend.]]&gt;TB_Vendas[[#This Row],[Desc.]],TB_Vendas[[#This Row],[Desc.]],TB_Vendas[[#This Row],[Desc. Vend.]])</f>
        <v>0.15</v>
      </c>
      <c r="Q31" s="8">
        <f>TB_Vendas[[#This Row],[Preço Unitário]]*TB_Vendas[[#This Row],[Qtd]]</f>
        <v>360</v>
      </c>
      <c r="R31" s="1" t="s">
        <v>127</v>
      </c>
    </row>
    <row r="32" spans="1:18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 cm="1">
        <f t="array" ref="E32">_xlfn.XLOOKUP(TB_Vendas[[#This Row],[Código]],TB_Produtos[[#All],[Código]],TB_Produtos[[#All],[Categoria]])</f>
        <v>Acessórios</v>
      </c>
      <c r="F32" s="10">
        <f>MATCH(TB_Vendas[[#This Row],[Categoria]],Desc_Categorias,0)</f>
        <v>2</v>
      </c>
      <c r="G32" s="1">
        <v>3</v>
      </c>
      <c r="H32" s="1">
        <f>MATCH(TB_Vendas[[#This Row],[Qtd]],Desc_Quantidades,1)</f>
        <v>4</v>
      </c>
      <c r="I32" s="29">
        <f>VLOOKUP(TB_Vendas[[#This Row],[Código]],Produtos!$B$6:$G$66,6,0)</f>
        <v>349.9</v>
      </c>
      <c r="J32" s="121" cm="1">
        <f t="array" ref="J32">_xlfn.IFS(TB_Vendas[[#This Row],[Categoria]]='Cadastros Auxiliares'!$C$8,2,TB_Vendas[[#This Row],[Categoria]]='Cadastros Auxiliares'!$D$8,3,TB_Vendas[[#This Row],[Categoria]]='Cadastros Auxiliares'!$E$8,4)</f>
        <v>2</v>
      </c>
      <c r="K32" s="121" cm="1">
        <f t="array" ref="K3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32" s="70" cm="1">
        <f t="array" ref="L32">INDEX(Desc_TabelaToda,TB_Vendas[[#This Row],[Índice Linha2]],TB_Vendas[[#This Row],[Índice Coluna2]])</f>
        <v>0.15</v>
      </c>
      <c r="M32" s="70" cm="1">
        <f t="array" ref="M32">INDEX(Desc_TabelaToda,TB_Vendas[[#This Row],[Índice Linha]],TB_Vendas[[#This Row],[Índice Coluna]])</f>
        <v>0.15</v>
      </c>
      <c r="N32" s="70" cm="1">
        <f t="array" ref="N32">INDEX(Desc_TabelaToda,MATCH(TB_Vendas[[#This Row],[Qtd]],Desc_Quantidades,1),MATCH(_xlfn.XLOOKUP(TB_Vendas[[#This Row],[Código]],TB_Produtos[[#All],[Código]],TB_Produtos[[#All],[Categoria]]),Desc_Categorias,0))</f>
        <v>0.15</v>
      </c>
      <c r="O32" s="70">
        <f>_xlfn.XLOOKUP(TB_Vendas[[#This Row],[Vendedor]],Vendedores!$A$4:$A$9,Vendedores!$D$4:$D$9)</f>
        <v>0.2</v>
      </c>
      <c r="P32" s="70">
        <f>IF(TB_Vendas[[#This Row],[Desc. Vend.]]&gt;TB_Vendas[[#This Row],[Desc.]],TB_Vendas[[#This Row],[Desc.]],TB_Vendas[[#This Row],[Desc. Vend.]])</f>
        <v>0.15</v>
      </c>
      <c r="Q32" s="8">
        <f>TB_Vendas[[#This Row],[Preço Unitário]]*TB_Vendas[[#This Row],[Qtd]]</f>
        <v>1049.6999999999998</v>
      </c>
      <c r="R32" s="1" t="s">
        <v>126</v>
      </c>
    </row>
    <row r="33" spans="1:18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 cm="1">
        <f t="array" ref="E33">_xlfn.XLOOKUP(TB_Vendas[[#This Row],[Código]],TB_Produtos[[#All],[Código]],TB_Produtos[[#All],[Categoria]])</f>
        <v>Vestuário</v>
      </c>
      <c r="F33" s="10">
        <f>MATCH(TB_Vendas[[#This Row],[Categoria]],Desc_Categorias,0)</f>
        <v>3</v>
      </c>
      <c r="G33" s="1">
        <v>1</v>
      </c>
      <c r="H33" s="1">
        <f>MATCH(TB_Vendas[[#This Row],[Qtd]],Desc_Quantidades,1)</f>
        <v>2</v>
      </c>
      <c r="I33" s="29">
        <f>VLOOKUP(TB_Vendas[[#This Row],[Código]],Produtos!$B$6:$G$66,6,0)</f>
        <v>72.5</v>
      </c>
      <c r="J33" s="121" cm="1">
        <f t="array" ref="J33">_xlfn.IFS(TB_Vendas[[#This Row],[Categoria]]='Cadastros Auxiliares'!$C$8,2,TB_Vendas[[#This Row],[Categoria]]='Cadastros Auxiliares'!$D$8,3,TB_Vendas[[#This Row],[Categoria]]='Cadastros Auxiliares'!$E$8,4)</f>
        <v>3</v>
      </c>
      <c r="K33" s="121" cm="1">
        <f t="array" ref="K3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33" s="70" cm="1">
        <f t="array" ref="L33">INDEX(Desc_TabelaToda,TB_Vendas[[#This Row],[Índice Linha2]],TB_Vendas[[#This Row],[Índice Coluna2]])</f>
        <v>0.1</v>
      </c>
      <c r="M33" s="70" cm="1">
        <f t="array" ref="M33">INDEX(Desc_TabelaToda,TB_Vendas[[#This Row],[Índice Linha]],TB_Vendas[[#This Row],[Índice Coluna]])</f>
        <v>0.1</v>
      </c>
      <c r="N33" s="70" cm="1">
        <f t="array" ref="N33">INDEX(Desc_TabelaToda,MATCH(TB_Vendas[[#This Row],[Qtd]],Desc_Quantidades,1),MATCH(_xlfn.XLOOKUP(TB_Vendas[[#This Row],[Código]],TB_Produtos[[#All],[Código]],TB_Produtos[[#All],[Categoria]]),Desc_Categorias,0))</f>
        <v>0.1</v>
      </c>
      <c r="O33" s="70">
        <f>_xlfn.XLOOKUP(TB_Vendas[[#This Row],[Vendedor]],Vendedores!$A$4:$A$9,Vendedores!$D$4:$D$9)</f>
        <v>0.1</v>
      </c>
      <c r="P33" s="70">
        <f>IF(TB_Vendas[[#This Row],[Desc. Vend.]]&gt;TB_Vendas[[#This Row],[Desc.]],TB_Vendas[[#This Row],[Desc.]],TB_Vendas[[#This Row],[Desc. Vend.]])</f>
        <v>0.1</v>
      </c>
      <c r="Q33" s="8">
        <f>TB_Vendas[[#This Row],[Preço Unitário]]*TB_Vendas[[#This Row],[Qtd]]</f>
        <v>72.5</v>
      </c>
      <c r="R33" s="1" t="s">
        <v>128</v>
      </c>
    </row>
    <row r="34" spans="1:18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 cm="1">
        <f t="array" ref="E34">_xlfn.XLOOKUP(TB_Vendas[[#This Row],[Código]],TB_Produtos[[#All],[Código]],TB_Produtos[[#All],[Categoria]])</f>
        <v>Vestuário</v>
      </c>
      <c r="F34" s="10">
        <f>MATCH(TB_Vendas[[#This Row],[Categoria]],Desc_Categorias,0)</f>
        <v>3</v>
      </c>
      <c r="G34" s="1">
        <v>4</v>
      </c>
      <c r="H34" s="1">
        <f>MATCH(TB_Vendas[[#This Row],[Qtd]],Desc_Quantidades,1)</f>
        <v>4</v>
      </c>
      <c r="I34" s="29">
        <f>VLOOKUP(TB_Vendas[[#This Row],[Código]],Produtos!$B$6:$G$66,6,0)</f>
        <v>259.89999999999998</v>
      </c>
      <c r="J34" s="121" cm="1">
        <f t="array" ref="J34">_xlfn.IFS(TB_Vendas[[#This Row],[Categoria]]='Cadastros Auxiliares'!$C$8,2,TB_Vendas[[#This Row],[Categoria]]='Cadastros Auxiliares'!$D$8,3,TB_Vendas[[#This Row],[Categoria]]='Cadastros Auxiliares'!$E$8,4)</f>
        <v>3</v>
      </c>
      <c r="K34" s="121" cm="1">
        <f t="array" ref="K3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34" s="70" cm="1">
        <f t="array" ref="L34">INDEX(Desc_TabelaToda,TB_Vendas[[#This Row],[Índice Linha2]],TB_Vendas[[#This Row],[Índice Coluna2]])</f>
        <v>0.2</v>
      </c>
      <c r="M34" s="70" cm="1">
        <f t="array" ref="M34">INDEX(Desc_TabelaToda,TB_Vendas[[#This Row],[Índice Linha]],TB_Vendas[[#This Row],[Índice Coluna]])</f>
        <v>0.2</v>
      </c>
      <c r="N34" s="70" cm="1">
        <f t="array" ref="N34">INDEX(Desc_TabelaToda,MATCH(TB_Vendas[[#This Row],[Qtd]],Desc_Quantidades,1),MATCH(_xlfn.XLOOKUP(TB_Vendas[[#This Row],[Código]],TB_Produtos[[#All],[Código]],TB_Produtos[[#All],[Categoria]]),Desc_Categorias,0))</f>
        <v>0.2</v>
      </c>
      <c r="O34" s="70">
        <f>_xlfn.XLOOKUP(TB_Vendas[[#This Row],[Vendedor]],Vendedores!$A$4:$A$9,Vendedores!$D$4:$D$9)</f>
        <v>0.2</v>
      </c>
      <c r="P34" s="70">
        <f>IF(TB_Vendas[[#This Row],[Desc. Vend.]]&gt;TB_Vendas[[#This Row],[Desc.]],TB_Vendas[[#This Row],[Desc.]],TB_Vendas[[#This Row],[Desc. Vend.]])</f>
        <v>0.2</v>
      </c>
      <c r="Q34" s="8">
        <f>TB_Vendas[[#This Row],[Preço Unitário]]*TB_Vendas[[#This Row],[Qtd]]</f>
        <v>1039.5999999999999</v>
      </c>
      <c r="R34" s="1" t="s">
        <v>126</v>
      </c>
    </row>
    <row r="35" spans="1:18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 cm="1">
        <f t="array" ref="E35">_xlfn.XLOOKUP(TB_Vendas[[#This Row],[Código]],TB_Produtos[[#All],[Código]],TB_Produtos[[#All],[Categoria]])</f>
        <v>Vestuário</v>
      </c>
      <c r="F35" s="10">
        <f>MATCH(TB_Vendas[[#This Row],[Categoria]],Desc_Categorias,0)</f>
        <v>3</v>
      </c>
      <c r="G35" s="1">
        <v>3</v>
      </c>
      <c r="H35" s="1">
        <f>MATCH(TB_Vendas[[#This Row],[Qtd]],Desc_Quantidades,1)</f>
        <v>4</v>
      </c>
      <c r="I35" s="29">
        <f>VLOOKUP(TB_Vendas[[#This Row],[Código]],Produtos!$B$6:$G$66,6,0)</f>
        <v>25.9</v>
      </c>
      <c r="J35" s="121" cm="1">
        <f t="array" ref="J35">_xlfn.IFS(TB_Vendas[[#This Row],[Categoria]]='Cadastros Auxiliares'!$C$8,2,TB_Vendas[[#This Row],[Categoria]]='Cadastros Auxiliares'!$D$8,3,TB_Vendas[[#This Row],[Categoria]]='Cadastros Auxiliares'!$E$8,4)</f>
        <v>3</v>
      </c>
      <c r="K35" s="121" cm="1">
        <f t="array" ref="K3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35" s="70" cm="1">
        <f t="array" ref="L35">INDEX(Desc_TabelaToda,TB_Vendas[[#This Row],[Índice Linha2]],TB_Vendas[[#This Row],[Índice Coluna2]])</f>
        <v>0.2</v>
      </c>
      <c r="M35" s="70" cm="1">
        <f t="array" ref="M35">INDEX(Desc_TabelaToda,TB_Vendas[[#This Row],[Índice Linha]],TB_Vendas[[#This Row],[Índice Coluna]])</f>
        <v>0.2</v>
      </c>
      <c r="N35" s="70" cm="1">
        <f t="array" ref="N35">INDEX(Desc_TabelaToda,MATCH(TB_Vendas[[#This Row],[Qtd]],Desc_Quantidades,1),MATCH(_xlfn.XLOOKUP(TB_Vendas[[#This Row],[Código]],TB_Produtos[[#All],[Código]],TB_Produtos[[#All],[Categoria]]),Desc_Categorias,0))</f>
        <v>0.2</v>
      </c>
      <c r="O35" s="70">
        <f>_xlfn.XLOOKUP(TB_Vendas[[#This Row],[Vendedor]],Vendedores!$A$4:$A$9,Vendedores!$D$4:$D$9)</f>
        <v>0.25</v>
      </c>
      <c r="P35" s="70">
        <f>IF(TB_Vendas[[#This Row],[Desc. Vend.]]&gt;TB_Vendas[[#This Row],[Desc.]],TB_Vendas[[#This Row],[Desc.]],TB_Vendas[[#This Row],[Desc. Vend.]])</f>
        <v>0.2</v>
      </c>
      <c r="Q35" s="8">
        <f>TB_Vendas[[#This Row],[Preço Unitário]]*TB_Vendas[[#This Row],[Qtd]]</f>
        <v>77.699999999999989</v>
      </c>
      <c r="R35" s="1" t="s">
        <v>127</v>
      </c>
    </row>
    <row r="36" spans="1:18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 cm="1">
        <f t="array" ref="E36">_xlfn.XLOOKUP(TB_Vendas[[#This Row],[Código]],TB_Produtos[[#All],[Código]],TB_Produtos[[#All],[Categoria]])</f>
        <v>Acessórios</v>
      </c>
      <c r="F36" s="10">
        <f>MATCH(TB_Vendas[[#This Row],[Categoria]],Desc_Categorias,0)</f>
        <v>2</v>
      </c>
      <c r="G36" s="1">
        <v>2</v>
      </c>
      <c r="H36" s="1">
        <f>MATCH(TB_Vendas[[#This Row],[Qtd]],Desc_Quantidades,1)</f>
        <v>3</v>
      </c>
      <c r="I36" s="29">
        <f>VLOOKUP(TB_Vendas[[#This Row],[Código]],Produtos!$B$6:$G$66,6,0)</f>
        <v>145</v>
      </c>
      <c r="J36" s="121" cm="1">
        <f t="array" ref="J36">_xlfn.IFS(TB_Vendas[[#This Row],[Categoria]]='Cadastros Auxiliares'!$C$8,2,TB_Vendas[[#This Row],[Categoria]]='Cadastros Auxiliares'!$D$8,3,TB_Vendas[[#This Row],[Categoria]]='Cadastros Auxiliares'!$E$8,4)</f>
        <v>2</v>
      </c>
      <c r="K36" s="121" cm="1">
        <f t="array" ref="K3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36" s="70" cm="1">
        <f t="array" ref="L36">INDEX(Desc_TabelaToda,TB_Vendas[[#This Row],[Índice Linha2]],TB_Vendas[[#This Row],[Índice Coluna2]])</f>
        <v>0.05</v>
      </c>
      <c r="M36" s="70" cm="1">
        <f t="array" ref="M36">INDEX(Desc_TabelaToda,TB_Vendas[[#This Row],[Índice Linha]],TB_Vendas[[#This Row],[Índice Coluna]])</f>
        <v>0.05</v>
      </c>
      <c r="N36" s="70" cm="1">
        <f t="array" ref="N36">INDEX(Desc_TabelaToda,MATCH(TB_Vendas[[#This Row],[Qtd]],Desc_Quantidades,1),MATCH(_xlfn.XLOOKUP(TB_Vendas[[#This Row],[Código]],TB_Produtos[[#All],[Código]],TB_Produtos[[#All],[Categoria]]),Desc_Categorias,0))</f>
        <v>0.05</v>
      </c>
      <c r="O36" s="70">
        <f>_xlfn.XLOOKUP(TB_Vendas[[#This Row],[Vendedor]],Vendedores!$A$4:$A$9,Vendedores!$D$4:$D$9)</f>
        <v>0.2</v>
      </c>
      <c r="P36" s="70">
        <f>IF(TB_Vendas[[#This Row],[Desc. Vend.]]&gt;TB_Vendas[[#This Row],[Desc.]],TB_Vendas[[#This Row],[Desc.]],TB_Vendas[[#This Row],[Desc. Vend.]])</f>
        <v>0.05</v>
      </c>
      <c r="Q36" s="8">
        <f>TB_Vendas[[#This Row],[Preço Unitário]]*TB_Vendas[[#This Row],[Qtd]]</f>
        <v>290</v>
      </c>
      <c r="R36" s="1" t="s">
        <v>126</v>
      </c>
    </row>
    <row r="37" spans="1:18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 cm="1">
        <f t="array" ref="E37">_xlfn.XLOOKUP(TB_Vendas[[#This Row],[Código]],TB_Produtos[[#All],[Código]],TB_Produtos[[#All],[Categoria]])</f>
        <v>Acessórios</v>
      </c>
      <c r="F37" s="10">
        <f>MATCH(TB_Vendas[[#This Row],[Categoria]],Desc_Categorias,0)</f>
        <v>2</v>
      </c>
      <c r="G37" s="1">
        <v>1</v>
      </c>
      <c r="H37" s="1">
        <f>MATCH(TB_Vendas[[#This Row],[Qtd]],Desc_Quantidades,1)</f>
        <v>2</v>
      </c>
      <c r="I37" s="29">
        <f>VLOOKUP(TB_Vendas[[#This Row],[Código]],Produtos!$B$6:$G$66,6,0)</f>
        <v>39.9</v>
      </c>
      <c r="J37" s="121" cm="1">
        <f t="array" ref="J37">_xlfn.IFS(TB_Vendas[[#This Row],[Categoria]]='Cadastros Auxiliares'!$C$8,2,TB_Vendas[[#This Row],[Categoria]]='Cadastros Auxiliares'!$D$8,3,TB_Vendas[[#This Row],[Categoria]]='Cadastros Auxiliares'!$E$8,4)</f>
        <v>2</v>
      </c>
      <c r="K37" s="121" cm="1">
        <f t="array" ref="K3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37" s="70" cm="1">
        <f t="array" ref="L37">INDEX(Desc_TabelaToda,TB_Vendas[[#This Row],[Índice Linha2]],TB_Vendas[[#This Row],[Índice Coluna2]])</f>
        <v>0</v>
      </c>
      <c r="M37" s="70" cm="1">
        <f t="array" ref="M37">INDEX(Desc_TabelaToda,TB_Vendas[[#This Row],[Índice Linha]],TB_Vendas[[#This Row],[Índice Coluna]])</f>
        <v>0</v>
      </c>
      <c r="N37" s="70" cm="1">
        <f t="array" ref="N37">INDEX(Desc_TabelaToda,MATCH(TB_Vendas[[#This Row],[Qtd]],Desc_Quantidades,1),MATCH(_xlfn.XLOOKUP(TB_Vendas[[#This Row],[Código]],TB_Produtos[[#All],[Código]],TB_Produtos[[#All],[Categoria]]),Desc_Categorias,0))</f>
        <v>0</v>
      </c>
      <c r="O37" s="70">
        <f>_xlfn.XLOOKUP(TB_Vendas[[#This Row],[Vendedor]],Vendedores!$A$4:$A$9,Vendedores!$D$4:$D$9)</f>
        <v>0.25</v>
      </c>
      <c r="P37" s="70">
        <f>IF(TB_Vendas[[#This Row],[Desc. Vend.]]&gt;TB_Vendas[[#This Row],[Desc.]],TB_Vendas[[#This Row],[Desc.]],TB_Vendas[[#This Row],[Desc. Vend.]])</f>
        <v>0</v>
      </c>
      <c r="Q37" s="8">
        <f>TB_Vendas[[#This Row],[Preço Unitário]]*TB_Vendas[[#This Row],[Qtd]]</f>
        <v>39.9</v>
      </c>
      <c r="R37" s="1" t="s">
        <v>127</v>
      </c>
    </row>
    <row r="38" spans="1:18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 cm="1">
        <f t="array" ref="E38">_xlfn.XLOOKUP(TB_Vendas[[#This Row],[Código]],TB_Produtos[[#All],[Código]],TB_Produtos[[#All],[Categoria]])</f>
        <v>Acessórios</v>
      </c>
      <c r="F38" s="10">
        <f>MATCH(TB_Vendas[[#This Row],[Categoria]],Desc_Categorias,0)</f>
        <v>2</v>
      </c>
      <c r="G38" s="1">
        <v>3</v>
      </c>
      <c r="H38" s="1">
        <f>MATCH(TB_Vendas[[#This Row],[Qtd]],Desc_Quantidades,1)</f>
        <v>4</v>
      </c>
      <c r="I38" s="29">
        <f>VLOOKUP(TB_Vendas[[#This Row],[Código]],Produtos!$B$6:$G$66,6,0)</f>
        <v>349.9</v>
      </c>
      <c r="J38" s="121" cm="1">
        <f t="array" ref="J38">_xlfn.IFS(TB_Vendas[[#This Row],[Categoria]]='Cadastros Auxiliares'!$C$8,2,TB_Vendas[[#This Row],[Categoria]]='Cadastros Auxiliares'!$D$8,3,TB_Vendas[[#This Row],[Categoria]]='Cadastros Auxiliares'!$E$8,4)</f>
        <v>2</v>
      </c>
      <c r="K38" s="121" cm="1">
        <f t="array" ref="K3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38" s="70" cm="1">
        <f t="array" ref="L38">INDEX(Desc_TabelaToda,TB_Vendas[[#This Row],[Índice Linha2]],TB_Vendas[[#This Row],[Índice Coluna2]])</f>
        <v>0.15</v>
      </c>
      <c r="M38" s="70" cm="1">
        <f t="array" ref="M38">INDEX(Desc_TabelaToda,TB_Vendas[[#This Row],[Índice Linha]],TB_Vendas[[#This Row],[Índice Coluna]])</f>
        <v>0.15</v>
      </c>
      <c r="N38" s="70" cm="1">
        <f t="array" ref="N38">INDEX(Desc_TabelaToda,MATCH(TB_Vendas[[#This Row],[Qtd]],Desc_Quantidades,1),MATCH(_xlfn.XLOOKUP(TB_Vendas[[#This Row],[Código]],TB_Produtos[[#All],[Código]],TB_Produtos[[#All],[Categoria]]),Desc_Categorias,0))</f>
        <v>0.15</v>
      </c>
      <c r="O38" s="70">
        <f>_xlfn.XLOOKUP(TB_Vendas[[#This Row],[Vendedor]],Vendedores!$A$4:$A$9,Vendedores!$D$4:$D$9)</f>
        <v>0.2</v>
      </c>
      <c r="P38" s="70">
        <f>IF(TB_Vendas[[#This Row],[Desc. Vend.]]&gt;TB_Vendas[[#This Row],[Desc.]],TB_Vendas[[#This Row],[Desc.]],TB_Vendas[[#This Row],[Desc. Vend.]])</f>
        <v>0.15</v>
      </c>
      <c r="Q38" s="8">
        <f>TB_Vendas[[#This Row],[Preço Unitário]]*TB_Vendas[[#This Row],[Qtd]]</f>
        <v>1049.6999999999998</v>
      </c>
      <c r="R38" s="1" t="s">
        <v>129</v>
      </c>
    </row>
    <row r="39" spans="1:18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 cm="1">
        <f t="array" ref="E39">_xlfn.XLOOKUP(TB_Vendas[[#This Row],[Código]],TB_Produtos[[#All],[Código]],TB_Produtos[[#All],[Categoria]])</f>
        <v>Calçado</v>
      </c>
      <c r="F39" s="10">
        <f>MATCH(TB_Vendas[[#This Row],[Categoria]],Desc_Categorias,0)</f>
        <v>4</v>
      </c>
      <c r="G39" s="1">
        <v>4</v>
      </c>
      <c r="H39" s="1">
        <f>MATCH(TB_Vendas[[#This Row],[Qtd]],Desc_Quantidades,1)</f>
        <v>4</v>
      </c>
      <c r="I39" s="29">
        <f>VLOOKUP(TB_Vendas[[#This Row],[Código]],Produtos!$B$6:$G$66,6,0)</f>
        <v>89.9</v>
      </c>
      <c r="J39" s="121" cm="1">
        <f t="array" ref="J39">_xlfn.IFS(TB_Vendas[[#This Row],[Categoria]]='Cadastros Auxiliares'!$C$8,2,TB_Vendas[[#This Row],[Categoria]]='Cadastros Auxiliares'!$D$8,3,TB_Vendas[[#This Row],[Categoria]]='Cadastros Auxiliares'!$E$8,4)</f>
        <v>4</v>
      </c>
      <c r="K39" s="121" cm="1">
        <f t="array" ref="K3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39" s="70" cm="1">
        <f t="array" ref="L39">INDEX(Desc_TabelaToda,TB_Vendas[[#This Row],[Índice Linha2]],TB_Vendas[[#This Row],[Índice Coluna2]])</f>
        <v>0.15</v>
      </c>
      <c r="M39" s="70" cm="1">
        <f t="array" ref="M39">INDEX(Desc_TabelaToda,TB_Vendas[[#This Row],[Índice Linha]],TB_Vendas[[#This Row],[Índice Coluna]])</f>
        <v>0.15</v>
      </c>
      <c r="N39" s="70" cm="1">
        <f t="array" ref="N39">INDEX(Desc_TabelaToda,MATCH(TB_Vendas[[#This Row],[Qtd]],Desc_Quantidades,1),MATCH(_xlfn.XLOOKUP(TB_Vendas[[#This Row],[Código]],TB_Produtos[[#All],[Código]],TB_Produtos[[#All],[Categoria]]),Desc_Categorias,0))</f>
        <v>0.15</v>
      </c>
      <c r="O39" s="70">
        <f>_xlfn.XLOOKUP(TB_Vendas[[#This Row],[Vendedor]],Vendedores!$A$4:$A$9,Vendedores!$D$4:$D$9)</f>
        <v>0.2</v>
      </c>
      <c r="P39" s="70">
        <f>IF(TB_Vendas[[#This Row],[Desc. Vend.]]&gt;TB_Vendas[[#This Row],[Desc.]],TB_Vendas[[#This Row],[Desc.]],TB_Vendas[[#This Row],[Desc. Vend.]])</f>
        <v>0.15</v>
      </c>
      <c r="Q39" s="8">
        <f>TB_Vendas[[#This Row],[Preço Unitário]]*TB_Vendas[[#This Row],[Qtd]]</f>
        <v>359.6</v>
      </c>
      <c r="R39" s="1" t="s">
        <v>126</v>
      </c>
    </row>
    <row r="40" spans="1:18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 cm="1">
        <f t="array" ref="E40">_xlfn.XLOOKUP(TB_Vendas[[#This Row],[Código]],TB_Produtos[[#All],[Código]],TB_Produtos[[#All],[Categoria]])</f>
        <v>Calçado</v>
      </c>
      <c r="F40" s="10">
        <f>MATCH(TB_Vendas[[#This Row],[Categoria]],Desc_Categorias,0)</f>
        <v>4</v>
      </c>
      <c r="G40" s="1">
        <v>2</v>
      </c>
      <c r="H40" s="1">
        <f>MATCH(TB_Vendas[[#This Row],[Qtd]],Desc_Quantidades,1)</f>
        <v>3</v>
      </c>
      <c r="I40" s="29">
        <f>VLOOKUP(TB_Vendas[[#This Row],[Código]],Produtos!$B$6:$G$66,6,0)</f>
        <v>89.9</v>
      </c>
      <c r="J40" s="121" cm="1">
        <f t="array" ref="J40">_xlfn.IFS(TB_Vendas[[#This Row],[Categoria]]='Cadastros Auxiliares'!$C$8,2,TB_Vendas[[#This Row],[Categoria]]='Cadastros Auxiliares'!$D$8,3,TB_Vendas[[#This Row],[Categoria]]='Cadastros Auxiliares'!$E$8,4)</f>
        <v>4</v>
      </c>
      <c r="K40" s="121" cm="1">
        <f t="array" ref="K4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40" s="70" cm="1">
        <f t="array" ref="L40">INDEX(Desc_TabelaToda,TB_Vendas[[#This Row],[Índice Linha2]],TB_Vendas[[#This Row],[Índice Coluna2]])</f>
        <v>0.1</v>
      </c>
      <c r="M40" s="70" cm="1">
        <f t="array" ref="M40">INDEX(Desc_TabelaToda,TB_Vendas[[#This Row],[Índice Linha]],TB_Vendas[[#This Row],[Índice Coluna]])</f>
        <v>0.1</v>
      </c>
      <c r="N40" s="70" cm="1">
        <f t="array" ref="N40">INDEX(Desc_TabelaToda,MATCH(TB_Vendas[[#This Row],[Qtd]],Desc_Quantidades,1),MATCH(_xlfn.XLOOKUP(TB_Vendas[[#This Row],[Código]],TB_Produtos[[#All],[Código]],TB_Produtos[[#All],[Categoria]]),Desc_Categorias,0))</f>
        <v>0.1</v>
      </c>
      <c r="O40" s="70">
        <f>_xlfn.XLOOKUP(TB_Vendas[[#This Row],[Vendedor]],Vendedores!$A$4:$A$9,Vendedores!$D$4:$D$9)</f>
        <v>0.2</v>
      </c>
      <c r="P40" s="70">
        <f>IF(TB_Vendas[[#This Row],[Desc. Vend.]]&gt;TB_Vendas[[#This Row],[Desc.]],TB_Vendas[[#This Row],[Desc.]],TB_Vendas[[#This Row],[Desc. Vend.]])</f>
        <v>0.1</v>
      </c>
      <c r="Q40" s="8">
        <f>TB_Vendas[[#This Row],[Preço Unitário]]*TB_Vendas[[#This Row],[Qtd]]</f>
        <v>179.8</v>
      </c>
      <c r="R40" s="1" t="s">
        <v>129</v>
      </c>
    </row>
    <row r="41" spans="1:18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 cm="1">
        <f t="array" ref="E41">_xlfn.XLOOKUP(TB_Vendas[[#This Row],[Código]],TB_Produtos[[#All],[Código]],TB_Produtos[[#All],[Categoria]])</f>
        <v>Vestuário</v>
      </c>
      <c r="F41" s="10">
        <f>MATCH(TB_Vendas[[#This Row],[Categoria]],Desc_Categorias,0)</f>
        <v>3</v>
      </c>
      <c r="G41" s="1">
        <v>3</v>
      </c>
      <c r="H41" s="1">
        <f>MATCH(TB_Vendas[[#This Row],[Qtd]],Desc_Quantidades,1)</f>
        <v>4</v>
      </c>
      <c r="I41" s="29">
        <f>VLOOKUP(TB_Vendas[[#This Row],[Código]],Produtos!$B$6:$G$66,6,0)</f>
        <v>69.900000000000006</v>
      </c>
      <c r="J41" s="121" cm="1">
        <f t="array" ref="J41">_xlfn.IFS(TB_Vendas[[#This Row],[Categoria]]='Cadastros Auxiliares'!$C$8,2,TB_Vendas[[#This Row],[Categoria]]='Cadastros Auxiliares'!$D$8,3,TB_Vendas[[#This Row],[Categoria]]='Cadastros Auxiliares'!$E$8,4)</f>
        <v>3</v>
      </c>
      <c r="K41" s="121" cm="1">
        <f t="array" ref="K4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41" s="70" cm="1">
        <f t="array" ref="L41">INDEX(Desc_TabelaToda,TB_Vendas[[#This Row],[Índice Linha2]],TB_Vendas[[#This Row],[Índice Coluna2]])</f>
        <v>0.2</v>
      </c>
      <c r="M41" s="70" cm="1">
        <f t="array" ref="M41">INDEX(Desc_TabelaToda,TB_Vendas[[#This Row],[Índice Linha]],TB_Vendas[[#This Row],[Índice Coluna]])</f>
        <v>0.2</v>
      </c>
      <c r="N41" s="70" cm="1">
        <f t="array" ref="N41">INDEX(Desc_TabelaToda,MATCH(TB_Vendas[[#This Row],[Qtd]],Desc_Quantidades,1),MATCH(_xlfn.XLOOKUP(TB_Vendas[[#This Row],[Código]],TB_Produtos[[#All],[Código]],TB_Produtos[[#All],[Categoria]]),Desc_Categorias,0))</f>
        <v>0.2</v>
      </c>
      <c r="O41" s="70">
        <f>_xlfn.XLOOKUP(TB_Vendas[[#This Row],[Vendedor]],Vendedores!$A$4:$A$9,Vendedores!$D$4:$D$9)</f>
        <v>0.2</v>
      </c>
      <c r="P41" s="70">
        <f>IF(TB_Vendas[[#This Row],[Desc. Vend.]]&gt;TB_Vendas[[#This Row],[Desc.]],TB_Vendas[[#This Row],[Desc.]],TB_Vendas[[#This Row],[Desc. Vend.]])</f>
        <v>0.2</v>
      </c>
      <c r="Q41" s="8">
        <f>TB_Vendas[[#This Row],[Preço Unitário]]*TB_Vendas[[#This Row],[Qtd]]</f>
        <v>209.70000000000002</v>
      </c>
      <c r="R41" s="1" t="s">
        <v>126</v>
      </c>
    </row>
    <row r="42" spans="1:18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 cm="1">
        <f t="array" ref="E42">_xlfn.XLOOKUP(TB_Vendas[[#This Row],[Código]],TB_Produtos[[#All],[Código]],TB_Produtos[[#All],[Categoria]])</f>
        <v>Acessórios</v>
      </c>
      <c r="F42" s="10">
        <f>MATCH(TB_Vendas[[#This Row],[Categoria]],Desc_Categorias,0)</f>
        <v>2</v>
      </c>
      <c r="G42" s="1">
        <v>1</v>
      </c>
      <c r="H42" s="1">
        <f>MATCH(TB_Vendas[[#This Row],[Qtd]],Desc_Quantidades,1)</f>
        <v>2</v>
      </c>
      <c r="I42" s="29">
        <f>VLOOKUP(TB_Vendas[[#This Row],[Código]],Produtos!$B$6:$G$66,6,0)</f>
        <v>145</v>
      </c>
      <c r="J42" s="121" cm="1">
        <f t="array" ref="J42">_xlfn.IFS(TB_Vendas[[#This Row],[Categoria]]='Cadastros Auxiliares'!$C$8,2,TB_Vendas[[#This Row],[Categoria]]='Cadastros Auxiliares'!$D$8,3,TB_Vendas[[#This Row],[Categoria]]='Cadastros Auxiliares'!$E$8,4)</f>
        <v>2</v>
      </c>
      <c r="K42" s="121" cm="1">
        <f t="array" ref="K4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42" s="70" cm="1">
        <f t="array" ref="L42">INDEX(Desc_TabelaToda,TB_Vendas[[#This Row],[Índice Linha2]],TB_Vendas[[#This Row],[Índice Coluna2]])</f>
        <v>0</v>
      </c>
      <c r="M42" s="70" cm="1">
        <f t="array" ref="M42">INDEX(Desc_TabelaToda,TB_Vendas[[#This Row],[Índice Linha]],TB_Vendas[[#This Row],[Índice Coluna]])</f>
        <v>0</v>
      </c>
      <c r="N42" s="70" cm="1">
        <f t="array" ref="N42">INDEX(Desc_TabelaToda,MATCH(TB_Vendas[[#This Row],[Qtd]],Desc_Quantidades,1),MATCH(_xlfn.XLOOKUP(TB_Vendas[[#This Row],[Código]],TB_Produtos[[#All],[Código]],TB_Produtos[[#All],[Categoria]]),Desc_Categorias,0))</f>
        <v>0</v>
      </c>
      <c r="O42" s="70">
        <f>_xlfn.XLOOKUP(TB_Vendas[[#This Row],[Vendedor]],Vendedores!$A$4:$A$9,Vendedores!$D$4:$D$9)</f>
        <v>0.15</v>
      </c>
      <c r="P42" s="70">
        <f>IF(TB_Vendas[[#This Row],[Desc. Vend.]]&gt;TB_Vendas[[#This Row],[Desc.]],TB_Vendas[[#This Row],[Desc.]],TB_Vendas[[#This Row],[Desc. Vend.]])</f>
        <v>0</v>
      </c>
      <c r="Q42" s="8">
        <f>TB_Vendas[[#This Row],[Preço Unitário]]*TB_Vendas[[#This Row],[Qtd]]</f>
        <v>145</v>
      </c>
      <c r="R42" s="1" t="s">
        <v>130</v>
      </c>
    </row>
    <row r="43" spans="1:18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 cm="1">
        <f t="array" ref="E43">_xlfn.XLOOKUP(TB_Vendas[[#This Row],[Código]],TB_Produtos[[#All],[Código]],TB_Produtos[[#All],[Categoria]])</f>
        <v>Vestuário</v>
      </c>
      <c r="F43" s="10">
        <f>MATCH(TB_Vendas[[#This Row],[Categoria]],Desc_Categorias,0)</f>
        <v>3</v>
      </c>
      <c r="G43" s="1">
        <v>4</v>
      </c>
      <c r="H43" s="1">
        <f>MATCH(TB_Vendas[[#This Row],[Qtd]],Desc_Quantidades,1)</f>
        <v>4</v>
      </c>
      <c r="I43" s="29">
        <f>VLOOKUP(TB_Vendas[[#This Row],[Código]],Produtos!$B$6:$G$66,6,0)</f>
        <v>46.9</v>
      </c>
      <c r="J43" s="121" cm="1">
        <f t="array" ref="J43">_xlfn.IFS(TB_Vendas[[#This Row],[Categoria]]='Cadastros Auxiliares'!$C$8,2,TB_Vendas[[#This Row],[Categoria]]='Cadastros Auxiliares'!$D$8,3,TB_Vendas[[#This Row],[Categoria]]='Cadastros Auxiliares'!$E$8,4)</f>
        <v>3</v>
      </c>
      <c r="K43" s="121" cm="1">
        <f t="array" ref="K4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43" s="70" cm="1">
        <f t="array" ref="L43">INDEX(Desc_TabelaToda,TB_Vendas[[#This Row],[Índice Linha2]],TB_Vendas[[#This Row],[Índice Coluna2]])</f>
        <v>0.2</v>
      </c>
      <c r="M43" s="70" cm="1">
        <f t="array" ref="M43">INDEX(Desc_TabelaToda,TB_Vendas[[#This Row],[Índice Linha]],TB_Vendas[[#This Row],[Índice Coluna]])</f>
        <v>0.2</v>
      </c>
      <c r="N43" s="70" cm="1">
        <f t="array" ref="N43">INDEX(Desc_TabelaToda,MATCH(TB_Vendas[[#This Row],[Qtd]],Desc_Quantidades,1),MATCH(_xlfn.XLOOKUP(TB_Vendas[[#This Row],[Código]],TB_Produtos[[#All],[Código]],TB_Produtos[[#All],[Categoria]]),Desc_Categorias,0))</f>
        <v>0.2</v>
      </c>
      <c r="O43" s="70">
        <f>_xlfn.XLOOKUP(TB_Vendas[[#This Row],[Vendedor]],Vendedores!$A$4:$A$9,Vendedores!$D$4:$D$9)</f>
        <v>0.2</v>
      </c>
      <c r="P43" s="70">
        <f>IF(TB_Vendas[[#This Row],[Desc. Vend.]]&gt;TB_Vendas[[#This Row],[Desc.]],TB_Vendas[[#This Row],[Desc.]],TB_Vendas[[#This Row],[Desc. Vend.]])</f>
        <v>0.2</v>
      </c>
      <c r="Q43" s="8">
        <f>TB_Vendas[[#This Row],[Preço Unitário]]*TB_Vendas[[#This Row],[Qtd]]</f>
        <v>187.6</v>
      </c>
      <c r="R43" s="1" t="s">
        <v>126</v>
      </c>
    </row>
    <row r="44" spans="1:18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 cm="1">
        <f t="array" ref="E44">_xlfn.XLOOKUP(TB_Vendas[[#This Row],[Código]],TB_Produtos[[#All],[Código]],TB_Produtos[[#All],[Categoria]])</f>
        <v>Vestuário</v>
      </c>
      <c r="F44" s="10">
        <f>MATCH(TB_Vendas[[#This Row],[Categoria]],Desc_Categorias,0)</f>
        <v>3</v>
      </c>
      <c r="G44" s="1">
        <v>2</v>
      </c>
      <c r="H44" s="1">
        <f>MATCH(TB_Vendas[[#This Row],[Qtd]],Desc_Quantidades,1)</f>
        <v>3</v>
      </c>
      <c r="I44" s="29">
        <f>VLOOKUP(TB_Vendas[[#This Row],[Código]],Produtos!$B$6:$G$66,6,0)</f>
        <v>72.5</v>
      </c>
      <c r="J44" s="121" cm="1">
        <f t="array" ref="J44">_xlfn.IFS(TB_Vendas[[#This Row],[Categoria]]='Cadastros Auxiliares'!$C$8,2,TB_Vendas[[#This Row],[Categoria]]='Cadastros Auxiliares'!$D$8,3,TB_Vendas[[#This Row],[Categoria]]='Cadastros Auxiliares'!$E$8,4)</f>
        <v>3</v>
      </c>
      <c r="K44" s="121" cm="1">
        <f t="array" ref="K4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44" s="70" cm="1">
        <f t="array" ref="L44">INDEX(Desc_TabelaToda,TB_Vendas[[#This Row],[Índice Linha2]],TB_Vendas[[#This Row],[Índice Coluna2]])</f>
        <v>0.15</v>
      </c>
      <c r="M44" s="70" cm="1">
        <f t="array" ref="M44">INDEX(Desc_TabelaToda,TB_Vendas[[#This Row],[Índice Linha]],TB_Vendas[[#This Row],[Índice Coluna]])</f>
        <v>0.15</v>
      </c>
      <c r="N44" s="70" cm="1">
        <f t="array" ref="N44">INDEX(Desc_TabelaToda,MATCH(TB_Vendas[[#This Row],[Qtd]],Desc_Quantidades,1),MATCH(_xlfn.XLOOKUP(TB_Vendas[[#This Row],[Código]],TB_Produtos[[#All],[Código]],TB_Produtos[[#All],[Categoria]]),Desc_Categorias,0))</f>
        <v>0.15</v>
      </c>
      <c r="O44" s="70">
        <f>_xlfn.XLOOKUP(TB_Vendas[[#This Row],[Vendedor]],Vendedores!$A$4:$A$9,Vendedores!$D$4:$D$9)</f>
        <v>0.15</v>
      </c>
      <c r="P44" s="70">
        <f>IF(TB_Vendas[[#This Row],[Desc. Vend.]]&gt;TB_Vendas[[#This Row],[Desc.]],TB_Vendas[[#This Row],[Desc.]],TB_Vendas[[#This Row],[Desc. Vend.]])</f>
        <v>0.15</v>
      </c>
      <c r="Q44" s="8">
        <f>TB_Vendas[[#This Row],[Preço Unitário]]*TB_Vendas[[#This Row],[Qtd]]</f>
        <v>145</v>
      </c>
      <c r="R44" s="1" t="s">
        <v>130</v>
      </c>
    </row>
    <row r="45" spans="1:18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 cm="1">
        <f t="array" ref="E45">_xlfn.XLOOKUP(TB_Vendas[[#This Row],[Código]],TB_Produtos[[#All],[Código]],TB_Produtos[[#All],[Categoria]])</f>
        <v>Vestuário</v>
      </c>
      <c r="F45" s="10">
        <f>MATCH(TB_Vendas[[#This Row],[Categoria]],Desc_Categorias,0)</f>
        <v>3</v>
      </c>
      <c r="G45" s="1">
        <v>3</v>
      </c>
      <c r="H45" s="1">
        <f>MATCH(TB_Vendas[[#This Row],[Qtd]],Desc_Quantidades,1)</f>
        <v>4</v>
      </c>
      <c r="I45" s="29">
        <f>VLOOKUP(TB_Vendas[[#This Row],[Código]],Produtos!$B$6:$G$66,6,0)</f>
        <v>140</v>
      </c>
      <c r="J45" s="121" cm="1">
        <f t="array" ref="J45">_xlfn.IFS(TB_Vendas[[#This Row],[Categoria]]='Cadastros Auxiliares'!$C$8,2,TB_Vendas[[#This Row],[Categoria]]='Cadastros Auxiliares'!$D$8,3,TB_Vendas[[#This Row],[Categoria]]='Cadastros Auxiliares'!$E$8,4)</f>
        <v>3</v>
      </c>
      <c r="K45" s="121" cm="1">
        <f t="array" ref="K4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45" s="70" cm="1">
        <f t="array" ref="L45">INDEX(Desc_TabelaToda,TB_Vendas[[#This Row],[Índice Linha2]],TB_Vendas[[#This Row],[Índice Coluna2]])</f>
        <v>0.2</v>
      </c>
      <c r="M45" s="70" cm="1">
        <f t="array" ref="M45">INDEX(Desc_TabelaToda,TB_Vendas[[#This Row],[Índice Linha]],TB_Vendas[[#This Row],[Índice Coluna]])</f>
        <v>0.2</v>
      </c>
      <c r="N45" s="70" cm="1">
        <f t="array" ref="N45">INDEX(Desc_TabelaToda,MATCH(TB_Vendas[[#This Row],[Qtd]],Desc_Quantidades,1),MATCH(_xlfn.XLOOKUP(TB_Vendas[[#This Row],[Código]],TB_Produtos[[#All],[Código]],TB_Produtos[[#All],[Categoria]]),Desc_Categorias,0))</f>
        <v>0.2</v>
      </c>
      <c r="O45" s="70">
        <f>_xlfn.XLOOKUP(TB_Vendas[[#This Row],[Vendedor]],Vendedores!$A$4:$A$9,Vendedores!$D$4:$D$9)</f>
        <v>0.2</v>
      </c>
      <c r="P45" s="70">
        <f>IF(TB_Vendas[[#This Row],[Desc. Vend.]]&gt;TB_Vendas[[#This Row],[Desc.]],TB_Vendas[[#This Row],[Desc.]],TB_Vendas[[#This Row],[Desc. Vend.]])</f>
        <v>0.2</v>
      </c>
      <c r="Q45" s="8">
        <f>TB_Vendas[[#This Row],[Preço Unitário]]*TB_Vendas[[#This Row],[Qtd]]</f>
        <v>420</v>
      </c>
      <c r="R45" s="1" t="s">
        <v>129</v>
      </c>
    </row>
    <row r="46" spans="1:18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 cm="1">
        <f t="array" ref="E46">_xlfn.XLOOKUP(TB_Vendas[[#This Row],[Código]],TB_Produtos[[#All],[Código]],TB_Produtos[[#All],[Categoria]])</f>
        <v>Vestuário</v>
      </c>
      <c r="F46" s="10">
        <f>MATCH(TB_Vendas[[#This Row],[Categoria]],Desc_Categorias,0)</f>
        <v>3</v>
      </c>
      <c r="G46" s="1">
        <v>1</v>
      </c>
      <c r="H46" s="1">
        <f>MATCH(TB_Vendas[[#This Row],[Qtd]],Desc_Quantidades,1)</f>
        <v>2</v>
      </c>
      <c r="I46" s="29">
        <f>VLOOKUP(TB_Vendas[[#This Row],[Código]],Produtos!$B$6:$G$66,6,0)</f>
        <v>91.4</v>
      </c>
      <c r="J46" s="121" cm="1">
        <f t="array" ref="J46">_xlfn.IFS(TB_Vendas[[#This Row],[Categoria]]='Cadastros Auxiliares'!$C$8,2,TB_Vendas[[#This Row],[Categoria]]='Cadastros Auxiliares'!$D$8,3,TB_Vendas[[#This Row],[Categoria]]='Cadastros Auxiliares'!$E$8,4)</f>
        <v>3</v>
      </c>
      <c r="K46" s="121" cm="1">
        <f t="array" ref="K4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46" s="70" cm="1">
        <f t="array" ref="L46">INDEX(Desc_TabelaToda,TB_Vendas[[#This Row],[Índice Linha2]],TB_Vendas[[#This Row],[Índice Coluna2]])</f>
        <v>0.1</v>
      </c>
      <c r="M46" s="70" cm="1">
        <f t="array" ref="M46">INDEX(Desc_TabelaToda,TB_Vendas[[#This Row],[Índice Linha]],TB_Vendas[[#This Row],[Índice Coluna]])</f>
        <v>0.1</v>
      </c>
      <c r="N46" s="70" cm="1">
        <f t="array" ref="N46">INDEX(Desc_TabelaToda,MATCH(TB_Vendas[[#This Row],[Qtd]],Desc_Quantidades,1),MATCH(_xlfn.XLOOKUP(TB_Vendas[[#This Row],[Código]],TB_Produtos[[#All],[Código]],TB_Produtos[[#All],[Categoria]]),Desc_Categorias,0))</f>
        <v>0.1</v>
      </c>
      <c r="O46" s="70">
        <f>_xlfn.XLOOKUP(TB_Vendas[[#This Row],[Vendedor]],Vendedores!$A$4:$A$9,Vendedores!$D$4:$D$9)</f>
        <v>0.25</v>
      </c>
      <c r="P46" s="70">
        <f>IF(TB_Vendas[[#This Row],[Desc. Vend.]]&gt;TB_Vendas[[#This Row],[Desc.]],TB_Vendas[[#This Row],[Desc.]],TB_Vendas[[#This Row],[Desc. Vend.]])</f>
        <v>0.1</v>
      </c>
      <c r="Q46" s="8">
        <f>TB_Vendas[[#This Row],[Preço Unitário]]*TB_Vendas[[#This Row],[Qtd]]</f>
        <v>91.4</v>
      </c>
      <c r="R46" s="1" t="s">
        <v>127</v>
      </c>
    </row>
    <row r="47" spans="1:18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 cm="1">
        <f t="array" ref="E47">_xlfn.XLOOKUP(TB_Vendas[[#This Row],[Código]],TB_Produtos[[#All],[Código]],TB_Produtos[[#All],[Categoria]])</f>
        <v>Acessórios</v>
      </c>
      <c r="F47" s="10">
        <f>MATCH(TB_Vendas[[#This Row],[Categoria]],Desc_Categorias,0)</f>
        <v>2</v>
      </c>
      <c r="G47" s="1">
        <v>2</v>
      </c>
      <c r="H47" s="1">
        <f>MATCH(TB_Vendas[[#This Row],[Qtd]],Desc_Quantidades,1)</f>
        <v>3</v>
      </c>
      <c r="I47" s="29">
        <f>VLOOKUP(TB_Vendas[[#This Row],[Código]],Produtos!$B$6:$G$66,6,0)</f>
        <v>349.9</v>
      </c>
      <c r="J47" s="121" cm="1">
        <f t="array" ref="J47">_xlfn.IFS(TB_Vendas[[#This Row],[Categoria]]='Cadastros Auxiliares'!$C$8,2,TB_Vendas[[#This Row],[Categoria]]='Cadastros Auxiliares'!$D$8,3,TB_Vendas[[#This Row],[Categoria]]='Cadastros Auxiliares'!$E$8,4)</f>
        <v>2</v>
      </c>
      <c r="K47" s="121" cm="1">
        <f t="array" ref="K4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47" s="70" cm="1">
        <f t="array" ref="L47">INDEX(Desc_TabelaToda,TB_Vendas[[#This Row],[Índice Linha2]],TB_Vendas[[#This Row],[Índice Coluna2]])</f>
        <v>0.05</v>
      </c>
      <c r="M47" s="70" cm="1">
        <f t="array" ref="M47">INDEX(Desc_TabelaToda,TB_Vendas[[#This Row],[Índice Linha]],TB_Vendas[[#This Row],[Índice Coluna]])</f>
        <v>0.05</v>
      </c>
      <c r="N47" s="70" cm="1">
        <f t="array" ref="N47">INDEX(Desc_TabelaToda,MATCH(TB_Vendas[[#This Row],[Qtd]],Desc_Quantidades,1),MATCH(_xlfn.XLOOKUP(TB_Vendas[[#This Row],[Código]],TB_Produtos[[#All],[Código]],TB_Produtos[[#All],[Categoria]]),Desc_Categorias,0))</f>
        <v>0.05</v>
      </c>
      <c r="O47" s="70">
        <f>_xlfn.XLOOKUP(TB_Vendas[[#This Row],[Vendedor]],Vendedores!$A$4:$A$9,Vendedores!$D$4:$D$9)</f>
        <v>0.2</v>
      </c>
      <c r="P47" s="70">
        <f>IF(TB_Vendas[[#This Row],[Desc. Vend.]]&gt;TB_Vendas[[#This Row],[Desc.]],TB_Vendas[[#This Row],[Desc.]],TB_Vendas[[#This Row],[Desc. Vend.]])</f>
        <v>0.05</v>
      </c>
      <c r="Q47" s="8">
        <f>TB_Vendas[[#This Row],[Preço Unitário]]*TB_Vendas[[#This Row],[Qtd]]</f>
        <v>699.8</v>
      </c>
      <c r="R47" s="1" t="s">
        <v>129</v>
      </c>
    </row>
    <row r="48" spans="1:18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 cm="1">
        <f t="array" ref="E48">_xlfn.XLOOKUP(TB_Vendas[[#This Row],[Código]],TB_Produtos[[#All],[Código]],TB_Produtos[[#All],[Categoria]])</f>
        <v>Vestuário</v>
      </c>
      <c r="F48" s="10">
        <f>MATCH(TB_Vendas[[#This Row],[Categoria]],Desc_Categorias,0)</f>
        <v>3</v>
      </c>
      <c r="G48" s="1">
        <v>3</v>
      </c>
      <c r="H48" s="1">
        <f>MATCH(TB_Vendas[[#This Row],[Qtd]],Desc_Quantidades,1)</f>
        <v>4</v>
      </c>
      <c r="I48" s="29">
        <f>VLOOKUP(TB_Vendas[[#This Row],[Código]],Produtos!$B$6:$G$66,6,0)</f>
        <v>65.900000000000006</v>
      </c>
      <c r="J48" s="121" cm="1">
        <f t="array" ref="J48">_xlfn.IFS(TB_Vendas[[#This Row],[Categoria]]='Cadastros Auxiliares'!$C$8,2,TB_Vendas[[#This Row],[Categoria]]='Cadastros Auxiliares'!$D$8,3,TB_Vendas[[#This Row],[Categoria]]='Cadastros Auxiliares'!$E$8,4)</f>
        <v>3</v>
      </c>
      <c r="K48" s="121" cm="1">
        <f t="array" ref="K4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48" s="70" cm="1">
        <f t="array" ref="L48">INDEX(Desc_TabelaToda,TB_Vendas[[#This Row],[Índice Linha2]],TB_Vendas[[#This Row],[Índice Coluna2]])</f>
        <v>0.2</v>
      </c>
      <c r="M48" s="70" cm="1">
        <f t="array" ref="M48">INDEX(Desc_TabelaToda,TB_Vendas[[#This Row],[Índice Linha]],TB_Vendas[[#This Row],[Índice Coluna]])</f>
        <v>0.2</v>
      </c>
      <c r="N48" s="70" cm="1">
        <f t="array" ref="N48">INDEX(Desc_TabelaToda,MATCH(TB_Vendas[[#This Row],[Qtd]],Desc_Quantidades,1),MATCH(_xlfn.XLOOKUP(TB_Vendas[[#This Row],[Código]],TB_Produtos[[#All],[Código]],TB_Produtos[[#All],[Categoria]]),Desc_Categorias,0))</f>
        <v>0.2</v>
      </c>
      <c r="O48" s="70">
        <f>_xlfn.XLOOKUP(TB_Vendas[[#This Row],[Vendedor]],Vendedores!$A$4:$A$9,Vendedores!$D$4:$D$9)</f>
        <v>0.25</v>
      </c>
      <c r="P48" s="70">
        <f>IF(TB_Vendas[[#This Row],[Desc. Vend.]]&gt;TB_Vendas[[#This Row],[Desc.]],TB_Vendas[[#This Row],[Desc.]],TB_Vendas[[#This Row],[Desc. Vend.]])</f>
        <v>0.2</v>
      </c>
      <c r="Q48" s="8">
        <f>TB_Vendas[[#This Row],[Preço Unitário]]*TB_Vendas[[#This Row],[Qtd]]</f>
        <v>197.70000000000002</v>
      </c>
      <c r="R48" s="1" t="s">
        <v>127</v>
      </c>
    </row>
    <row r="49" spans="1:18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 cm="1">
        <f t="array" ref="E49">_xlfn.XLOOKUP(TB_Vendas[[#This Row],[Código]],TB_Produtos[[#All],[Código]],TB_Produtos[[#All],[Categoria]])</f>
        <v>Vestuário</v>
      </c>
      <c r="F49" s="10">
        <f>MATCH(TB_Vendas[[#This Row],[Categoria]],Desc_Categorias,0)</f>
        <v>3</v>
      </c>
      <c r="G49" s="1">
        <v>2</v>
      </c>
      <c r="H49" s="1">
        <f>MATCH(TB_Vendas[[#This Row],[Qtd]],Desc_Quantidades,1)</f>
        <v>3</v>
      </c>
      <c r="I49" s="29">
        <f>VLOOKUP(TB_Vendas[[#This Row],[Código]],Produtos!$B$6:$G$66,6,0)</f>
        <v>91.4</v>
      </c>
      <c r="J49" s="121" cm="1">
        <f t="array" ref="J49">_xlfn.IFS(TB_Vendas[[#This Row],[Categoria]]='Cadastros Auxiliares'!$C$8,2,TB_Vendas[[#This Row],[Categoria]]='Cadastros Auxiliares'!$D$8,3,TB_Vendas[[#This Row],[Categoria]]='Cadastros Auxiliares'!$E$8,4)</f>
        <v>3</v>
      </c>
      <c r="K49" s="121" cm="1">
        <f t="array" ref="K4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49" s="70" cm="1">
        <f t="array" ref="L49">INDEX(Desc_TabelaToda,TB_Vendas[[#This Row],[Índice Linha2]],TB_Vendas[[#This Row],[Índice Coluna2]])</f>
        <v>0.15</v>
      </c>
      <c r="M49" s="70" cm="1">
        <f t="array" ref="M49">INDEX(Desc_TabelaToda,TB_Vendas[[#This Row],[Índice Linha]],TB_Vendas[[#This Row],[Índice Coluna]])</f>
        <v>0.15</v>
      </c>
      <c r="N49" s="70" cm="1">
        <f t="array" ref="N49">INDEX(Desc_TabelaToda,MATCH(TB_Vendas[[#This Row],[Qtd]],Desc_Quantidades,1),MATCH(_xlfn.XLOOKUP(TB_Vendas[[#This Row],[Código]],TB_Produtos[[#All],[Código]],TB_Produtos[[#All],[Categoria]]),Desc_Categorias,0))</f>
        <v>0.15</v>
      </c>
      <c r="O49" s="70">
        <f>_xlfn.XLOOKUP(TB_Vendas[[#This Row],[Vendedor]],Vendedores!$A$4:$A$9,Vendedores!$D$4:$D$9)</f>
        <v>0.2</v>
      </c>
      <c r="P49" s="70">
        <f>IF(TB_Vendas[[#This Row],[Desc. Vend.]]&gt;TB_Vendas[[#This Row],[Desc.]],TB_Vendas[[#This Row],[Desc.]],TB_Vendas[[#This Row],[Desc. Vend.]])</f>
        <v>0.15</v>
      </c>
      <c r="Q49" s="8">
        <f>TB_Vendas[[#This Row],[Preço Unitário]]*TB_Vendas[[#This Row],[Qtd]]</f>
        <v>182.8</v>
      </c>
      <c r="R49" s="1" t="s">
        <v>126</v>
      </c>
    </row>
    <row r="50" spans="1:18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 cm="1">
        <f t="array" ref="E50">_xlfn.XLOOKUP(TB_Vendas[[#This Row],[Código]],TB_Produtos[[#All],[Código]],TB_Produtos[[#All],[Categoria]])</f>
        <v>Acessórios</v>
      </c>
      <c r="F50" s="10">
        <f>MATCH(TB_Vendas[[#This Row],[Categoria]],Desc_Categorias,0)</f>
        <v>2</v>
      </c>
      <c r="G50" s="1">
        <v>4</v>
      </c>
      <c r="H50" s="1">
        <f>MATCH(TB_Vendas[[#This Row],[Qtd]],Desc_Quantidades,1)</f>
        <v>4</v>
      </c>
      <c r="I50" s="29">
        <f>VLOOKUP(TB_Vendas[[#This Row],[Código]],Produtos!$B$6:$G$66,6,0)</f>
        <v>259.89999999999998</v>
      </c>
      <c r="J50" s="121" cm="1">
        <f t="array" ref="J50">_xlfn.IFS(TB_Vendas[[#This Row],[Categoria]]='Cadastros Auxiliares'!$C$8,2,TB_Vendas[[#This Row],[Categoria]]='Cadastros Auxiliares'!$D$8,3,TB_Vendas[[#This Row],[Categoria]]='Cadastros Auxiliares'!$E$8,4)</f>
        <v>2</v>
      </c>
      <c r="K50" s="121" cm="1">
        <f t="array" ref="K5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50" s="70" cm="1">
        <f t="array" ref="L50">INDEX(Desc_TabelaToda,TB_Vendas[[#This Row],[Índice Linha2]],TB_Vendas[[#This Row],[Índice Coluna2]])</f>
        <v>0.15</v>
      </c>
      <c r="M50" s="70" cm="1">
        <f t="array" ref="M50">INDEX(Desc_TabelaToda,TB_Vendas[[#This Row],[Índice Linha]],TB_Vendas[[#This Row],[Índice Coluna]])</f>
        <v>0.15</v>
      </c>
      <c r="N50" s="70" cm="1">
        <f t="array" ref="N50">INDEX(Desc_TabelaToda,MATCH(TB_Vendas[[#This Row],[Qtd]],Desc_Quantidades,1),MATCH(_xlfn.XLOOKUP(TB_Vendas[[#This Row],[Código]],TB_Produtos[[#All],[Código]],TB_Produtos[[#All],[Categoria]]),Desc_Categorias,0))</f>
        <v>0.15</v>
      </c>
      <c r="O50" s="70">
        <f>_xlfn.XLOOKUP(TB_Vendas[[#This Row],[Vendedor]],Vendedores!$A$4:$A$9,Vendedores!$D$4:$D$9)</f>
        <v>0.25</v>
      </c>
      <c r="P50" s="70">
        <f>IF(TB_Vendas[[#This Row],[Desc. Vend.]]&gt;TB_Vendas[[#This Row],[Desc.]],TB_Vendas[[#This Row],[Desc.]],TB_Vendas[[#This Row],[Desc. Vend.]])</f>
        <v>0.15</v>
      </c>
      <c r="Q50" s="8">
        <f>TB_Vendas[[#This Row],[Preço Unitário]]*TB_Vendas[[#This Row],[Qtd]]</f>
        <v>1039.5999999999999</v>
      </c>
      <c r="R50" s="1" t="s">
        <v>127</v>
      </c>
    </row>
    <row r="51" spans="1:18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 cm="1">
        <f t="array" ref="E51">_xlfn.XLOOKUP(TB_Vendas[[#This Row],[Código]],TB_Produtos[[#All],[Código]],TB_Produtos[[#All],[Categoria]])</f>
        <v>Acessórios</v>
      </c>
      <c r="F51" s="10">
        <f>MATCH(TB_Vendas[[#This Row],[Categoria]],Desc_Categorias,0)</f>
        <v>2</v>
      </c>
      <c r="G51" s="1">
        <v>3</v>
      </c>
      <c r="H51" s="1">
        <f>MATCH(TB_Vendas[[#This Row],[Qtd]],Desc_Quantidades,1)</f>
        <v>4</v>
      </c>
      <c r="I51" s="29">
        <f>VLOOKUP(TB_Vendas[[#This Row],[Código]],Produtos!$B$6:$G$66,6,0)</f>
        <v>145</v>
      </c>
      <c r="J51" s="121" cm="1">
        <f t="array" ref="J51">_xlfn.IFS(TB_Vendas[[#This Row],[Categoria]]='Cadastros Auxiliares'!$C$8,2,TB_Vendas[[#This Row],[Categoria]]='Cadastros Auxiliares'!$D$8,3,TB_Vendas[[#This Row],[Categoria]]='Cadastros Auxiliares'!$E$8,4)</f>
        <v>2</v>
      </c>
      <c r="K51" s="121" cm="1">
        <f t="array" ref="K5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51" s="70" cm="1">
        <f t="array" ref="L51">INDEX(Desc_TabelaToda,TB_Vendas[[#This Row],[Índice Linha2]],TB_Vendas[[#This Row],[Índice Coluna2]])</f>
        <v>0.15</v>
      </c>
      <c r="M51" s="70" cm="1">
        <f t="array" ref="M51">INDEX(Desc_TabelaToda,TB_Vendas[[#This Row],[Índice Linha]],TB_Vendas[[#This Row],[Índice Coluna]])</f>
        <v>0.15</v>
      </c>
      <c r="N51" s="70" cm="1">
        <f t="array" ref="N51">INDEX(Desc_TabelaToda,MATCH(TB_Vendas[[#This Row],[Qtd]],Desc_Quantidades,1),MATCH(_xlfn.XLOOKUP(TB_Vendas[[#This Row],[Código]],TB_Produtos[[#All],[Código]],TB_Produtos[[#All],[Categoria]]),Desc_Categorias,0))</f>
        <v>0.15</v>
      </c>
      <c r="O51" s="70">
        <f>_xlfn.XLOOKUP(TB_Vendas[[#This Row],[Vendedor]],Vendedores!$A$4:$A$9,Vendedores!$D$4:$D$9)</f>
        <v>0.2</v>
      </c>
      <c r="P51" s="70">
        <f>IF(TB_Vendas[[#This Row],[Desc. Vend.]]&gt;TB_Vendas[[#This Row],[Desc.]],TB_Vendas[[#This Row],[Desc.]],TB_Vendas[[#This Row],[Desc. Vend.]])</f>
        <v>0.15</v>
      </c>
      <c r="Q51" s="8">
        <f>TB_Vendas[[#This Row],[Preço Unitário]]*TB_Vendas[[#This Row],[Qtd]]</f>
        <v>435</v>
      </c>
      <c r="R51" s="1" t="s">
        <v>126</v>
      </c>
    </row>
    <row r="52" spans="1:18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 cm="1">
        <f t="array" ref="E52">_xlfn.XLOOKUP(TB_Vendas[[#This Row],[Código]],TB_Produtos[[#All],[Código]],TB_Produtos[[#All],[Categoria]])</f>
        <v>Vestuário</v>
      </c>
      <c r="F52" s="10">
        <f>MATCH(TB_Vendas[[#This Row],[Categoria]],Desc_Categorias,0)</f>
        <v>3</v>
      </c>
      <c r="G52" s="1">
        <v>2</v>
      </c>
      <c r="H52" s="1">
        <f>MATCH(TB_Vendas[[#This Row],[Qtd]],Desc_Quantidades,1)</f>
        <v>3</v>
      </c>
      <c r="I52" s="29">
        <f>VLOOKUP(TB_Vendas[[#This Row],[Código]],Produtos!$B$6:$G$66,6,0)</f>
        <v>142.9</v>
      </c>
      <c r="J52" s="121" cm="1">
        <f t="array" ref="J52">_xlfn.IFS(TB_Vendas[[#This Row],[Categoria]]='Cadastros Auxiliares'!$C$8,2,TB_Vendas[[#This Row],[Categoria]]='Cadastros Auxiliares'!$D$8,3,TB_Vendas[[#This Row],[Categoria]]='Cadastros Auxiliares'!$E$8,4)</f>
        <v>3</v>
      </c>
      <c r="K52" s="121" cm="1">
        <f t="array" ref="K5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52" s="70" cm="1">
        <f t="array" ref="L52">INDEX(Desc_TabelaToda,TB_Vendas[[#This Row],[Índice Linha2]],TB_Vendas[[#This Row],[Índice Coluna2]])</f>
        <v>0.15</v>
      </c>
      <c r="M52" s="70" cm="1">
        <f t="array" ref="M52">INDEX(Desc_TabelaToda,TB_Vendas[[#This Row],[Índice Linha]],TB_Vendas[[#This Row],[Índice Coluna]])</f>
        <v>0.15</v>
      </c>
      <c r="N52" s="70" cm="1">
        <f t="array" ref="N52">INDEX(Desc_TabelaToda,MATCH(TB_Vendas[[#This Row],[Qtd]],Desc_Quantidades,1),MATCH(_xlfn.XLOOKUP(TB_Vendas[[#This Row],[Código]],TB_Produtos[[#All],[Código]],TB_Produtos[[#All],[Categoria]]),Desc_Categorias,0))</f>
        <v>0.15</v>
      </c>
      <c r="O52" s="70">
        <f>_xlfn.XLOOKUP(TB_Vendas[[#This Row],[Vendedor]],Vendedores!$A$4:$A$9,Vendedores!$D$4:$D$9)</f>
        <v>0.1</v>
      </c>
      <c r="P52" s="70">
        <f>IF(TB_Vendas[[#This Row],[Desc. Vend.]]&gt;TB_Vendas[[#This Row],[Desc.]],TB_Vendas[[#This Row],[Desc.]],TB_Vendas[[#This Row],[Desc. Vend.]])</f>
        <v>0.1</v>
      </c>
      <c r="Q52" s="8">
        <f>TB_Vendas[[#This Row],[Preço Unitário]]*TB_Vendas[[#This Row],[Qtd]]</f>
        <v>285.8</v>
      </c>
      <c r="R52" s="1" t="s">
        <v>128</v>
      </c>
    </row>
    <row r="53" spans="1:18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 cm="1">
        <f t="array" ref="E53">_xlfn.XLOOKUP(TB_Vendas[[#This Row],[Código]],TB_Produtos[[#All],[Código]],TB_Produtos[[#All],[Categoria]])</f>
        <v>Vestuário</v>
      </c>
      <c r="F53" s="10">
        <f>MATCH(TB_Vendas[[#This Row],[Categoria]],Desc_Categorias,0)</f>
        <v>3</v>
      </c>
      <c r="G53" s="1">
        <v>2</v>
      </c>
      <c r="H53" s="1">
        <f>MATCH(TB_Vendas[[#This Row],[Qtd]],Desc_Quantidades,1)</f>
        <v>3</v>
      </c>
      <c r="I53" s="29">
        <f>VLOOKUP(TB_Vendas[[#This Row],[Código]],Produtos!$B$6:$G$66,6,0)</f>
        <v>180</v>
      </c>
      <c r="J53" s="121" cm="1">
        <f t="array" ref="J53">_xlfn.IFS(TB_Vendas[[#This Row],[Categoria]]='Cadastros Auxiliares'!$C$8,2,TB_Vendas[[#This Row],[Categoria]]='Cadastros Auxiliares'!$D$8,3,TB_Vendas[[#This Row],[Categoria]]='Cadastros Auxiliares'!$E$8,4)</f>
        <v>3</v>
      </c>
      <c r="K53" s="121" cm="1">
        <f t="array" ref="K5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53" s="70" cm="1">
        <f t="array" ref="L53">INDEX(Desc_TabelaToda,TB_Vendas[[#This Row],[Índice Linha2]],TB_Vendas[[#This Row],[Índice Coluna2]])</f>
        <v>0.15</v>
      </c>
      <c r="M53" s="70" cm="1">
        <f t="array" ref="M53">INDEX(Desc_TabelaToda,TB_Vendas[[#This Row],[Índice Linha]],TB_Vendas[[#This Row],[Índice Coluna]])</f>
        <v>0.15</v>
      </c>
      <c r="N53" s="70" cm="1">
        <f t="array" ref="N53">INDEX(Desc_TabelaToda,MATCH(TB_Vendas[[#This Row],[Qtd]],Desc_Quantidades,1),MATCH(_xlfn.XLOOKUP(TB_Vendas[[#This Row],[Código]],TB_Produtos[[#All],[Código]],TB_Produtos[[#All],[Categoria]]),Desc_Categorias,0))</f>
        <v>0.15</v>
      </c>
      <c r="O53" s="70">
        <f>_xlfn.XLOOKUP(TB_Vendas[[#This Row],[Vendedor]],Vendedores!$A$4:$A$9,Vendedores!$D$4:$D$9)</f>
        <v>0.2</v>
      </c>
      <c r="P53" s="70">
        <f>IF(TB_Vendas[[#This Row],[Desc. Vend.]]&gt;TB_Vendas[[#This Row],[Desc.]],TB_Vendas[[#This Row],[Desc.]],TB_Vendas[[#This Row],[Desc. Vend.]])</f>
        <v>0.15</v>
      </c>
      <c r="Q53" s="8">
        <f>TB_Vendas[[#This Row],[Preço Unitário]]*TB_Vendas[[#This Row],[Qtd]]</f>
        <v>360</v>
      </c>
      <c r="R53" s="1" t="s">
        <v>126</v>
      </c>
    </row>
    <row r="54" spans="1:18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 cm="1">
        <f t="array" ref="E54">_xlfn.XLOOKUP(TB_Vendas[[#This Row],[Código]],TB_Produtos[[#All],[Código]],TB_Produtos[[#All],[Categoria]])</f>
        <v>Vestuário</v>
      </c>
      <c r="F54" s="10">
        <f>MATCH(TB_Vendas[[#This Row],[Categoria]],Desc_Categorias,0)</f>
        <v>3</v>
      </c>
      <c r="G54" s="1">
        <v>2</v>
      </c>
      <c r="H54" s="1">
        <f>MATCH(TB_Vendas[[#This Row],[Qtd]],Desc_Quantidades,1)</f>
        <v>3</v>
      </c>
      <c r="I54" s="29">
        <f>VLOOKUP(TB_Vendas[[#This Row],[Código]],Produtos!$B$6:$G$66,6,0)</f>
        <v>42.5</v>
      </c>
      <c r="J54" s="121" cm="1">
        <f t="array" ref="J54">_xlfn.IFS(TB_Vendas[[#This Row],[Categoria]]='Cadastros Auxiliares'!$C$8,2,TB_Vendas[[#This Row],[Categoria]]='Cadastros Auxiliares'!$D$8,3,TB_Vendas[[#This Row],[Categoria]]='Cadastros Auxiliares'!$E$8,4)</f>
        <v>3</v>
      </c>
      <c r="K54" s="121" cm="1">
        <f t="array" ref="K5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54" s="70" cm="1">
        <f t="array" ref="L54">INDEX(Desc_TabelaToda,TB_Vendas[[#This Row],[Índice Linha2]],TB_Vendas[[#This Row],[Índice Coluna2]])</f>
        <v>0.15</v>
      </c>
      <c r="M54" s="70" cm="1">
        <f t="array" ref="M54">INDEX(Desc_TabelaToda,TB_Vendas[[#This Row],[Índice Linha]],TB_Vendas[[#This Row],[Índice Coluna]])</f>
        <v>0.15</v>
      </c>
      <c r="N54" s="70" cm="1">
        <f t="array" ref="N54">INDEX(Desc_TabelaToda,MATCH(TB_Vendas[[#This Row],[Qtd]],Desc_Quantidades,1),MATCH(_xlfn.XLOOKUP(TB_Vendas[[#This Row],[Código]],TB_Produtos[[#All],[Código]],TB_Produtos[[#All],[Categoria]]),Desc_Categorias,0))</f>
        <v>0.15</v>
      </c>
      <c r="O54" s="70">
        <f>_xlfn.XLOOKUP(TB_Vendas[[#This Row],[Vendedor]],Vendedores!$A$4:$A$9,Vendedores!$D$4:$D$9)</f>
        <v>0.1</v>
      </c>
      <c r="P54" s="70">
        <f>IF(TB_Vendas[[#This Row],[Desc. Vend.]]&gt;TB_Vendas[[#This Row],[Desc.]],TB_Vendas[[#This Row],[Desc.]],TB_Vendas[[#This Row],[Desc. Vend.]])</f>
        <v>0.1</v>
      </c>
      <c r="Q54" s="8">
        <f>TB_Vendas[[#This Row],[Preço Unitário]]*TB_Vendas[[#This Row],[Qtd]]</f>
        <v>85</v>
      </c>
      <c r="R54" s="1" t="s">
        <v>128</v>
      </c>
    </row>
    <row r="55" spans="1:18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 cm="1">
        <f t="array" ref="E55">_xlfn.XLOOKUP(TB_Vendas[[#This Row],[Código]],TB_Produtos[[#All],[Código]],TB_Produtos[[#All],[Categoria]])</f>
        <v>Vestuário</v>
      </c>
      <c r="F55" s="10">
        <f>MATCH(TB_Vendas[[#This Row],[Categoria]],Desc_Categorias,0)</f>
        <v>3</v>
      </c>
      <c r="G55" s="1">
        <v>1</v>
      </c>
      <c r="H55" s="1">
        <f>MATCH(TB_Vendas[[#This Row],[Qtd]],Desc_Quantidades,1)</f>
        <v>2</v>
      </c>
      <c r="I55" s="29">
        <f>VLOOKUP(TB_Vendas[[#This Row],[Código]],Produtos!$B$6:$G$66,6,0)</f>
        <v>65.900000000000006</v>
      </c>
      <c r="J55" s="121" cm="1">
        <f t="array" ref="J55">_xlfn.IFS(TB_Vendas[[#This Row],[Categoria]]='Cadastros Auxiliares'!$C$8,2,TB_Vendas[[#This Row],[Categoria]]='Cadastros Auxiliares'!$D$8,3,TB_Vendas[[#This Row],[Categoria]]='Cadastros Auxiliares'!$E$8,4)</f>
        <v>3</v>
      </c>
      <c r="K55" s="121" cm="1">
        <f t="array" ref="K5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55" s="70" cm="1">
        <f t="array" ref="L55">INDEX(Desc_TabelaToda,TB_Vendas[[#This Row],[Índice Linha2]],TB_Vendas[[#This Row],[Índice Coluna2]])</f>
        <v>0.1</v>
      </c>
      <c r="M55" s="70" cm="1">
        <f t="array" ref="M55">INDEX(Desc_TabelaToda,TB_Vendas[[#This Row],[Índice Linha]],TB_Vendas[[#This Row],[Índice Coluna]])</f>
        <v>0.1</v>
      </c>
      <c r="N55" s="70" cm="1">
        <f t="array" ref="N55">INDEX(Desc_TabelaToda,MATCH(TB_Vendas[[#This Row],[Qtd]],Desc_Quantidades,1),MATCH(_xlfn.XLOOKUP(TB_Vendas[[#This Row],[Código]],TB_Produtos[[#All],[Código]],TB_Produtos[[#All],[Categoria]]),Desc_Categorias,0))</f>
        <v>0.1</v>
      </c>
      <c r="O55" s="70">
        <f>_xlfn.XLOOKUP(TB_Vendas[[#This Row],[Vendedor]],Vendedores!$A$4:$A$9,Vendedores!$D$4:$D$9)</f>
        <v>0.25</v>
      </c>
      <c r="P55" s="70">
        <f>IF(TB_Vendas[[#This Row],[Desc. Vend.]]&gt;TB_Vendas[[#This Row],[Desc.]],TB_Vendas[[#This Row],[Desc.]],TB_Vendas[[#This Row],[Desc. Vend.]])</f>
        <v>0.1</v>
      </c>
      <c r="Q55" s="8">
        <f>TB_Vendas[[#This Row],[Preço Unitário]]*TB_Vendas[[#This Row],[Qtd]]</f>
        <v>65.900000000000006</v>
      </c>
      <c r="R55" s="1" t="s">
        <v>127</v>
      </c>
    </row>
    <row r="56" spans="1:18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 cm="1">
        <f t="array" ref="E56">_xlfn.XLOOKUP(TB_Vendas[[#This Row],[Código]],TB_Produtos[[#All],[Código]],TB_Produtos[[#All],[Categoria]])</f>
        <v>Vestuário</v>
      </c>
      <c r="F56" s="10">
        <f>MATCH(TB_Vendas[[#This Row],[Categoria]],Desc_Categorias,0)</f>
        <v>3</v>
      </c>
      <c r="G56" s="1">
        <v>1</v>
      </c>
      <c r="H56" s="1">
        <f>MATCH(TB_Vendas[[#This Row],[Qtd]],Desc_Quantidades,1)</f>
        <v>2</v>
      </c>
      <c r="I56" s="29">
        <f>VLOOKUP(TB_Vendas[[#This Row],[Código]],Produtos!$B$6:$G$66,6,0)</f>
        <v>180</v>
      </c>
      <c r="J56" s="121" cm="1">
        <f t="array" ref="J56">_xlfn.IFS(TB_Vendas[[#This Row],[Categoria]]='Cadastros Auxiliares'!$C$8,2,TB_Vendas[[#This Row],[Categoria]]='Cadastros Auxiliares'!$D$8,3,TB_Vendas[[#This Row],[Categoria]]='Cadastros Auxiliares'!$E$8,4)</f>
        <v>3</v>
      </c>
      <c r="K56" s="121" cm="1">
        <f t="array" ref="K5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56" s="70" cm="1">
        <f t="array" ref="L56">INDEX(Desc_TabelaToda,TB_Vendas[[#This Row],[Índice Linha2]],TB_Vendas[[#This Row],[Índice Coluna2]])</f>
        <v>0.1</v>
      </c>
      <c r="M56" s="70" cm="1">
        <f t="array" ref="M56">INDEX(Desc_TabelaToda,TB_Vendas[[#This Row],[Índice Linha]],TB_Vendas[[#This Row],[Índice Coluna]])</f>
        <v>0.1</v>
      </c>
      <c r="N56" s="70" cm="1">
        <f t="array" ref="N56">INDEX(Desc_TabelaToda,MATCH(TB_Vendas[[#This Row],[Qtd]],Desc_Quantidades,1),MATCH(_xlfn.XLOOKUP(TB_Vendas[[#This Row],[Código]],TB_Produtos[[#All],[Código]],TB_Produtos[[#All],[Categoria]]),Desc_Categorias,0))</f>
        <v>0.1</v>
      </c>
      <c r="O56" s="70">
        <f>_xlfn.XLOOKUP(TB_Vendas[[#This Row],[Vendedor]],Vendedores!$A$4:$A$9,Vendedores!$D$4:$D$9)</f>
        <v>0.1</v>
      </c>
      <c r="P56" s="70">
        <f>IF(TB_Vendas[[#This Row],[Desc. Vend.]]&gt;TB_Vendas[[#This Row],[Desc.]],TB_Vendas[[#This Row],[Desc.]],TB_Vendas[[#This Row],[Desc. Vend.]])</f>
        <v>0.1</v>
      </c>
      <c r="Q56" s="8">
        <f>TB_Vendas[[#This Row],[Preço Unitário]]*TB_Vendas[[#This Row],[Qtd]]</f>
        <v>180</v>
      </c>
      <c r="R56" s="1" t="s">
        <v>128</v>
      </c>
    </row>
    <row r="57" spans="1:18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 cm="1">
        <f t="array" ref="E57">_xlfn.XLOOKUP(TB_Vendas[[#This Row],[Código]],TB_Produtos[[#All],[Código]],TB_Produtos[[#All],[Categoria]])</f>
        <v>Vestuário</v>
      </c>
      <c r="F57" s="10">
        <f>MATCH(TB_Vendas[[#This Row],[Categoria]],Desc_Categorias,0)</f>
        <v>3</v>
      </c>
      <c r="G57" s="1">
        <v>3</v>
      </c>
      <c r="H57" s="1">
        <f>MATCH(TB_Vendas[[#This Row],[Qtd]],Desc_Quantidades,1)</f>
        <v>4</v>
      </c>
      <c r="I57" s="29">
        <f>VLOOKUP(TB_Vendas[[#This Row],[Código]],Produtos!$B$6:$G$66,6,0)</f>
        <v>32.9</v>
      </c>
      <c r="J57" s="121" cm="1">
        <f t="array" ref="J57">_xlfn.IFS(TB_Vendas[[#This Row],[Categoria]]='Cadastros Auxiliares'!$C$8,2,TB_Vendas[[#This Row],[Categoria]]='Cadastros Auxiliares'!$D$8,3,TB_Vendas[[#This Row],[Categoria]]='Cadastros Auxiliares'!$E$8,4)</f>
        <v>3</v>
      </c>
      <c r="K57" s="121" cm="1">
        <f t="array" ref="K5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57" s="70" cm="1">
        <f t="array" ref="L57">INDEX(Desc_TabelaToda,TB_Vendas[[#This Row],[Índice Linha2]],TB_Vendas[[#This Row],[Índice Coluna2]])</f>
        <v>0.2</v>
      </c>
      <c r="M57" s="70" cm="1">
        <f t="array" ref="M57">INDEX(Desc_TabelaToda,TB_Vendas[[#This Row],[Índice Linha]],TB_Vendas[[#This Row],[Índice Coluna]])</f>
        <v>0.2</v>
      </c>
      <c r="N57" s="70" cm="1">
        <f t="array" ref="N57">INDEX(Desc_TabelaToda,MATCH(TB_Vendas[[#This Row],[Qtd]],Desc_Quantidades,1),MATCH(_xlfn.XLOOKUP(TB_Vendas[[#This Row],[Código]],TB_Produtos[[#All],[Código]],TB_Produtos[[#All],[Categoria]]),Desc_Categorias,0))</f>
        <v>0.2</v>
      </c>
      <c r="O57" s="70">
        <f>_xlfn.XLOOKUP(TB_Vendas[[#This Row],[Vendedor]],Vendedores!$A$4:$A$9,Vendedores!$D$4:$D$9)</f>
        <v>0.25</v>
      </c>
      <c r="P57" s="70">
        <f>IF(TB_Vendas[[#This Row],[Desc. Vend.]]&gt;TB_Vendas[[#This Row],[Desc.]],TB_Vendas[[#This Row],[Desc.]],TB_Vendas[[#This Row],[Desc. Vend.]])</f>
        <v>0.2</v>
      </c>
      <c r="Q57" s="8">
        <f>TB_Vendas[[#This Row],[Preço Unitário]]*TB_Vendas[[#This Row],[Qtd]]</f>
        <v>98.699999999999989</v>
      </c>
      <c r="R57" s="1" t="s">
        <v>127</v>
      </c>
    </row>
    <row r="58" spans="1:18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 cm="1">
        <f t="array" ref="E58">_xlfn.XLOOKUP(TB_Vendas[[#This Row],[Código]],TB_Produtos[[#All],[Código]],TB_Produtos[[#All],[Categoria]])</f>
        <v>Vestuário</v>
      </c>
      <c r="F58" s="10">
        <f>MATCH(TB_Vendas[[#This Row],[Categoria]],Desc_Categorias,0)</f>
        <v>3</v>
      </c>
      <c r="G58" s="1">
        <v>4</v>
      </c>
      <c r="H58" s="1">
        <f>MATCH(TB_Vendas[[#This Row],[Qtd]],Desc_Quantidades,1)</f>
        <v>4</v>
      </c>
      <c r="I58" s="29">
        <f>VLOOKUP(TB_Vendas[[#This Row],[Código]],Produtos!$B$6:$G$66,6,0)</f>
        <v>92.9</v>
      </c>
      <c r="J58" s="121" cm="1">
        <f t="array" ref="J58">_xlfn.IFS(TB_Vendas[[#This Row],[Categoria]]='Cadastros Auxiliares'!$C$8,2,TB_Vendas[[#This Row],[Categoria]]='Cadastros Auxiliares'!$D$8,3,TB_Vendas[[#This Row],[Categoria]]='Cadastros Auxiliares'!$E$8,4)</f>
        <v>3</v>
      </c>
      <c r="K58" s="121" cm="1">
        <f t="array" ref="K5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58" s="70" cm="1">
        <f t="array" ref="L58">INDEX(Desc_TabelaToda,TB_Vendas[[#This Row],[Índice Linha2]],TB_Vendas[[#This Row],[Índice Coluna2]])</f>
        <v>0.2</v>
      </c>
      <c r="M58" s="70" cm="1">
        <f t="array" ref="M58">INDEX(Desc_TabelaToda,TB_Vendas[[#This Row],[Índice Linha]],TB_Vendas[[#This Row],[Índice Coluna]])</f>
        <v>0.2</v>
      </c>
      <c r="N58" s="70" cm="1">
        <f t="array" ref="N58">INDEX(Desc_TabelaToda,MATCH(TB_Vendas[[#This Row],[Qtd]],Desc_Quantidades,1),MATCH(_xlfn.XLOOKUP(TB_Vendas[[#This Row],[Código]],TB_Produtos[[#All],[Código]],TB_Produtos[[#All],[Categoria]]),Desc_Categorias,0))</f>
        <v>0.2</v>
      </c>
      <c r="O58" s="70">
        <f>_xlfn.XLOOKUP(TB_Vendas[[#This Row],[Vendedor]],Vendedores!$A$4:$A$9,Vendedores!$D$4:$D$9)</f>
        <v>0.2</v>
      </c>
      <c r="P58" s="70">
        <f>IF(TB_Vendas[[#This Row],[Desc. Vend.]]&gt;TB_Vendas[[#This Row],[Desc.]],TB_Vendas[[#This Row],[Desc.]],TB_Vendas[[#This Row],[Desc. Vend.]])</f>
        <v>0.2</v>
      </c>
      <c r="Q58" s="8">
        <f>TB_Vendas[[#This Row],[Preço Unitário]]*TB_Vendas[[#This Row],[Qtd]]</f>
        <v>371.6</v>
      </c>
      <c r="R58" s="1" t="s">
        <v>126</v>
      </c>
    </row>
    <row r="59" spans="1:18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 cm="1">
        <f t="array" ref="E59">_xlfn.XLOOKUP(TB_Vendas[[#This Row],[Código]],TB_Produtos[[#All],[Código]],TB_Produtos[[#All],[Categoria]])</f>
        <v>Calçado</v>
      </c>
      <c r="F59" s="10">
        <f>MATCH(TB_Vendas[[#This Row],[Categoria]],Desc_Categorias,0)</f>
        <v>4</v>
      </c>
      <c r="G59" s="1">
        <v>2</v>
      </c>
      <c r="H59" s="1">
        <f>MATCH(TB_Vendas[[#This Row],[Qtd]],Desc_Quantidades,1)</f>
        <v>3</v>
      </c>
      <c r="I59" s="29">
        <f>VLOOKUP(TB_Vendas[[#This Row],[Código]],Produtos!$B$6:$G$66,6,0)</f>
        <v>259.89999999999998</v>
      </c>
      <c r="J59" s="121" cm="1">
        <f t="array" ref="J59">_xlfn.IFS(TB_Vendas[[#This Row],[Categoria]]='Cadastros Auxiliares'!$C$8,2,TB_Vendas[[#This Row],[Categoria]]='Cadastros Auxiliares'!$D$8,3,TB_Vendas[[#This Row],[Categoria]]='Cadastros Auxiliares'!$E$8,4)</f>
        <v>4</v>
      </c>
      <c r="K59" s="121" cm="1">
        <f t="array" ref="K5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59" s="70" cm="1">
        <f t="array" ref="L59">INDEX(Desc_TabelaToda,TB_Vendas[[#This Row],[Índice Linha2]],TB_Vendas[[#This Row],[Índice Coluna2]])</f>
        <v>0.1</v>
      </c>
      <c r="M59" s="70" cm="1">
        <f t="array" ref="M59">INDEX(Desc_TabelaToda,TB_Vendas[[#This Row],[Índice Linha]],TB_Vendas[[#This Row],[Índice Coluna]])</f>
        <v>0.1</v>
      </c>
      <c r="N59" s="70" cm="1">
        <f t="array" ref="N59">INDEX(Desc_TabelaToda,MATCH(TB_Vendas[[#This Row],[Qtd]],Desc_Quantidades,1),MATCH(_xlfn.XLOOKUP(TB_Vendas[[#This Row],[Código]],TB_Produtos[[#All],[Código]],TB_Produtos[[#All],[Categoria]]),Desc_Categorias,0))</f>
        <v>0.1</v>
      </c>
      <c r="O59" s="70">
        <f>_xlfn.XLOOKUP(TB_Vendas[[#This Row],[Vendedor]],Vendedores!$A$4:$A$9,Vendedores!$D$4:$D$9)</f>
        <v>0.1</v>
      </c>
      <c r="P59" s="70">
        <f>IF(TB_Vendas[[#This Row],[Desc. Vend.]]&gt;TB_Vendas[[#This Row],[Desc.]],TB_Vendas[[#This Row],[Desc.]],TB_Vendas[[#This Row],[Desc. Vend.]])</f>
        <v>0.1</v>
      </c>
      <c r="Q59" s="8">
        <f>TB_Vendas[[#This Row],[Preço Unitário]]*TB_Vendas[[#This Row],[Qtd]]</f>
        <v>519.79999999999995</v>
      </c>
      <c r="R59" s="1" t="s">
        <v>128</v>
      </c>
    </row>
    <row r="60" spans="1:18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 cm="1">
        <f t="array" ref="E60">_xlfn.XLOOKUP(TB_Vendas[[#This Row],[Código]],TB_Produtos[[#All],[Código]],TB_Produtos[[#All],[Categoria]])</f>
        <v>Vestuário</v>
      </c>
      <c r="F60" s="10">
        <f>MATCH(TB_Vendas[[#This Row],[Categoria]],Desc_Categorias,0)</f>
        <v>3</v>
      </c>
      <c r="G60" s="1">
        <v>1</v>
      </c>
      <c r="H60" s="1">
        <f>MATCH(TB_Vendas[[#This Row],[Qtd]],Desc_Quantidades,1)</f>
        <v>2</v>
      </c>
      <c r="I60" s="29">
        <f>VLOOKUP(TB_Vendas[[#This Row],[Código]],Produtos!$B$6:$G$66,6,0)</f>
        <v>259.89999999999998</v>
      </c>
      <c r="J60" s="121" cm="1">
        <f t="array" ref="J60">_xlfn.IFS(TB_Vendas[[#This Row],[Categoria]]='Cadastros Auxiliares'!$C$8,2,TB_Vendas[[#This Row],[Categoria]]='Cadastros Auxiliares'!$D$8,3,TB_Vendas[[#This Row],[Categoria]]='Cadastros Auxiliares'!$E$8,4)</f>
        <v>3</v>
      </c>
      <c r="K60" s="121" cm="1">
        <f t="array" ref="K6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60" s="70" cm="1">
        <f t="array" ref="L60">INDEX(Desc_TabelaToda,TB_Vendas[[#This Row],[Índice Linha2]],TB_Vendas[[#This Row],[Índice Coluna2]])</f>
        <v>0.1</v>
      </c>
      <c r="M60" s="70" cm="1">
        <f t="array" ref="M60">INDEX(Desc_TabelaToda,TB_Vendas[[#This Row],[Índice Linha]],TB_Vendas[[#This Row],[Índice Coluna]])</f>
        <v>0.1</v>
      </c>
      <c r="N60" s="70" cm="1">
        <f t="array" ref="N60">INDEX(Desc_TabelaToda,MATCH(TB_Vendas[[#This Row],[Qtd]],Desc_Quantidades,1),MATCH(_xlfn.XLOOKUP(TB_Vendas[[#This Row],[Código]],TB_Produtos[[#All],[Código]],TB_Produtos[[#All],[Categoria]]),Desc_Categorias,0))</f>
        <v>0.1</v>
      </c>
      <c r="O60" s="70">
        <f>_xlfn.XLOOKUP(TB_Vendas[[#This Row],[Vendedor]],Vendedores!$A$4:$A$9,Vendedores!$D$4:$D$9)</f>
        <v>0.15</v>
      </c>
      <c r="P60" s="70">
        <f>IF(TB_Vendas[[#This Row],[Desc. Vend.]]&gt;TB_Vendas[[#This Row],[Desc.]],TB_Vendas[[#This Row],[Desc.]],TB_Vendas[[#This Row],[Desc. Vend.]])</f>
        <v>0.1</v>
      </c>
      <c r="Q60" s="8">
        <f>TB_Vendas[[#This Row],[Preço Unitário]]*TB_Vendas[[#This Row],[Qtd]]</f>
        <v>259.89999999999998</v>
      </c>
      <c r="R60" s="1" t="s">
        <v>130</v>
      </c>
    </row>
    <row r="61" spans="1:18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 cm="1">
        <f t="array" ref="E61">_xlfn.XLOOKUP(TB_Vendas[[#This Row],[Código]],TB_Produtos[[#All],[Código]],TB_Produtos[[#All],[Categoria]])</f>
        <v>Vestuário</v>
      </c>
      <c r="F61" s="10">
        <f>MATCH(TB_Vendas[[#This Row],[Categoria]],Desc_Categorias,0)</f>
        <v>3</v>
      </c>
      <c r="G61" s="1">
        <v>5</v>
      </c>
      <c r="H61" s="1">
        <f>MATCH(TB_Vendas[[#This Row],[Qtd]],Desc_Quantidades,1)</f>
        <v>5</v>
      </c>
      <c r="I61" s="29">
        <f>VLOOKUP(TB_Vendas[[#This Row],[Código]],Produtos!$B$6:$G$66,6,0)</f>
        <v>42.5</v>
      </c>
      <c r="J61" s="121" cm="1">
        <f t="array" ref="J61">_xlfn.IFS(TB_Vendas[[#This Row],[Categoria]]='Cadastros Auxiliares'!$C$8,2,TB_Vendas[[#This Row],[Categoria]]='Cadastros Auxiliares'!$D$8,3,TB_Vendas[[#This Row],[Categoria]]='Cadastros Auxiliares'!$E$8,4)</f>
        <v>3</v>
      </c>
      <c r="K61" s="121" cm="1">
        <f t="array" ref="K6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61" s="70" cm="1">
        <f t="array" ref="L61">INDEX(Desc_TabelaToda,TB_Vendas[[#This Row],[Índice Linha2]],TB_Vendas[[#This Row],[Índice Coluna2]])</f>
        <v>0.25</v>
      </c>
      <c r="M61" s="70" cm="1">
        <f t="array" ref="M61">INDEX(Desc_TabelaToda,TB_Vendas[[#This Row],[Índice Linha]],TB_Vendas[[#This Row],[Índice Coluna]])</f>
        <v>0.25</v>
      </c>
      <c r="N61" s="70" cm="1">
        <f t="array" ref="N61">INDEX(Desc_TabelaToda,MATCH(TB_Vendas[[#This Row],[Qtd]],Desc_Quantidades,1),MATCH(_xlfn.XLOOKUP(TB_Vendas[[#This Row],[Código]],TB_Produtos[[#All],[Código]],TB_Produtos[[#All],[Categoria]]),Desc_Categorias,0))</f>
        <v>0.25</v>
      </c>
      <c r="O61" s="70">
        <f>_xlfn.XLOOKUP(TB_Vendas[[#This Row],[Vendedor]],Vendedores!$A$4:$A$9,Vendedores!$D$4:$D$9)</f>
        <v>0.15</v>
      </c>
      <c r="P61" s="70">
        <f>IF(TB_Vendas[[#This Row],[Desc. Vend.]]&gt;TB_Vendas[[#This Row],[Desc.]],TB_Vendas[[#This Row],[Desc.]],TB_Vendas[[#This Row],[Desc. Vend.]])</f>
        <v>0.15</v>
      </c>
      <c r="Q61" s="8">
        <f>TB_Vendas[[#This Row],[Preço Unitário]]*TB_Vendas[[#This Row],[Qtd]]</f>
        <v>212.5</v>
      </c>
      <c r="R61" s="1" t="s">
        <v>130</v>
      </c>
    </row>
    <row r="62" spans="1:18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 cm="1">
        <f t="array" ref="E62">_xlfn.XLOOKUP(TB_Vendas[[#This Row],[Código]],TB_Produtos[[#All],[Código]],TB_Produtos[[#All],[Categoria]])</f>
        <v>Vestuário</v>
      </c>
      <c r="F62" s="10">
        <f>MATCH(TB_Vendas[[#This Row],[Categoria]],Desc_Categorias,0)</f>
        <v>3</v>
      </c>
      <c r="G62" s="1">
        <v>2</v>
      </c>
      <c r="H62" s="1">
        <f>MATCH(TB_Vendas[[#This Row],[Qtd]],Desc_Quantidades,1)</f>
        <v>3</v>
      </c>
      <c r="I62" s="29">
        <f>VLOOKUP(TB_Vendas[[#This Row],[Código]],Produtos!$B$6:$G$66,6,0)</f>
        <v>32.9</v>
      </c>
      <c r="J62" s="121" cm="1">
        <f t="array" ref="J62">_xlfn.IFS(TB_Vendas[[#This Row],[Categoria]]='Cadastros Auxiliares'!$C$8,2,TB_Vendas[[#This Row],[Categoria]]='Cadastros Auxiliares'!$D$8,3,TB_Vendas[[#This Row],[Categoria]]='Cadastros Auxiliares'!$E$8,4)</f>
        <v>3</v>
      </c>
      <c r="K62" s="121" cm="1">
        <f t="array" ref="K6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62" s="70" cm="1">
        <f t="array" ref="L62">INDEX(Desc_TabelaToda,TB_Vendas[[#This Row],[Índice Linha2]],TB_Vendas[[#This Row],[Índice Coluna2]])</f>
        <v>0.15</v>
      </c>
      <c r="M62" s="70" cm="1">
        <f t="array" ref="M62">INDEX(Desc_TabelaToda,TB_Vendas[[#This Row],[Índice Linha]],TB_Vendas[[#This Row],[Índice Coluna]])</f>
        <v>0.15</v>
      </c>
      <c r="N62" s="70" cm="1">
        <f t="array" ref="N62">INDEX(Desc_TabelaToda,MATCH(TB_Vendas[[#This Row],[Qtd]],Desc_Quantidades,1),MATCH(_xlfn.XLOOKUP(TB_Vendas[[#This Row],[Código]],TB_Produtos[[#All],[Código]],TB_Produtos[[#All],[Categoria]]),Desc_Categorias,0))</f>
        <v>0.15</v>
      </c>
      <c r="O62" s="70">
        <f>_xlfn.XLOOKUP(TB_Vendas[[#This Row],[Vendedor]],Vendedores!$A$4:$A$9,Vendedores!$D$4:$D$9)</f>
        <v>0.15</v>
      </c>
      <c r="P62" s="70">
        <f>IF(TB_Vendas[[#This Row],[Desc. Vend.]]&gt;TB_Vendas[[#This Row],[Desc.]],TB_Vendas[[#This Row],[Desc.]],TB_Vendas[[#This Row],[Desc. Vend.]])</f>
        <v>0.15</v>
      </c>
      <c r="Q62" s="8">
        <f>TB_Vendas[[#This Row],[Preço Unitário]]*TB_Vendas[[#This Row],[Qtd]]</f>
        <v>65.8</v>
      </c>
      <c r="R62" s="1" t="s">
        <v>130</v>
      </c>
    </row>
    <row r="63" spans="1:18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 cm="1">
        <f t="array" ref="E63">_xlfn.XLOOKUP(TB_Vendas[[#This Row],[Código]],TB_Produtos[[#All],[Código]],TB_Produtos[[#All],[Categoria]])</f>
        <v>Vestuário</v>
      </c>
      <c r="F63" s="10">
        <f>MATCH(TB_Vendas[[#This Row],[Categoria]],Desc_Categorias,0)</f>
        <v>3</v>
      </c>
      <c r="G63" s="1">
        <v>3</v>
      </c>
      <c r="H63" s="1">
        <f>MATCH(TB_Vendas[[#This Row],[Qtd]],Desc_Quantidades,1)</f>
        <v>4</v>
      </c>
      <c r="I63" s="29">
        <f>VLOOKUP(TB_Vendas[[#This Row],[Código]],Produtos!$B$6:$G$66,6,0)</f>
        <v>92.9</v>
      </c>
      <c r="J63" s="121" cm="1">
        <f t="array" ref="J63">_xlfn.IFS(TB_Vendas[[#This Row],[Categoria]]='Cadastros Auxiliares'!$C$8,2,TB_Vendas[[#This Row],[Categoria]]='Cadastros Auxiliares'!$D$8,3,TB_Vendas[[#This Row],[Categoria]]='Cadastros Auxiliares'!$E$8,4)</f>
        <v>3</v>
      </c>
      <c r="K63" s="121" cm="1">
        <f t="array" ref="K6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63" s="70" cm="1">
        <f t="array" ref="L63">INDEX(Desc_TabelaToda,TB_Vendas[[#This Row],[Índice Linha2]],TB_Vendas[[#This Row],[Índice Coluna2]])</f>
        <v>0.2</v>
      </c>
      <c r="M63" s="70" cm="1">
        <f t="array" ref="M63">INDEX(Desc_TabelaToda,TB_Vendas[[#This Row],[Índice Linha]],TB_Vendas[[#This Row],[Índice Coluna]])</f>
        <v>0.2</v>
      </c>
      <c r="N63" s="70" cm="1">
        <f t="array" ref="N63">INDEX(Desc_TabelaToda,MATCH(TB_Vendas[[#This Row],[Qtd]],Desc_Quantidades,1),MATCH(_xlfn.XLOOKUP(TB_Vendas[[#This Row],[Código]],TB_Produtos[[#All],[Código]],TB_Produtos[[#All],[Categoria]]),Desc_Categorias,0))</f>
        <v>0.2</v>
      </c>
      <c r="O63" s="70">
        <f>_xlfn.XLOOKUP(TB_Vendas[[#This Row],[Vendedor]],Vendedores!$A$4:$A$9,Vendedores!$D$4:$D$9)</f>
        <v>0.2</v>
      </c>
      <c r="P63" s="70">
        <f>IF(TB_Vendas[[#This Row],[Desc. Vend.]]&gt;TB_Vendas[[#This Row],[Desc.]],TB_Vendas[[#This Row],[Desc.]],TB_Vendas[[#This Row],[Desc. Vend.]])</f>
        <v>0.2</v>
      </c>
      <c r="Q63" s="8">
        <f>TB_Vendas[[#This Row],[Preço Unitário]]*TB_Vendas[[#This Row],[Qtd]]</f>
        <v>278.70000000000005</v>
      </c>
      <c r="R63" s="1" t="s">
        <v>126</v>
      </c>
    </row>
    <row r="64" spans="1:18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 cm="1">
        <f t="array" ref="E64">_xlfn.XLOOKUP(TB_Vendas[[#This Row],[Código]],TB_Produtos[[#All],[Código]],TB_Produtos[[#All],[Categoria]])</f>
        <v>Vestuário</v>
      </c>
      <c r="F64" s="10">
        <f>MATCH(TB_Vendas[[#This Row],[Categoria]],Desc_Categorias,0)</f>
        <v>3</v>
      </c>
      <c r="G64" s="1">
        <v>10</v>
      </c>
      <c r="H64" s="1">
        <f>MATCH(TB_Vendas[[#This Row],[Qtd]],Desc_Quantidades,1)</f>
        <v>6</v>
      </c>
      <c r="I64" s="29">
        <f>VLOOKUP(TB_Vendas[[#This Row],[Código]],Produtos!$B$6:$G$66,6,0)</f>
        <v>25.9</v>
      </c>
      <c r="J64" s="121" cm="1">
        <f t="array" ref="J64">_xlfn.IFS(TB_Vendas[[#This Row],[Categoria]]='Cadastros Auxiliares'!$C$8,2,TB_Vendas[[#This Row],[Categoria]]='Cadastros Auxiliares'!$D$8,3,TB_Vendas[[#This Row],[Categoria]]='Cadastros Auxiliares'!$E$8,4)</f>
        <v>3</v>
      </c>
      <c r="K64" s="121" cm="1">
        <f t="array" ref="K6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6</v>
      </c>
      <c r="L64" s="70" cm="1">
        <f t="array" ref="L64">INDEX(Desc_TabelaToda,TB_Vendas[[#This Row],[Índice Linha2]],TB_Vendas[[#This Row],[Índice Coluna2]])</f>
        <v>0.3</v>
      </c>
      <c r="M64" s="70" cm="1">
        <f t="array" ref="M64">INDEX(Desc_TabelaToda,TB_Vendas[[#This Row],[Índice Linha]],TB_Vendas[[#This Row],[Índice Coluna]])</f>
        <v>0.3</v>
      </c>
      <c r="N64" s="70" cm="1">
        <f t="array" ref="N64">INDEX(Desc_TabelaToda,MATCH(TB_Vendas[[#This Row],[Qtd]],Desc_Quantidades,1),MATCH(_xlfn.XLOOKUP(TB_Vendas[[#This Row],[Código]],TB_Produtos[[#All],[Código]],TB_Produtos[[#All],[Categoria]]),Desc_Categorias,0))</f>
        <v>0.3</v>
      </c>
      <c r="O64" s="70">
        <f>_xlfn.XLOOKUP(TB_Vendas[[#This Row],[Vendedor]],Vendedores!$A$4:$A$9,Vendedores!$D$4:$D$9)</f>
        <v>0.2</v>
      </c>
      <c r="P64" s="70">
        <f>IF(TB_Vendas[[#This Row],[Desc. Vend.]]&gt;TB_Vendas[[#This Row],[Desc.]],TB_Vendas[[#This Row],[Desc.]],TB_Vendas[[#This Row],[Desc. Vend.]])</f>
        <v>0.2</v>
      </c>
      <c r="Q64" s="8">
        <f>TB_Vendas[[#This Row],[Preço Unitário]]*TB_Vendas[[#This Row],[Qtd]]</f>
        <v>259</v>
      </c>
      <c r="R64" s="1" t="s">
        <v>126</v>
      </c>
    </row>
    <row r="65" spans="1:18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 cm="1">
        <f t="array" ref="E65">_xlfn.XLOOKUP(TB_Vendas[[#This Row],[Código]],TB_Produtos[[#All],[Código]],TB_Produtos[[#All],[Categoria]])</f>
        <v>Vestuário</v>
      </c>
      <c r="F65" s="10">
        <f>MATCH(TB_Vendas[[#This Row],[Categoria]],Desc_Categorias,0)</f>
        <v>3</v>
      </c>
      <c r="G65" s="1">
        <v>1</v>
      </c>
      <c r="H65" s="1">
        <f>MATCH(TB_Vendas[[#This Row],[Qtd]],Desc_Quantidades,1)</f>
        <v>2</v>
      </c>
      <c r="I65" s="29">
        <f>VLOOKUP(TB_Vendas[[#This Row],[Código]],Produtos!$B$6:$G$66,6,0)</f>
        <v>72.5</v>
      </c>
      <c r="J65" s="121" cm="1">
        <f t="array" ref="J65">_xlfn.IFS(TB_Vendas[[#This Row],[Categoria]]='Cadastros Auxiliares'!$C$8,2,TB_Vendas[[#This Row],[Categoria]]='Cadastros Auxiliares'!$D$8,3,TB_Vendas[[#This Row],[Categoria]]='Cadastros Auxiliares'!$E$8,4)</f>
        <v>3</v>
      </c>
      <c r="K65" s="121" cm="1">
        <f t="array" ref="K6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65" s="70" cm="1">
        <f t="array" ref="L65">INDEX(Desc_TabelaToda,TB_Vendas[[#This Row],[Índice Linha2]],TB_Vendas[[#This Row],[Índice Coluna2]])</f>
        <v>0.1</v>
      </c>
      <c r="M65" s="70" cm="1">
        <f t="array" ref="M65">INDEX(Desc_TabelaToda,TB_Vendas[[#This Row],[Índice Linha]],TB_Vendas[[#This Row],[Índice Coluna]])</f>
        <v>0.1</v>
      </c>
      <c r="N65" s="70" cm="1">
        <f t="array" ref="N65">INDEX(Desc_TabelaToda,MATCH(TB_Vendas[[#This Row],[Qtd]],Desc_Quantidades,1),MATCH(_xlfn.XLOOKUP(TB_Vendas[[#This Row],[Código]],TB_Produtos[[#All],[Código]],TB_Produtos[[#All],[Categoria]]),Desc_Categorias,0))</f>
        <v>0.1</v>
      </c>
      <c r="O65" s="70">
        <f>_xlfn.XLOOKUP(TB_Vendas[[#This Row],[Vendedor]],Vendedores!$A$4:$A$9,Vendedores!$D$4:$D$9)</f>
        <v>0.25</v>
      </c>
      <c r="P65" s="70">
        <f>IF(TB_Vendas[[#This Row],[Desc. Vend.]]&gt;TB_Vendas[[#This Row],[Desc.]],TB_Vendas[[#This Row],[Desc.]],TB_Vendas[[#This Row],[Desc. Vend.]])</f>
        <v>0.1</v>
      </c>
      <c r="Q65" s="8">
        <f>TB_Vendas[[#This Row],[Preço Unitário]]*TB_Vendas[[#This Row],[Qtd]]</f>
        <v>72.5</v>
      </c>
      <c r="R65" s="1" t="s">
        <v>127</v>
      </c>
    </row>
    <row r="66" spans="1:18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 cm="1">
        <f t="array" ref="E66">_xlfn.XLOOKUP(TB_Vendas[[#This Row],[Código]],TB_Produtos[[#All],[Código]],TB_Produtos[[#All],[Categoria]])</f>
        <v>Vestuário</v>
      </c>
      <c r="F66" s="10">
        <f>MATCH(TB_Vendas[[#This Row],[Categoria]],Desc_Categorias,0)</f>
        <v>3</v>
      </c>
      <c r="G66" s="1">
        <v>4</v>
      </c>
      <c r="H66" s="1">
        <f>MATCH(TB_Vendas[[#This Row],[Qtd]],Desc_Quantidades,1)</f>
        <v>4</v>
      </c>
      <c r="I66" s="29">
        <f>VLOOKUP(TB_Vendas[[#This Row],[Código]],Produtos!$B$6:$G$66,6,0)</f>
        <v>302.89999999999998</v>
      </c>
      <c r="J66" s="121" cm="1">
        <f t="array" ref="J66">_xlfn.IFS(TB_Vendas[[#This Row],[Categoria]]='Cadastros Auxiliares'!$C$8,2,TB_Vendas[[#This Row],[Categoria]]='Cadastros Auxiliares'!$D$8,3,TB_Vendas[[#This Row],[Categoria]]='Cadastros Auxiliares'!$E$8,4)</f>
        <v>3</v>
      </c>
      <c r="K66" s="121" cm="1">
        <f t="array" ref="K6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66" s="70" cm="1">
        <f t="array" ref="L66">INDEX(Desc_TabelaToda,TB_Vendas[[#This Row],[Índice Linha2]],TB_Vendas[[#This Row],[Índice Coluna2]])</f>
        <v>0.2</v>
      </c>
      <c r="M66" s="70" cm="1">
        <f t="array" ref="M66">INDEX(Desc_TabelaToda,TB_Vendas[[#This Row],[Índice Linha]],TB_Vendas[[#This Row],[Índice Coluna]])</f>
        <v>0.2</v>
      </c>
      <c r="N66" s="70" cm="1">
        <f t="array" ref="N66">INDEX(Desc_TabelaToda,MATCH(TB_Vendas[[#This Row],[Qtd]],Desc_Quantidades,1),MATCH(_xlfn.XLOOKUP(TB_Vendas[[#This Row],[Código]],TB_Produtos[[#All],[Código]],TB_Produtos[[#All],[Categoria]]),Desc_Categorias,0))</f>
        <v>0.2</v>
      </c>
      <c r="O66" s="70">
        <f>_xlfn.XLOOKUP(TB_Vendas[[#This Row],[Vendedor]],Vendedores!$A$4:$A$9,Vendedores!$D$4:$D$9)</f>
        <v>0.15</v>
      </c>
      <c r="P66" s="70">
        <f>IF(TB_Vendas[[#This Row],[Desc. Vend.]]&gt;TB_Vendas[[#This Row],[Desc.]],TB_Vendas[[#This Row],[Desc.]],TB_Vendas[[#This Row],[Desc. Vend.]])</f>
        <v>0.15</v>
      </c>
      <c r="Q66" s="8">
        <f>TB_Vendas[[#This Row],[Preço Unitário]]*TB_Vendas[[#This Row],[Qtd]]</f>
        <v>1211.5999999999999</v>
      </c>
      <c r="R66" s="1" t="s">
        <v>130</v>
      </c>
    </row>
    <row r="67" spans="1:18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 cm="1">
        <f t="array" ref="E67">_xlfn.XLOOKUP(TB_Vendas[[#This Row],[Código]],TB_Produtos[[#All],[Código]],TB_Produtos[[#All],[Categoria]])</f>
        <v>Vestuário</v>
      </c>
      <c r="F67" s="10">
        <f>MATCH(TB_Vendas[[#This Row],[Categoria]],Desc_Categorias,0)</f>
        <v>3</v>
      </c>
      <c r="G67" s="1">
        <v>8</v>
      </c>
      <c r="H67" s="1">
        <f>MATCH(TB_Vendas[[#This Row],[Qtd]],Desc_Quantidades,1)</f>
        <v>5</v>
      </c>
      <c r="I67" s="29">
        <f>VLOOKUP(TB_Vendas[[#This Row],[Código]],Produtos!$B$6:$G$66,6,0)</f>
        <v>289.89999999999998</v>
      </c>
      <c r="J67" s="121" cm="1">
        <f t="array" ref="J67">_xlfn.IFS(TB_Vendas[[#This Row],[Categoria]]='Cadastros Auxiliares'!$C$8,2,TB_Vendas[[#This Row],[Categoria]]='Cadastros Auxiliares'!$D$8,3,TB_Vendas[[#This Row],[Categoria]]='Cadastros Auxiliares'!$E$8,4)</f>
        <v>3</v>
      </c>
      <c r="K67" s="121" cm="1">
        <f t="array" ref="K6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67" s="70" cm="1">
        <f t="array" ref="L67">INDEX(Desc_TabelaToda,TB_Vendas[[#This Row],[Índice Linha2]],TB_Vendas[[#This Row],[Índice Coluna2]])</f>
        <v>0.25</v>
      </c>
      <c r="M67" s="70" cm="1">
        <f t="array" ref="M67">INDEX(Desc_TabelaToda,TB_Vendas[[#This Row],[Índice Linha]],TB_Vendas[[#This Row],[Índice Coluna]])</f>
        <v>0.25</v>
      </c>
      <c r="N67" s="70" cm="1">
        <f t="array" ref="N67">INDEX(Desc_TabelaToda,MATCH(TB_Vendas[[#This Row],[Qtd]],Desc_Quantidades,1),MATCH(_xlfn.XLOOKUP(TB_Vendas[[#This Row],[Código]],TB_Produtos[[#All],[Código]],TB_Produtos[[#All],[Categoria]]),Desc_Categorias,0))</f>
        <v>0.25</v>
      </c>
      <c r="O67" s="70">
        <f>_xlfn.XLOOKUP(TB_Vendas[[#This Row],[Vendedor]],Vendedores!$A$4:$A$9,Vendedores!$D$4:$D$9)</f>
        <v>0.2</v>
      </c>
      <c r="P67" s="70">
        <f>IF(TB_Vendas[[#This Row],[Desc. Vend.]]&gt;TB_Vendas[[#This Row],[Desc.]],TB_Vendas[[#This Row],[Desc.]],TB_Vendas[[#This Row],[Desc. Vend.]])</f>
        <v>0.2</v>
      </c>
      <c r="Q67" s="8">
        <f>TB_Vendas[[#This Row],[Preço Unitário]]*TB_Vendas[[#This Row],[Qtd]]</f>
        <v>2319.1999999999998</v>
      </c>
      <c r="R67" s="1" t="s">
        <v>126</v>
      </c>
    </row>
    <row r="68" spans="1:18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 cm="1">
        <f t="array" ref="E68">_xlfn.XLOOKUP(TB_Vendas[[#This Row],[Código]],TB_Produtos[[#All],[Código]],TB_Produtos[[#All],[Categoria]])</f>
        <v>Vestuário</v>
      </c>
      <c r="F68" s="10">
        <f>MATCH(TB_Vendas[[#This Row],[Categoria]],Desc_Categorias,0)</f>
        <v>3</v>
      </c>
      <c r="G68" s="1">
        <v>2</v>
      </c>
      <c r="H68" s="1">
        <f>MATCH(TB_Vendas[[#This Row],[Qtd]],Desc_Quantidades,1)</f>
        <v>3</v>
      </c>
      <c r="I68" s="29">
        <f>VLOOKUP(TB_Vendas[[#This Row],[Código]],Produtos!$B$6:$G$66,6,0)</f>
        <v>54.9</v>
      </c>
      <c r="J68" s="121" cm="1">
        <f t="array" ref="J68">_xlfn.IFS(TB_Vendas[[#This Row],[Categoria]]='Cadastros Auxiliares'!$C$8,2,TB_Vendas[[#This Row],[Categoria]]='Cadastros Auxiliares'!$D$8,3,TB_Vendas[[#This Row],[Categoria]]='Cadastros Auxiliares'!$E$8,4)</f>
        <v>3</v>
      </c>
      <c r="K68" s="121" cm="1">
        <f t="array" ref="K6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68" s="70" cm="1">
        <f t="array" ref="L68">INDEX(Desc_TabelaToda,TB_Vendas[[#This Row],[Índice Linha2]],TB_Vendas[[#This Row],[Índice Coluna2]])</f>
        <v>0.15</v>
      </c>
      <c r="M68" s="70" cm="1">
        <f t="array" ref="M68">INDEX(Desc_TabelaToda,TB_Vendas[[#This Row],[Índice Linha]],TB_Vendas[[#This Row],[Índice Coluna]])</f>
        <v>0.15</v>
      </c>
      <c r="N68" s="70" cm="1">
        <f t="array" ref="N68">INDEX(Desc_TabelaToda,MATCH(TB_Vendas[[#This Row],[Qtd]],Desc_Quantidades,1),MATCH(_xlfn.XLOOKUP(TB_Vendas[[#This Row],[Código]],TB_Produtos[[#All],[Código]],TB_Produtos[[#All],[Categoria]]),Desc_Categorias,0))</f>
        <v>0.15</v>
      </c>
      <c r="O68" s="70">
        <f>_xlfn.XLOOKUP(TB_Vendas[[#This Row],[Vendedor]],Vendedores!$A$4:$A$9,Vendedores!$D$4:$D$9)</f>
        <v>0.2</v>
      </c>
      <c r="P68" s="70">
        <f>IF(TB_Vendas[[#This Row],[Desc. Vend.]]&gt;TB_Vendas[[#This Row],[Desc.]],TB_Vendas[[#This Row],[Desc.]],TB_Vendas[[#This Row],[Desc. Vend.]])</f>
        <v>0.15</v>
      </c>
      <c r="Q68" s="8">
        <f>TB_Vendas[[#This Row],[Preço Unitário]]*TB_Vendas[[#This Row],[Qtd]]</f>
        <v>109.8</v>
      </c>
      <c r="R68" s="1" t="s">
        <v>126</v>
      </c>
    </row>
    <row r="69" spans="1:18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 cm="1">
        <f t="array" ref="E69">_xlfn.XLOOKUP(TB_Vendas[[#This Row],[Código]],TB_Produtos[[#All],[Código]],TB_Produtos[[#All],[Categoria]])</f>
        <v>Vestuário</v>
      </c>
      <c r="F69" s="10">
        <f>MATCH(TB_Vendas[[#This Row],[Categoria]],Desc_Categorias,0)</f>
        <v>3</v>
      </c>
      <c r="G69" s="1">
        <v>2</v>
      </c>
      <c r="H69" s="1">
        <f>MATCH(TB_Vendas[[#This Row],[Qtd]],Desc_Quantidades,1)</f>
        <v>3</v>
      </c>
      <c r="I69" s="29">
        <f>VLOOKUP(TB_Vendas[[#This Row],[Código]],Produtos!$B$6:$G$66,6,0)</f>
        <v>39.9</v>
      </c>
      <c r="J69" s="121" cm="1">
        <f t="array" ref="J69">_xlfn.IFS(TB_Vendas[[#This Row],[Categoria]]='Cadastros Auxiliares'!$C$8,2,TB_Vendas[[#This Row],[Categoria]]='Cadastros Auxiliares'!$D$8,3,TB_Vendas[[#This Row],[Categoria]]='Cadastros Auxiliares'!$E$8,4)</f>
        <v>3</v>
      </c>
      <c r="K69" s="121" cm="1">
        <f t="array" ref="K6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69" s="70" cm="1">
        <f t="array" ref="L69">INDEX(Desc_TabelaToda,TB_Vendas[[#This Row],[Índice Linha2]],TB_Vendas[[#This Row],[Índice Coluna2]])</f>
        <v>0.15</v>
      </c>
      <c r="M69" s="70" cm="1">
        <f t="array" ref="M69">INDEX(Desc_TabelaToda,TB_Vendas[[#This Row],[Índice Linha]],TB_Vendas[[#This Row],[Índice Coluna]])</f>
        <v>0.15</v>
      </c>
      <c r="N69" s="70" cm="1">
        <f t="array" ref="N69">INDEX(Desc_TabelaToda,MATCH(TB_Vendas[[#This Row],[Qtd]],Desc_Quantidades,1),MATCH(_xlfn.XLOOKUP(TB_Vendas[[#This Row],[Código]],TB_Produtos[[#All],[Código]],TB_Produtos[[#All],[Categoria]]),Desc_Categorias,0))</f>
        <v>0.15</v>
      </c>
      <c r="O69" s="70">
        <f>_xlfn.XLOOKUP(TB_Vendas[[#This Row],[Vendedor]],Vendedores!$A$4:$A$9,Vendedores!$D$4:$D$9)</f>
        <v>0.15</v>
      </c>
      <c r="P69" s="70">
        <f>IF(TB_Vendas[[#This Row],[Desc. Vend.]]&gt;TB_Vendas[[#This Row],[Desc.]],TB_Vendas[[#This Row],[Desc.]],TB_Vendas[[#This Row],[Desc. Vend.]])</f>
        <v>0.15</v>
      </c>
      <c r="Q69" s="8">
        <f>TB_Vendas[[#This Row],[Preço Unitário]]*TB_Vendas[[#This Row],[Qtd]]</f>
        <v>79.8</v>
      </c>
      <c r="R69" s="1" t="s">
        <v>130</v>
      </c>
    </row>
    <row r="70" spans="1:18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 cm="1">
        <f t="array" ref="E70">_xlfn.XLOOKUP(TB_Vendas[[#This Row],[Código]],TB_Produtos[[#All],[Código]],TB_Produtos[[#All],[Categoria]])</f>
        <v>Vestuário</v>
      </c>
      <c r="F70" s="10">
        <f>MATCH(TB_Vendas[[#This Row],[Categoria]],Desc_Categorias,0)</f>
        <v>3</v>
      </c>
      <c r="G70" s="1">
        <v>7</v>
      </c>
      <c r="H70" s="1">
        <f>MATCH(TB_Vendas[[#This Row],[Qtd]],Desc_Quantidades,1)</f>
        <v>5</v>
      </c>
      <c r="I70" s="29">
        <f>VLOOKUP(TB_Vendas[[#This Row],[Código]],Produtos!$B$6:$G$66,6,0)</f>
        <v>54.9</v>
      </c>
      <c r="J70" s="121" cm="1">
        <f t="array" ref="J70">_xlfn.IFS(TB_Vendas[[#This Row],[Categoria]]='Cadastros Auxiliares'!$C$8,2,TB_Vendas[[#This Row],[Categoria]]='Cadastros Auxiliares'!$D$8,3,TB_Vendas[[#This Row],[Categoria]]='Cadastros Auxiliares'!$E$8,4)</f>
        <v>3</v>
      </c>
      <c r="K70" s="121" cm="1">
        <f t="array" ref="K7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70" s="70" cm="1">
        <f t="array" ref="L70">INDEX(Desc_TabelaToda,TB_Vendas[[#This Row],[Índice Linha2]],TB_Vendas[[#This Row],[Índice Coluna2]])</f>
        <v>0.25</v>
      </c>
      <c r="M70" s="70" cm="1">
        <f t="array" ref="M70">INDEX(Desc_TabelaToda,TB_Vendas[[#This Row],[Índice Linha]],TB_Vendas[[#This Row],[Índice Coluna]])</f>
        <v>0.25</v>
      </c>
      <c r="N70" s="70" cm="1">
        <f t="array" ref="N70">INDEX(Desc_TabelaToda,MATCH(TB_Vendas[[#This Row],[Qtd]],Desc_Quantidades,1),MATCH(_xlfn.XLOOKUP(TB_Vendas[[#This Row],[Código]],TB_Produtos[[#All],[Código]],TB_Produtos[[#All],[Categoria]]),Desc_Categorias,0))</f>
        <v>0.25</v>
      </c>
      <c r="O70" s="70">
        <f>_xlfn.XLOOKUP(TB_Vendas[[#This Row],[Vendedor]],Vendedores!$A$4:$A$9,Vendedores!$D$4:$D$9)</f>
        <v>0.2</v>
      </c>
      <c r="P70" s="70">
        <f>IF(TB_Vendas[[#This Row],[Desc. Vend.]]&gt;TB_Vendas[[#This Row],[Desc.]],TB_Vendas[[#This Row],[Desc.]],TB_Vendas[[#This Row],[Desc. Vend.]])</f>
        <v>0.2</v>
      </c>
      <c r="Q70" s="8">
        <f>TB_Vendas[[#This Row],[Preço Unitário]]*TB_Vendas[[#This Row],[Qtd]]</f>
        <v>384.3</v>
      </c>
      <c r="R70" s="1" t="s">
        <v>129</v>
      </c>
    </row>
    <row r="71" spans="1:18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 cm="1">
        <f t="array" ref="E71">_xlfn.XLOOKUP(TB_Vendas[[#This Row],[Código]],TB_Produtos[[#All],[Código]],TB_Produtos[[#All],[Categoria]])</f>
        <v>Vestuário</v>
      </c>
      <c r="F71" s="10">
        <f>MATCH(TB_Vendas[[#This Row],[Categoria]],Desc_Categorias,0)</f>
        <v>3</v>
      </c>
      <c r="G71" s="1">
        <v>4</v>
      </c>
      <c r="H71" s="1">
        <f>MATCH(TB_Vendas[[#This Row],[Qtd]],Desc_Quantidades,1)</f>
        <v>4</v>
      </c>
      <c r="I71" s="29">
        <f>VLOOKUP(TB_Vendas[[#This Row],[Código]],Produtos!$B$6:$G$66,6,0)</f>
        <v>299.89999999999998</v>
      </c>
      <c r="J71" s="121" cm="1">
        <f t="array" ref="J71">_xlfn.IFS(TB_Vendas[[#This Row],[Categoria]]='Cadastros Auxiliares'!$C$8,2,TB_Vendas[[#This Row],[Categoria]]='Cadastros Auxiliares'!$D$8,3,TB_Vendas[[#This Row],[Categoria]]='Cadastros Auxiliares'!$E$8,4)</f>
        <v>3</v>
      </c>
      <c r="K71" s="121" cm="1">
        <f t="array" ref="K7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71" s="70" cm="1">
        <f t="array" ref="L71">INDEX(Desc_TabelaToda,TB_Vendas[[#This Row],[Índice Linha2]],TB_Vendas[[#This Row],[Índice Coluna2]])</f>
        <v>0.2</v>
      </c>
      <c r="M71" s="70" cm="1">
        <f t="array" ref="M71">INDEX(Desc_TabelaToda,TB_Vendas[[#This Row],[Índice Linha]],TB_Vendas[[#This Row],[Índice Coluna]])</f>
        <v>0.2</v>
      </c>
      <c r="N71" s="70" cm="1">
        <f t="array" ref="N71">INDEX(Desc_TabelaToda,MATCH(TB_Vendas[[#This Row],[Qtd]],Desc_Quantidades,1),MATCH(_xlfn.XLOOKUP(TB_Vendas[[#This Row],[Código]],TB_Produtos[[#All],[Código]],TB_Produtos[[#All],[Categoria]]),Desc_Categorias,0))</f>
        <v>0.2</v>
      </c>
      <c r="O71" s="70">
        <f>_xlfn.XLOOKUP(TB_Vendas[[#This Row],[Vendedor]],Vendedores!$A$4:$A$9,Vendedores!$D$4:$D$9)</f>
        <v>0.15</v>
      </c>
      <c r="P71" s="70">
        <f>IF(TB_Vendas[[#This Row],[Desc. Vend.]]&gt;TB_Vendas[[#This Row],[Desc.]],TB_Vendas[[#This Row],[Desc.]],TB_Vendas[[#This Row],[Desc. Vend.]])</f>
        <v>0.15</v>
      </c>
      <c r="Q71" s="8">
        <f>TB_Vendas[[#This Row],[Preço Unitário]]*TB_Vendas[[#This Row],[Qtd]]</f>
        <v>1199.5999999999999</v>
      </c>
      <c r="R71" s="1" t="s">
        <v>130</v>
      </c>
    </row>
    <row r="72" spans="1:18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 cm="1">
        <f t="array" ref="E72">_xlfn.XLOOKUP(TB_Vendas[[#This Row],[Código]],TB_Produtos[[#All],[Código]],TB_Produtos[[#All],[Categoria]])</f>
        <v>Vestuário</v>
      </c>
      <c r="F72" s="10">
        <f>MATCH(TB_Vendas[[#This Row],[Categoria]],Desc_Categorias,0)</f>
        <v>3</v>
      </c>
      <c r="G72" s="1">
        <v>3</v>
      </c>
      <c r="H72" s="1">
        <f>MATCH(TB_Vendas[[#This Row],[Qtd]],Desc_Quantidades,1)</f>
        <v>4</v>
      </c>
      <c r="I72" s="29">
        <f>VLOOKUP(TB_Vendas[[#This Row],[Código]],Produtos!$B$6:$G$66,6,0)</f>
        <v>259.89999999999998</v>
      </c>
      <c r="J72" s="121" cm="1">
        <f t="array" ref="J72">_xlfn.IFS(TB_Vendas[[#This Row],[Categoria]]='Cadastros Auxiliares'!$C$8,2,TB_Vendas[[#This Row],[Categoria]]='Cadastros Auxiliares'!$D$8,3,TB_Vendas[[#This Row],[Categoria]]='Cadastros Auxiliares'!$E$8,4)</f>
        <v>3</v>
      </c>
      <c r="K72" s="121" cm="1">
        <f t="array" ref="K7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72" s="70" cm="1">
        <f t="array" ref="L72">INDEX(Desc_TabelaToda,TB_Vendas[[#This Row],[Índice Linha2]],TB_Vendas[[#This Row],[Índice Coluna2]])</f>
        <v>0.2</v>
      </c>
      <c r="M72" s="70" cm="1">
        <f t="array" ref="M72">INDEX(Desc_TabelaToda,TB_Vendas[[#This Row],[Índice Linha]],TB_Vendas[[#This Row],[Índice Coluna]])</f>
        <v>0.2</v>
      </c>
      <c r="N72" s="70" cm="1">
        <f t="array" ref="N72">INDEX(Desc_TabelaToda,MATCH(TB_Vendas[[#This Row],[Qtd]],Desc_Quantidades,1),MATCH(_xlfn.XLOOKUP(TB_Vendas[[#This Row],[Código]],TB_Produtos[[#All],[Código]],TB_Produtos[[#All],[Categoria]]),Desc_Categorias,0))</f>
        <v>0.2</v>
      </c>
      <c r="O72" s="70">
        <f>_xlfn.XLOOKUP(TB_Vendas[[#This Row],[Vendedor]],Vendedores!$A$4:$A$9,Vendedores!$D$4:$D$9)</f>
        <v>0.2</v>
      </c>
      <c r="P72" s="70">
        <f>IF(TB_Vendas[[#This Row],[Desc. Vend.]]&gt;TB_Vendas[[#This Row],[Desc.]],TB_Vendas[[#This Row],[Desc.]],TB_Vendas[[#This Row],[Desc. Vend.]])</f>
        <v>0.2</v>
      </c>
      <c r="Q72" s="8">
        <f>TB_Vendas[[#This Row],[Preço Unitário]]*TB_Vendas[[#This Row],[Qtd]]</f>
        <v>779.69999999999993</v>
      </c>
      <c r="R72" s="1" t="s">
        <v>129</v>
      </c>
    </row>
    <row r="73" spans="1:18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 cm="1">
        <f t="array" ref="E73">_xlfn.XLOOKUP(TB_Vendas[[#This Row],[Código]],TB_Produtos[[#All],[Código]],TB_Produtos[[#All],[Categoria]])</f>
        <v>Vestuário</v>
      </c>
      <c r="F73" s="10">
        <f>MATCH(TB_Vendas[[#This Row],[Categoria]],Desc_Categorias,0)</f>
        <v>3</v>
      </c>
      <c r="G73" s="1">
        <v>9</v>
      </c>
      <c r="H73" s="1">
        <f>MATCH(TB_Vendas[[#This Row],[Qtd]],Desc_Quantidades,1)</f>
        <v>5</v>
      </c>
      <c r="I73" s="29">
        <f>VLOOKUP(TB_Vendas[[#This Row],[Código]],Produtos!$B$6:$G$66,6,0)</f>
        <v>72.5</v>
      </c>
      <c r="J73" s="121" cm="1">
        <f t="array" ref="J73">_xlfn.IFS(TB_Vendas[[#This Row],[Categoria]]='Cadastros Auxiliares'!$C$8,2,TB_Vendas[[#This Row],[Categoria]]='Cadastros Auxiliares'!$D$8,3,TB_Vendas[[#This Row],[Categoria]]='Cadastros Auxiliares'!$E$8,4)</f>
        <v>3</v>
      </c>
      <c r="K73" s="121" cm="1">
        <f t="array" ref="K7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73" s="70" cm="1">
        <f t="array" ref="L73">INDEX(Desc_TabelaToda,TB_Vendas[[#This Row],[Índice Linha2]],TB_Vendas[[#This Row],[Índice Coluna2]])</f>
        <v>0.25</v>
      </c>
      <c r="M73" s="70" cm="1">
        <f t="array" ref="M73">INDEX(Desc_TabelaToda,TB_Vendas[[#This Row],[Índice Linha]],TB_Vendas[[#This Row],[Índice Coluna]])</f>
        <v>0.25</v>
      </c>
      <c r="N73" s="70" cm="1">
        <f t="array" ref="N73">INDEX(Desc_TabelaToda,MATCH(TB_Vendas[[#This Row],[Qtd]],Desc_Quantidades,1),MATCH(_xlfn.XLOOKUP(TB_Vendas[[#This Row],[Código]],TB_Produtos[[#All],[Código]],TB_Produtos[[#All],[Categoria]]),Desc_Categorias,0))</f>
        <v>0.25</v>
      </c>
      <c r="O73" s="70">
        <f>_xlfn.XLOOKUP(TB_Vendas[[#This Row],[Vendedor]],Vendedores!$A$4:$A$9,Vendedores!$D$4:$D$9)</f>
        <v>0.1</v>
      </c>
      <c r="P73" s="70">
        <f>IF(TB_Vendas[[#This Row],[Desc. Vend.]]&gt;TB_Vendas[[#This Row],[Desc.]],TB_Vendas[[#This Row],[Desc.]],TB_Vendas[[#This Row],[Desc. Vend.]])</f>
        <v>0.1</v>
      </c>
      <c r="Q73" s="8">
        <f>TB_Vendas[[#This Row],[Preço Unitário]]*TB_Vendas[[#This Row],[Qtd]]</f>
        <v>652.5</v>
      </c>
      <c r="R73" s="1" t="s">
        <v>128</v>
      </c>
    </row>
    <row r="74" spans="1:18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 cm="1">
        <f t="array" ref="E74">_xlfn.XLOOKUP(TB_Vendas[[#This Row],[Código]],TB_Produtos[[#All],[Código]],TB_Produtos[[#All],[Categoria]])</f>
        <v>Vestuário</v>
      </c>
      <c r="F74" s="10">
        <f>MATCH(TB_Vendas[[#This Row],[Categoria]],Desc_Categorias,0)</f>
        <v>3</v>
      </c>
      <c r="G74" s="1">
        <v>4</v>
      </c>
      <c r="H74" s="1">
        <f>MATCH(TB_Vendas[[#This Row],[Qtd]],Desc_Quantidades,1)</f>
        <v>4</v>
      </c>
      <c r="I74" s="29">
        <f>VLOOKUP(TB_Vendas[[#This Row],[Código]],Produtos!$B$6:$G$66,6,0)</f>
        <v>300</v>
      </c>
      <c r="J74" s="121" cm="1">
        <f t="array" ref="J74">_xlfn.IFS(TB_Vendas[[#This Row],[Categoria]]='Cadastros Auxiliares'!$C$8,2,TB_Vendas[[#This Row],[Categoria]]='Cadastros Auxiliares'!$D$8,3,TB_Vendas[[#This Row],[Categoria]]='Cadastros Auxiliares'!$E$8,4)</f>
        <v>3</v>
      </c>
      <c r="K74" s="121" cm="1">
        <f t="array" ref="K7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74" s="70" cm="1">
        <f t="array" ref="L74">INDEX(Desc_TabelaToda,TB_Vendas[[#This Row],[Índice Linha2]],TB_Vendas[[#This Row],[Índice Coluna2]])</f>
        <v>0.2</v>
      </c>
      <c r="M74" s="70" cm="1">
        <f t="array" ref="M74">INDEX(Desc_TabelaToda,TB_Vendas[[#This Row],[Índice Linha]],TB_Vendas[[#This Row],[Índice Coluna]])</f>
        <v>0.2</v>
      </c>
      <c r="N74" s="70" cm="1">
        <f t="array" ref="N74">INDEX(Desc_TabelaToda,MATCH(TB_Vendas[[#This Row],[Qtd]],Desc_Quantidades,1),MATCH(_xlfn.XLOOKUP(TB_Vendas[[#This Row],[Código]],TB_Produtos[[#All],[Código]],TB_Produtos[[#All],[Categoria]]),Desc_Categorias,0))</f>
        <v>0.2</v>
      </c>
      <c r="O74" s="70">
        <f>_xlfn.XLOOKUP(TB_Vendas[[#This Row],[Vendedor]],Vendedores!$A$4:$A$9,Vendedores!$D$4:$D$9)</f>
        <v>0.15</v>
      </c>
      <c r="P74" s="70">
        <f>IF(TB_Vendas[[#This Row],[Desc. Vend.]]&gt;TB_Vendas[[#This Row],[Desc.]],TB_Vendas[[#This Row],[Desc.]],TB_Vendas[[#This Row],[Desc. Vend.]])</f>
        <v>0.15</v>
      </c>
      <c r="Q74" s="8">
        <f>TB_Vendas[[#This Row],[Preço Unitário]]*TB_Vendas[[#This Row],[Qtd]]</f>
        <v>1200</v>
      </c>
      <c r="R74" s="1" t="s">
        <v>130</v>
      </c>
    </row>
    <row r="75" spans="1:18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 cm="1">
        <f t="array" ref="E75">_xlfn.XLOOKUP(TB_Vendas[[#This Row],[Código]],TB_Produtos[[#All],[Código]],TB_Produtos[[#All],[Categoria]])</f>
        <v>Vestuário</v>
      </c>
      <c r="F75" s="10">
        <f>MATCH(TB_Vendas[[#This Row],[Categoria]],Desc_Categorias,0)</f>
        <v>3</v>
      </c>
      <c r="G75" s="1">
        <v>9</v>
      </c>
      <c r="H75" s="1">
        <f>MATCH(TB_Vendas[[#This Row],[Qtd]],Desc_Quantidades,1)</f>
        <v>5</v>
      </c>
      <c r="I75" s="29">
        <f>VLOOKUP(TB_Vendas[[#This Row],[Código]],Produtos!$B$6:$G$66,6,0)</f>
        <v>65.900000000000006</v>
      </c>
      <c r="J75" s="121" cm="1">
        <f t="array" ref="J75">_xlfn.IFS(TB_Vendas[[#This Row],[Categoria]]='Cadastros Auxiliares'!$C$8,2,TB_Vendas[[#This Row],[Categoria]]='Cadastros Auxiliares'!$D$8,3,TB_Vendas[[#This Row],[Categoria]]='Cadastros Auxiliares'!$E$8,4)</f>
        <v>3</v>
      </c>
      <c r="K75" s="121" cm="1">
        <f t="array" ref="K7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75" s="70" cm="1">
        <f t="array" ref="L75">INDEX(Desc_TabelaToda,TB_Vendas[[#This Row],[Índice Linha2]],TB_Vendas[[#This Row],[Índice Coluna2]])</f>
        <v>0.25</v>
      </c>
      <c r="M75" s="70" cm="1">
        <f t="array" ref="M75">INDEX(Desc_TabelaToda,TB_Vendas[[#This Row],[Índice Linha]],TB_Vendas[[#This Row],[Índice Coluna]])</f>
        <v>0.25</v>
      </c>
      <c r="N75" s="70" cm="1">
        <f t="array" ref="N75">INDEX(Desc_TabelaToda,MATCH(TB_Vendas[[#This Row],[Qtd]],Desc_Quantidades,1),MATCH(_xlfn.XLOOKUP(TB_Vendas[[#This Row],[Código]],TB_Produtos[[#All],[Código]],TB_Produtos[[#All],[Categoria]]),Desc_Categorias,0))</f>
        <v>0.25</v>
      </c>
      <c r="O75" s="70">
        <f>_xlfn.XLOOKUP(TB_Vendas[[#This Row],[Vendedor]],Vendedores!$A$4:$A$9,Vendedores!$D$4:$D$9)</f>
        <v>0.15</v>
      </c>
      <c r="P75" s="70">
        <f>IF(TB_Vendas[[#This Row],[Desc. Vend.]]&gt;TB_Vendas[[#This Row],[Desc.]],TB_Vendas[[#This Row],[Desc.]],TB_Vendas[[#This Row],[Desc. Vend.]])</f>
        <v>0.15</v>
      </c>
      <c r="Q75" s="8">
        <f>TB_Vendas[[#This Row],[Preço Unitário]]*TB_Vendas[[#This Row],[Qtd]]</f>
        <v>593.1</v>
      </c>
      <c r="R75" s="1" t="s">
        <v>130</v>
      </c>
    </row>
    <row r="76" spans="1:18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 cm="1">
        <f t="array" ref="E76">_xlfn.XLOOKUP(TB_Vendas[[#This Row],[Código]],TB_Produtos[[#All],[Código]],TB_Produtos[[#All],[Categoria]])</f>
        <v>Vestuário</v>
      </c>
      <c r="F76" s="10">
        <f>MATCH(TB_Vendas[[#This Row],[Categoria]],Desc_Categorias,0)</f>
        <v>3</v>
      </c>
      <c r="G76" s="1">
        <v>10</v>
      </c>
      <c r="H76" s="1">
        <f>MATCH(TB_Vendas[[#This Row],[Qtd]],Desc_Quantidades,1)</f>
        <v>6</v>
      </c>
      <c r="I76" s="29">
        <f>VLOOKUP(TB_Vendas[[#This Row],[Código]],Produtos!$B$6:$G$66,6,0)</f>
        <v>92.9</v>
      </c>
      <c r="J76" s="121" cm="1">
        <f t="array" ref="J76">_xlfn.IFS(TB_Vendas[[#This Row],[Categoria]]='Cadastros Auxiliares'!$C$8,2,TB_Vendas[[#This Row],[Categoria]]='Cadastros Auxiliares'!$D$8,3,TB_Vendas[[#This Row],[Categoria]]='Cadastros Auxiliares'!$E$8,4)</f>
        <v>3</v>
      </c>
      <c r="K76" s="121" cm="1">
        <f t="array" ref="K7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6</v>
      </c>
      <c r="L76" s="70" cm="1">
        <f t="array" ref="L76">INDEX(Desc_TabelaToda,TB_Vendas[[#This Row],[Índice Linha2]],TB_Vendas[[#This Row],[Índice Coluna2]])</f>
        <v>0.3</v>
      </c>
      <c r="M76" s="70" cm="1">
        <f t="array" ref="M76">INDEX(Desc_TabelaToda,TB_Vendas[[#This Row],[Índice Linha]],TB_Vendas[[#This Row],[Índice Coluna]])</f>
        <v>0.3</v>
      </c>
      <c r="N76" s="70" cm="1">
        <f t="array" ref="N76">INDEX(Desc_TabelaToda,MATCH(TB_Vendas[[#This Row],[Qtd]],Desc_Quantidades,1),MATCH(_xlfn.XLOOKUP(TB_Vendas[[#This Row],[Código]],TB_Produtos[[#All],[Código]],TB_Produtos[[#All],[Categoria]]),Desc_Categorias,0))</f>
        <v>0.3</v>
      </c>
      <c r="O76" s="70">
        <f>_xlfn.XLOOKUP(TB_Vendas[[#This Row],[Vendedor]],Vendedores!$A$4:$A$9,Vendedores!$D$4:$D$9)</f>
        <v>0.15</v>
      </c>
      <c r="P76" s="70">
        <f>IF(TB_Vendas[[#This Row],[Desc. Vend.]]&gt;TB_Vendas[[#This Row],[Desc.]],TB_Vendas[[#This Row],[Desc.]],TB_Vendas[[#This Row],[Desc. Vend.]])</f>
        <v>0.15</v>
      </c>
      <c r="Q76" s="8">
        <f>TB_Vendas[[#This Row],[Preço Unitário]]*TB_Vendas[[#This Row],[Qtd]]</f>
        <v>929</v>
      </c>
      <c r="R76" s="1" t="s">
        <v>130</v>
      </c>
    </row>
    <row r="77" spans="1:18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 cm="1">
        <f t="array" ref="E77">_xlfn.XLOOKUP(TB_Vendas[[#This Row],[Código]],TB_Produtos[[#All],[Código]],TB_Produtos[[#All],[Categoria]])</f>
        <v>Calçado</v>
      </c>
      <c r="F77" s="10">
        <f>MATCH(TB_Vendas[[#This Row],[Categoria]],Desc_Categorias,0)</f>
        <v>4</v>
      </c>
      <c r="G77" s="1">
        <v>1</v>
      </c>
      <c r="H77" s="1">
        <f>MATCH(TB_Vendas[[#This Row],[Qtd]],Desc_Quantidades,1)</f>
        <v>2</v>
      </c>
      <c r="I77" s="29">
        <f>VLOOKUP(TB_Vendas[[#This Row],[Código]],Produtos!$B$6:$G$66,6,0)</f>
        <v>89.9</v>
      </c>
      <c r="J77" s="121" cm="1">
        <f t="array" ref="J77">_xlfn.IFS(TB_Vendas[[#This Row],[Categoria]]='Cadastros Auxiliares'!$C$8,2,TB_Vendas[[#This Row],[Categoria]]='Cadastros Auxiliares'!$D$8,3,TB_Vendas[[#This Row],[Categoria]]='Cadastros Auxiliares'!$E$8,4)</f>
        <v>4</v>
      </c>
      <c r="K77" s="121" cm="1">
        <f t="array" ref="K77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77" s="70" cm="1">
        <f t="array" ref="L77">INDEX(Desc_TabelaToda,TB_Vendas[[#This Row],[Índice Linha2]],TB_Vendas[[#This Row],[Índice Coluna2]])</f>
        <v>0</v>
      </c>
      <c r="M77" s="70" cm="1">
        <f t="array" ref="M77">INDEX(Desc_TabelaToda,TB_Vendas[[#This Row],[Índice Linha]],TB_Vendas[[#This Row],[Índice Coluna]])</f>
        <v>0</v>
      </c>
      <c r="N77" s="70" cm="1">
        <f t="array" ref="N77">INDEX(Desc_TabelaToda,MATCH(TB_Vendas[[#This Row],[Qtd]],Desc_Quantidades,1),MATCH(_xlfn.XLOOKUP(TB_Vendas[[#This Row],[Código]],TB_Produtos[[#All],[Código]],TB_Produtos[[#All],[Categoria]]),Desc_Categorias,0))</f>
        <v>0</v>
      </c>
      <c r="O77" s="70">
        <f>_xlfn.XLOOKUP(TB_Vendas[[#This Row],[Vendedor]],Vendedores!$A$4:$A$9,Vendedores!$D$4:$D$9)</f>
        <v>0.1</v>
      </c>
      <c r="P77" s="70">
        <f>IF(TB_Vendas[[#This Row],[Desc. Vend.]]&gt;TB_Vendas[[#This Row],[Desc.]],TB_Vendas[[#This Row],[Desc.]],TB_Vendas[[#This Row],[Desc. Vend.]])</f>
        <v>0</v>
      </c>
      <c r="Q77" s="8">
        <f>TB_Vendas[[#This Row],[Preço Unitário]]*TB_Vendas[[#This Row],[Qtd]]</f>
        <v>89.9</v>
      </c>
      <c r="R77" s="1" t="s">
        <v>128</v>
      </c>
    </row>
    <row r="78" spans="1:18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 cm="1">
        <f t="array" ref="E78">_xlfn.XLOOKUP(TB_Vendas[[#This Row],[Código]],TB_Produtos[[#All],[Código]],TB_Produtos[[#All],[Categoria]])</f>
        <v>Vestuário</v>
      </c>
      <c r="F78" s="10">
        <f>MATCH(TB_Vendas[[#This Row],[Categoria]],Desc_Categorias,0)</f>
        <v>3</v>
      </c>
      <c r="G78" s="1">
        <v>2</v>
      </c>
      <c r="H78" s="1">
        <f>MATCH(TB_Vendas[[#This Row],[Qtd]],Desc_Quantidades,1)</f>
        <v>3</v>
      </c>
      <c r="I78" s="29">
        <f>VLOOKUP(TB_Vendas[[#This Row],[Código]],Produtos!$B$6:$G$66,6,0)</f>
        <v>49.9</v>
      </c>
      <c r="J78" s="121" cm="1">
        <f t="array" ref="J78">_xlfn.IFS(TB_Vendas[[#This Row],[Categoria]]='Cadastros Auxiliares'!$C$8,2,TB_Vendas[[#This Row],[Categoria]]='Cadastros Auxiliares'!$D$8,3,TB_Vendas[[#This Row],[Categoria]]='Cadastros Auxiliares'!$E$8,4)</f>
        <v>3</v>
      </c>
      <c r="K78" s="121" cm="1">
        <f t="array" ref="K78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78" s="70" cm="1">
        <f t="array" ref="L78">INDEX(Desc_TabelaToda,TB_Vendas[[#This Row],[Índice Linha2]],TB_Vendas[[#This Row],[Índice Coluna2]])</f>
        <v>0.15</v>
      </c>
      <c r="M78" s="70" cm="1">
        <f t="array" ref="M78">INDEX(Desc_TabelaToda,TB_Vendas[[#This Row],[Índice Linha]],TB_Vendas[[#This Row],[Índice Coluna]])</f>
        <v>0.15</v>
      </c>
      <c r="N78" s="70" cm="1">
        <f t="array" ref="N78">INDEX(Desc_TabelaToda,MATCH(TB_Vendas[[#This Row],[Qtd]],Desc_Quantidades,1),MATCH(_xlfn.XLOOKUP(TB_Vendas[[#This Row],[Código]],TB_Produtos[[#All],[Código]],TB_Produtos[[#All],[Categoria]]),Desc_Categorias,0))</f>
        <v>0.15</v>
      </c>
      <c r="O78" s="70">
        <f>_xlfn.XLOOKUP(TB_Vendas[[#This Row],[Vendedor]],Vendedores!$A$4:$A$9,Vendedores!$D$4:$D$9)</f>
        <v>0.1</v>
      </c>
      <c r="P78" s="70">
        <f>IF(TB_Vendas[[#This Row],[Desc. Vend.]]&gt;TB_Vendas[[#This Row],[Desc.]],TB_Vendas[[#This Row],[Desc.]],TB_Vendas[[#This Row],[Desc. Vend.]])</f>
        <v>0.1</v>
      </c>
      <c r="Q78" s="8">
        <f>TB_Vendas[[#This Row],[Preço Unitário]]*TB_Vendas[[#This Row],[Qtd]]</f>
        <v>99.8</v>
      </c>
      <c r="R78" s="1" t="s">
        <v>128</v>
      </c>
    </row>
    <row r="79" spans="1:18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 cm="1">
        <f t="array" ref="E79">_xlfn.XLOOKUP(TB_Vendas[[#This Row],[Código]],TB_Produtos[[#All],[Código]],TB_Produtos[[#All],[Categoria]])</f>
        <v>Vestuário</v>
      </c>
      <c r="F79" s="10">
        <f>MATCH(TB_Vendas[[#This Row],[Categoria]],Desc_Categorias,0)</f>
        <v>3</v>
      </c>
      <c r="G79" s="1">
        <v>8</v>
      </c>
      <c r="H79" s="1">
        <f>MATCH(TB_Vendas[[#This Row],[Qtd]],Desc_Quantidades,1)</f>
        <v>5</v>
      </c>
      <c r="I79" s="29">
        <f>VLOOKUP(TB_Vendas[[#This Row],[Código]],Produtos!$B$6:$G$66,6,0)</f>
        <v>70</v>
      </c>
      <c r="J79" s="121" cm="1">
        <f t="array" ref="J79">_xlfn.IFS(TB_Vendas[[#This Row],[Categoria]]='Cadastros Auxiliares'!$C$8,2,TB_Vendas[[#This Row],[Categoria]]='Cadastros Auxiliares'!$D$8,3,TB_Vendas[[#This Row],[Categoria]]='Cadastros Auxiliares'!$E$8,4)</f>
        <v>3</v>
      </c>
      <c r="K79" s="121" cm="1">
        <f t="array" ref="K79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79" s="70" cm="1">
        <f t="array" ref="L79">INDEX(Desc_TabelaToda,TB_Vendas[[#This Row],[Índice Linha2]],TB_Vendas[[#This Row],[Índice Coluna2]])</f>
        <v>0.25</v>
      </c>
      <c r="M79" s="70" cm="1">
        <f t="array" ref="M79">INDEX(Desc_TabelaToda,TB_Vendas[[#This Row],[Índice Linha]],TB_Vendas[[#This Row],[Índice Coluna]])</f>
        <v>0.25</v>
      </c>
      <c r="N79" s="70" cm="1">
        <f t="array" ref="N79">INDEX(Desc_TabelaToda,MATCH(TB_Vendas[[#This Row],[Qtd]],Desc_Quantidades,1),MATCH(_xlfn.XLOOKUP(TB_Vendas[[#This Row],[Código]],TB_Produtos[[#All],[Código]],TB_Produtos[[#All],[Categoria]]),Desc_Categorias,0))</f>
        <v>0.25</v>
      </c>
      <c r="O79" s="70">
        <f>_xlfn.XLOOKUP(TB_Vendas[[#This Row],[Vendedor]],Vendedores!$A$4:$A$9,Vendedores!$D$4:$D$9)</f>
        <v>0.25</v>
      </c>
      <c r="P79" s="70">
        <f>IF(TB_Vendas[[#This Row],[Desc. Vend.]]&gt;TB_Vendas[[#This Row],[Desc.]],TB_Vendas[[#This Row],[Desc.]],TB_Vendas[[#This Row],[Desc. Vend.]])</f>
        <v>0.25</v>
      </c>
      <c r="Q79" s="8">
        <f>TB_Vendas[[#This Row],[Preço Unitário]]*TB_Vendas[[#This Row],[Qtd]]</f>
        <v>560</v>
      </c>
      <c r="R79" s="1" t="s">
        <v>127</v>
      </c>
    </row>
    <row r="80" spans="1:18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 cm="1">
        <f t="array" ref="E80">_xlfn.XLOOKUP(TB_Vendas[[#This Row],[Código]],TB_Produtos[[#All],[Código]],TB_Produtos[[#All],[Categoria]])</f>
        <v>Vestuário</v>
      </c>
      <c r="F80" s="10">
        <f>MATCH(TB_Vendas[[#This Row],[Categoria]],Desc_Categorias,0)</f>
        <v>3</v>
      </c>
      <c r="G80" s="1">
        <v>5</v>
      </c>
      <c r="H80" s="1">
        <f>MATCH(TB_Vendas[[#This Row],[Qtd]],Desc_Quantidades,1)</f>
        <v>5</v>
      </c>
      <c r="I80" s="29">
        <f>VLOOKUP(TB_Vendas[[#This Row],[Código]],Produtos!$B$6:$G$66,6,0)</f>
        <v>46.9</v>
      </c>
      <c r="J80" s="121" cm="1">
        <f t="array" ref="J80">_xlfn.IFS(TB_Vendas[[#This Row],[Categoria]]='Cadastros Auxiliares'!$C$8,2,TB_Vendas[[#This Row],[Categoria]]='Cadastros Auxiliares'!$D$8,3,TB_Vendas[[#This Row],[Categoria]]='Cadastros Auxiliares'!$E$8,4)</f>
        <v>3</v>
      </c>
      <c r="K80" s="121" cm="1">
        <f t="array" ref="K80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80" s="70" cm="1">
        <f t="array" ref="L80">INDEX(Desc_TabelaToda,TB_Vendas[[#This Row],[Índice Linha2]],TB_Vendas[[#This Row],[Índice Coluna2]])</f>
        <v>0.25</v>
      </c>
      <c r="M80" s="70" cm="1">
        <f t="array" ref="M80">INDEX(Desc_TabelaToda,TB_Vendas[[#This Row],[Índice Linha]],TB_Vendas[[#This Row],[Índice Coluna]])</f>
        <v>0.25</v>
      </c>
      <c r="N80" s="70" cm="1">
        <f t="array" ref="N80">INDEX(Desc_TabelaToda,MATCH(TB_Vendas[[#This Row],[Qtd]],Desc_Quantidades,1),MATCH(_xlfn.XLOOKUP(TB_Vendas[[#This Row],[Código]],TB_Produtos[[#All],[Código]],TB_Produtos[[#All],[Categoria]]),Desc_Categorias,0))</f>
        <v>0.25</v>
      </c>
      <c r="O80" s="70">
        <f>_xlfn.XLOOKUP(TB_Vendas[[#This Row],[Vendedor]],Vendedores!$A$4:$A$9,Vendedores!$D$4:$D$9)</f>
        <v>0.1</v>
      </c>
      <c r="P80" s="70">
        <f>IF(TB_Vendas[[#This Row],[Desc. Vend.]]&gt;TB_Vendas[[#This Row],[Desc.]],TB_Vendas[[#This Row],[Desc.]],TB_Vendas[[#This Row],[Desc. Vend.]])</f>
        <v>0.1</v>
      </c>
      <c r="Q80" s="8">
        <f>TB_Vendas[[#This Row],[Preço Unitário]]*TB_Vendas[[#This Row],[Qtd]]</f>
        <v>234.5</v>
      </c>
      <c r="R80" s="1" t="s">
        <v>128</v>
      </c>
    </row>
    <row r="81" spans="1:18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 cm="1">
        <f t="array" ref="E81">_xlfn.XLOOKUP(TB_Vendas[[#This Row],[Código]],TB_Produtos[[#All],[Código]],TB_Produtos[[#All],[Categoria]])</f>
        <v>Vestuário</v>
      </c>
      <c r="F81" s="10">
        <f>MATCH(TB_Vendas[[#This Row],[Categoria]],Desc_Categorias,0)</f>
        <v>3</v>
      </c>
      <c r="G81" s="1">
        <v>10</v>
      </c>
      <c r="H81" s="1">
        <f>MATCH(TB_Vendas[[#This Row],[Qtd]],Desc_Quantidades,1)</f>
        <v>6</v>
      </c>
      <c r="I81" s="29">
        <f>VLOOKUP(TB_Vendas[[#This Row],[Código]],Produtos!$B$6:$G$66,6,0)</f>
        <v>289.89999999999998</v>
      </c>
      <c r="J81" s="121" cm="1">
        <f t="array" ref="J81">_xlfn.IFS(TB_Vendas[[#This Row],[Categoria]]='Cadastros Auxiliares'!$C$8,2,TB_Vendas[[#This Row],[Categoria]]='Cadastros Auxiliares'!$D$8,3,TB_Vendas[[#This Row],[Categoria]]='Cadastros Auxiliares'!$E$8,4)</f>
        <v>3</v>
      </c>
      <c r="K81" s="121" cm="1">
        <f t="array" ref="K81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6</v>
      </c>
      <c r="L81" s="70" cm="1">
        <f t="array" ref="L81">INDEX(Desc_TabelaToda,TB_Vendas[[#This Row],[Índice Linha2]],TB_Vendas[[#This Row],[Índice Coluna2]])</f>
        <v>0.3</v>
      </c>
      <c r="M81" s="70" cm="1">
        <f t="array" ref="M81">INDEX(Desc_TabelaToda,TB_Vendas[[#This Row],[Índice Linha]],TB_Vendas[[#This Row],[Índice Coluna]])</f>
        <v>0.3</v>
      </c>
      <c r="N81" s="70" cm="1">
        <f t="array" ref="N81">INDEX(Desc_TabelaToda,MATCH(TB_Vendas[[#This Row],[Qtd]],Desc_Quantidades,1),MATCH(_xlfn.XLOOKUP(TB_Vendas[[#This Row],[Código]],TB_Produtos[[#All],[Código]],TB_Produtos[[#All],[Categoria]]),Desc_Categorias,0))</f>
        <v>0.3</v>
      </c>
      <c r="O81" s="70">
        <f>_xlfn.XLOOKUP(TB_Vendas[[#This Row],[Vendedor]],Vendedores!$A$4:$A$9,Vendedores!$D$4:$D$9)</f>
        <v>0.25</v>
      </c>
      <c r="P81" s="70">
        <f>IF(TB_Vendas[[#This Row],[Desc. Vend.]]&gt;TB_Vendas[[#This Row],[Desc.]],TB_Vendas[[#This Row],[Desc.]],TB_Vendas[[#This Row],[Desc. Vend.]])</f>
        <v>0.25</v>
      </c>
      <c r="Q81" s="8">
        <f>TB_Vendas[[#This Row],[Preço Unitário]]*TB_Vendas[[#This Row],[Qtd]]</f>
        <v>2899</v>
      </c>
      <c r="R81" s="1" t="s">
        <v>127</v>
      </c>
    </row>
    <row r="82" spans="1:18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 cm="1">
        <f t="array" ref="E82">_xlfn.XLOOKUP(TB_Vendas[[#This Row],[Código]],TB_Produtos[[#All],[Código]],TB_Produtos[[#All],[Categoria]])</f>
        <v>Vestuário</v>
      </c>
      <c r="F82" s="10">
        <f>MATCH(TB_Vendas[[#This Row],[Categoria]],Desc_Categorias,0)</f>
        <v>3</v>
      </c>
      <c r="G82" s="1">
        <v>1</v>
      </c>
      <c r="H82" s="1">
        <f>MATCH(TB_Vendas[[#This Row],[Qtd]],Desc_Quantidades,1)</f>
        <v>2</v>
      </c>
      <c r="I82" s="29">
        <f>VLOOKUP(TB_Vendas[[#This Row],[Código]],Produtos!$B$6:$G$66,6,0)</f>
        <v>42.5</v>
      </c>
      <c r="J82" s="121" cm="1">
        <f t="array" ref="J82">_xlfn.IFS(TB_Vendas[[#This Row],[Categoria]]='Cadastros Auxiliares'!$C$8,2,TB_Vendas[[#This Row],[Categoria]]='Cadastros Auxiliares'!$D$8,3,TB_Vendas[[#This Row],[Categoria]]='Cadastros Auxiliares'!$E$8,4)</f>
        <v>3</v>
      </c>
      <c r="K82" s="121" cm="1">
        <f t="array" ref="K82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2</v>
      </c>
      <c r="L82" s="70" cm="1">
        <f t="array" ref="L82">INDEX(Desc_TabelaToda,TB_Vendas[[#This Row],[Índice Linha2]],TB_Vendas[[#This Row],[Índice Coluna2]])</f>
        <v>0.1</v>
      </c>
      <c r="M82" s="70" cm="1">
        <f t="array" ref="M82">INDEX(Desc_TabelaToda,TB_Vendas[[#This Row],[Índice Linha]],TB_Vendas[[#This Row],[Índice Coluna]])</f>
        <v>0.1</v>
      </c>
      <c r="N82" s="70" cm="1">
        <f t="array" ref="N82">INDEX(Desc_TabelaToda,MATCH(TB_Vendas[[#This Row],[Qtd]],Desc_Quantidades,1),MATCH(_xlfn.XLOOKUP(TB_Vendas[[#This Row],[Código]],TB_Produtos[[#All],[Código]],TB_Produtos[[#All],[Categoria]]),Desc_Categorias,0))</f>
        <v>0.1</v>
      </c>
      <c r="O82" s="70">
        <f>_xlfn.XLOOKUP(TB_Vendas[[#This Row],[Vendedor]],Vendedores!$A$4:$A$9,Vendedores!$D$4:$D$9)</f>
        <v>0.1</v>
      </c>
      <c r="P82" s="70">
        <f>IF(TB_Vendas[[#This Row],[Desc. Vend.]]&gt;TB_Vendas[[#This Row],[Desc.]],TB_Vendas[[#This Row],[Desc.]],TB_Vendas[[#This Row],[Desc. Vend.]])</f>
        <v>0.1</v>
      </c>
      <c r="Q82" s="8">
        <f>TB_Vendas[[#This Row],[Preço Unitário]]*TB_Vendas[[#This Row],[Qtd]]</f>
        <v>42.5</v>
      </c>
      <c r="R82" s="1" t="s">
        <v>128</v>
      </c>
    </row>
    <row r="83" spans="1:18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 cm="1">
        <f t="array" ref="E83">_xlfn.XLOOKUP(TB_Vendas[[#This Row],[Código]],TB_Produtos[[#All],[Código]],TB_Produtos[[#All],[Categoria]])</f>
        <v>Calçado</v>
      </c>
      <c r="F83" s="10">
        <f>MATCH(TB_Vendas[[#This Row],[Categoria]],Desc_Categorias,0)</f>
        <v>4</v>
      </c>
      <c r="G83" s="1">
        <v>2</v>
      </c>
      <c r="H83" s="1">
        <f>MATCH(TB_Vendas[[#This Row],[Qtd]],Desc_Quantidades,1)</f>
        <v>3</v>
      </c>
      <c r="I83" s="29">
        <f>VLOOKUP(TB_Vendas[[#This Row],[Código]],Produtos!$B$6:$G$66,6,0)</f>
        <v>89.9</v>
      </c>
      <c r="J83" s="121" cm="1">
        <f t="array" ref="J83">_xlfn.IFS(TB_Vendas[[#This Row],[Categoria]]='Cadastros Auxiliares'!$C$8,2,TB_Vendas[[#This Row],[Categoria]]='Cadastros Auxiliares'!$D$8,3,TB_Vendas[[#This Row],[Categoria]]='Cadastros Auxiliares'!$E$8,4)</f>
        <v>4</v>
      </c>
      <c r="K83" s="121" cm="1">
        <f t="array" ref="K83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3</v>
      </c>
      <c r="L83" s="70" cm="1">
        <f t="array" ref="L83">INDEX(Desc_TabelaToda,TB_Vendas[[#This Row],[Índice Linha2]],TB_Vendas[[#This Row],[Índice Coluna2]])</f>
        <v>0.1</v>
      </c>
      <c r="M83" s="70" cm="1">
        <f t="array" ref="M83">INDEX(Desc_TabelaToda,TB_Vendas[[#This Row],[Índice Linha]],TB_Vendas[[#This Row],[Índice Coluna]])</f>
        <v>0.1</v>
      </c>
      <c r="N83" s="70" cm="1">
        <f t="array" ref="N83">INDEX(Desc_TabelaToda,MATCH(TB_Vendas[[#This Row],[Qtd]],Desc_Quantidades,1),MATCH(_xlfn.XLOOKUP(TB_Vendas[[#This Row],[Código]],TB_Produtos[[#All],[Código]],TB_Produtos[[#All],[Categoria]]),Desc_Categorias,0))</f>
        <v>0.1</v>
      </c>
      <c r="O83" s="70">
        <f>_xlfn.XLOOKUP(TB_Vendas[[#This Row],[Vendedor]],Vendedores!$A$4:$A$9,Vendedores!$D$4:$D$9)</f>
        <v>0.25</v>
      </c>
      <c r="P83" s="70">
        <f>IF(TB_Vendas[[#This Row],[Desc. Vend.]]&gt;TB_Vendas[[#This Row],[Desc.]],TB_Vendas[[#This Row],[Desc.]],TB_Vendas[[#This Row],[Desc. Vend.]])</f>
        <v>0.1</v>
      </c>
      <c r="Q83" s="8">
        <f>TB_Vendas[[#This Row],[Preço Unitário]]*TB_Vendas[[#This Row],[Qtd]]</f>
        <v>179.8</v>
      </c>
      <c r="R83" s="1" t="s">
        <v>127</v>
      </c>
    </row>
    <row r="84" spans="1:18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 cm="1">
        <f t="array" ref="E84">_xlfn.XLOOKUP(TB_Vendas[[#This Row],[Código]],TB_Produtos[[#All],[Código]],TB_Produtos[[#All],[Categoria]])</f>
        <v>Calçado</v>
      </c>
      <c r="F84" s="10">
        <f>MATCH(TB_Vendas[[#This Row],[Categoria]],Desc_Categorias,0)</f>
        <v>4</v>
      </c>
      <c r="G84" s="1">
        <v>3</v>
      </c>
      <c r="H84" s="1">
        <f>MATCH(TB_Vendas[[#This Row],[Qtd]],Desc_Quantidades,1)</f>
        <v>4</v>
      </c>
      <c r="I84" s="29">
        <f>VLOOKUP(TB_Vendas[[#This Row],[Código]],Produtos!$B$6:$G$66,6,0)</f>
        <v>255</v>
      </c>
      <c r="J84" s="121" cm="1">
        <f t="array" ref="J84">_xlfn.IFS(TB_Vendas[[#This Row],[Categoria]]='Cadastros Auxiliares'!$C$8,2,TB_Vendas[[#This Row],[Categoria]]='Cadastros Auxiliares'!$D$8,3,TB_Vendas[[#This Row],[Categoria]]='Cadastros Auxiliares'!$E$8,4)</f>
        <v>4</v>
      </c>
      <c r="K84" s="121" cm="1">
        <f t="array" ref="K84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4</v>
      </c>
      <c r="L84" s="70" cm="1">
        <f t="array" ref="L84">INDEX(Desc_TabelaToda,TB_Vendas[[#This Row],[Índice Linha2]],TB_Vendas[[#This Row],[Índice Coluna2]])</f>
        <v>0.15</v>
      </c>
      <c r="M84" s="70" cm="1">
        <f t="array" ref="M84">INDEX(Desc_TabelaToda,TB_Vendas[[#This Row],[Índice Linha]],TB_Vendas[[#This Row],[Índice Coluna]])</f>
        <v>0.15</v>
      </c>
      <c r="N84" s="70" cm="1">
        <f t="array" ref="N84">INDEX(Desc_TabelaToda,MATCH(TB_Vendas[[#This Row],[Qtd]],Desc_Quantidades,1),MATCH(_xlfn.XLOOKUP(TB_Vendas[[#This Row],[Código]],TB_Produtos[[#All],[Código]],TB_Produtos[[#All],[Categoria]]),Desc_Categorias,0))</f>
        <v>0.15</v>
      </c>
      <c r="O84" s="70">
        <f>_xlfn.XLOOKUP(TB_Vendas[[#This Row],[Vendedor]],Vendedores!$A$4:$A$9,Vendedores!$D$4:$D$9)</f>
        <v>0.2</v>
      </c>
      <c r="P84" s="70">
        <f>IF(TB_Vendas[[#This Row],[Desc. Vend.]]&gt;TB_Vendas[[#This Row],[Desc.]],TB_Vendas[[#This Row],[Desc.]],TB_Vendas[[#This Row],[Desc. Vend.]])</f>
        <v>0.15</v>
      </c>
      <c r="Q84" s="8">
        <f>TB_Vendas[[#This Row],[Preço Unitário]]*TB_Vendas[[#This Row],[Qtd]]</f>
        <v>765</v>
      </c>
      <c r="R84" s="1" t="s">
        <v>126</v>
      </c>
    </row>
    <row r="85" spans="1:18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 cm="1">
        <f t="array" ref="E85">_xlfn.XLOOKUP(TB_Vendas[[#This Row],[Código]],TB_Produtos[[#All],[Código]],TB_Produtos[[#All],[Categoria]])</f>
        <v>Vestuário</v>
      </c>
      <c r="F85" s="10">
        <f>MATCH(TB_Vendas[[#This Row],[Categoria]],Desc_Categorias,0)</f>
        <v>3</v>
      </c>
      <c r="G85" s="1">
        <v>6</v>
      </c>
      <c r="H85" s="1">
        <f>MATCH(TB_Vendas[[#This Row],[Qtd]],Desc_Quantidades,1)</f>
        <v>5</v>
      </c>
      <c r="I85" s="29">
        <f>VLOOKUP(TB_Vendas[[#This Row],[Código]],Produtos!$B$6:$G$66,6,0)</f>
        <v>42.5</v>
      </c>
      <c r="J85" s="121" cm="1">
        <f t="array" ref="J85">_xlfn.IFS(TB_Vendas[[#This Row],[Categoria]]='Cadastros Auxiliares'!$C$8,2,TB_Vendas[[#This Row],[Categoria]]='Cadastros Auxiliares'!$D$8,3,TB_Vendas[[#This Row],[Categoria]]='Cadastros Auxiliares'!$E$8,4)</f>
        <v>3</v>
      </c>
      <c r="K85" s="121" cm="1">
        <f t="array" ref="K85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85" s="70" cm="1">
        <f t="array" ref="L85">INDEX(Desc_TabelaToda,TB_Vendas[[#This Row],[Índice Linha2]],TB_Vendas[[#This Row],[Índice Coluna2]])</f>
        <v>0.25</v>
      </c>
      <c r="M85" s="70" cm="1">
        <f t="array" ref="M85">INDEX(Desc_TabelaToda,TB_Vendas[[#This Row],[Índice Linha]],TB_Vendas[[#This Row],[Índice Coluna]])</f>
        <v>0.25</v>
      </c>
      <c r="N85" s="70" cm="1">
        <f t="array" ref="N85">INDEX(Desc_TabelaToda,MATCH(TB_Vendas[[#This Row],[Qtd]],Desc_Quantidades,1),MATCH(_xlfn.XLOOKUP(TB_Vendas[[#This Row],[Código]],TB_Produtos[[#All],[Código]],TB_Produtos[[#All],[Categoria]]),Desc_Categorias,0))</f>
        <v>0.25</v>
      </c>
      <c r="O85" s="70">
        <f>_xlfn.XLOOKUP(TB_Vendas[[#This Row],[Vendedor]],Vendedores!$A$4:$A$9,Vendedores!$D$4:$D$9)</f>
        <v>0.2</v>
      </c>
      <c r="P85" s="70">
        <f>IF(TB_Vendas[[#This Row],[Desc. Vend.]]&gt;TB_Vendas[[#This Row],[Desc.]],TB_Vendas[[#This Row],[Desc.]],TB_Vendas[[#This Row],[Desc. Vend.]])</f>
        <v>0.2</v>
      </c>
      <c r="Q85" s="8">
        <f>TB_Vendas[[#This Row],[Preço Unitário]]*TB_Vendas[[#This Row],[Qtd]]</f>
        <v>255</v>
      </c>
      <c r="R85" s="1" t="s">
        <v>129</v>
      </c>
    </row>
    <row r="86" spans="1:18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 cm="1">
        <f t="array" ref="E86">_xlfn.XLOOKUP(TB_Vendas[[#This Row],[Código]],TB_Produtos[[#All],[Código]],TB_Produtos[[#All],[Categoria]])</f>
        <v>Vestuário</v>
      </c>
      <c r="F86" s="10">
        <f>MATCH(TB_Vendas[[#This Row],[Categoria]],Desc_Categorias,0)</f>
        <v>3</v>
      </c>
      <c r="G86" s="1">
        <v>8</v>
      </c>
      <c r="H86" s="1">
        <f>MATCH(TB_Vendas[[#This Row],[Qtd]],Desc_Quantidades,1)</f>
        <v>5</v>
      </c>
      <c r="I86" s="29">
        <f>VLOOKUP(TB_Vendas[[#This Row],[Código]],Produtos!$B$6:$G$66,6,0)</f>
        <v>39.9</v>
      </c>
      <c r="J86" s="121" cm="1">
        <f t="array" ref="J86">_xlfn.IFS(TB_Vendas[[#This Row],[Categoria]]='Cadastros Auxiliares'!$C$8,2,TB_Vendas[[#This Row],[Categoria]]='Cadastros Auxiliares'!$D$8,3,TB_Vendas[[#This Row],[Categoria]]='Cadastros Auxiliares'!$E$8,4)</f>
        <v>3</v>
      </c>
      <c r="K86" s="121" cm="1">
        <f t="array" ref="K86">_xlfn.IFS(TB_Vendas[[#This Row],[Qtd]]&lt;'Cadastros Auxiliares'!$B$10,2,TB_Vendas[[#This Row],[Qtd]]&lt;'Cadastros Auxiliares'!$B$11,3,TB_Vendas[[#This Row],[Qtd]]&lt;'Cadastros Auxiliares'!$B$12,4,TB_Vendas[[#This Row],[Qtd]]&lt;'Cadastros Auxiliares'!$B$13,5,TRUE,6)</f>
        <v>5</v>
      </c>
      <c r="L86" s="70" cm="1">
        <f t="array" ref="L86">INDEX(Desc_TabelaToda,TB_Vendas[[#This Row],[Índice Linha2]],TB_Vendas[[#This Row],[Índice Coluna2]])</f>
        <v>0.25</v>
      </c>
      <c r="M86" s="70" cm="1">
        <f t="array" ref="M86">INDEX(Desc_TabelaToda,TB_Vendas[[#This Row],[Índice Linha]],TB_Vendas[[#This Row],[Índice Coluna]])</f>
        <v>0.25</v>
      </c>
      <c r="N86" s="70" cm="1">
        <f t="array" ref="N86">INDEX(Desc_TabelaToda,MATCH(TB_Vendas[[#This Row],[Qtd]],Desc_Quantidades,1),MATCH(_xlfn.XLOOKUP(TB_Vendas[[#This Row],[Código]],TB_Produtos[[#All],[Código]],TB_Produtos[[#All],[Categoria]]),Desc_Categorias,0))</f>
        <v>0.25</v>
      </c>
      <c r="O86" s="70">
        <f>_xlfn.XLOOKUP(TB_Vendas[[#This Row],[Vendedor]],Vendedores!$A$4:$A$9,Vendedores!$D$4:$D$9)</f>
        <v>0.25</v>
      </c>
      <c r="P86" s="70">
        <f>IF(TB_Vendas[[#This Row],[Desc. Vend.]]&gt;TB_Vendas[[#This Row],[Desc.]],TB_Vendas[[#This Row],[Desc.]],TB_Vendas[[#This Row],[Desc. Vend.]])</f>
        <v>0.25</v>
      </c>
      <c r="Q86" s="8">
        <f>TB_Vendas[[#This Row],[Preço Unitário]]*TB_Vendas[[#This Row],[Qtd]]</f>
        <v>319.2</v>
      </c>
      <c r="R86" s="1" t="s">
        <v>127</v>
      </c>
    </row>
  </sheetData>
  <phoneticPr fontId="12" type="noConversion"/>
  <conditionalFormatting sqref="G4:P4">
    <cfRule type="cellIs" dxfId="2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B6" sqref="B6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6" t="s">
        <v>134</v>
      </c>
      <c r="C1" s="86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opLeftCell="A6" zoomScale="130" zoomScaleNormal="130" workbookViewId="0">
      <selection activeCell="D13" sqref="D13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7" t="s">
        <v>154</v>
      </c>
      <c r="C4" s="87"/>
      <c r="D4" s="42"/>
      <c r="E4" s="87" t="s">
        <v>161</v>
      </c>
      <c r="F4" s="87"/>
    </row>
    <row r="5" spans="1:9" ht="5.25" customHeight="1" thickBot="1"/>
    <row r="6" spans="1:9" ht="24.6" customHeight="1" thickBot="1">
      <c r="B6" s="72" t="s">
        <v>155</v>
      </c>
      <c r="C6" s="71" t="s">
        <v>115</v>
      </c>
      <c r="E6" s="72" t="s">
        <v>160</v>
      </c>
      <c r="F6" s="76">
        <v>44949</v>
      </c>
    </row>
    <row r="7" spans="1:9" ht="24.6" customHeight="1" thickTop="1" thickBot="1">
      <c r="B7" s="72" t="s">
        <v>156</v>
      </c>
      <c r="C7" s="50" t="str">
        <f>IFERROR(VLOOKUP(C6,TB_Produtos[#All],2,FALSE),"")</f>
        <v>Sandália Rasteira</v>
      </c>
      <c r="E7" s="72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>
      <c r="B8" s="73" t="s">
        <v>157</v>
      </c>
      <c r="C8" s="48" cm="1">
        <f t="array" ref="C8">_xlfn.XLOOKUP(C6,TB_Produtos[[#All],[Código]],TB_Produtos[[#All],[Tamanho]],"")</f>
        <v>35</v>
      </c>
      <c r="E8" s="73" t="s">
        <v>164</v>
      </c>
      <c r="F8" s="77">
        <f>SUMIF(TB_Vendas[[#All],[Data]],Consultas!$F$6,TB_Vendas[[#All],[Total]])</f>
        <v>146</v>
      </c>
      <c r="G8" s="49"/>
    </row>
    <row r="9" spans="1:9" ht="24.6" customHeight="1" thickTop="1" thickBot="1">
      <c r="B9" s="74" t="s">
        <v>158</v>
      </c>
      <c r="C9" s="48" t="str">
        <f>IFERROR(VLOOKUP($C$6,Produtos!$B$6:$G$66,4,0),"")</f>
        <v>Calçado</v>
      </c>
      <c r="E9" s="75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4" t="s">
        <v>165</v>
      </c>
      <c r="C10" s="77">
        <f>_xlfn.XLOOKUP($C$6,Produtos!$B$6:$B$66,Produtos!$G$6:$G$66,"")</f>
        <v>89.9</v>
      </c>
      <c r="G10" s="49"/>
    </row>
    <row r="11" spans="1:9" ht="24.6" customHeight="1" thickTop="1" thickBot="1">
      <c r="B11" s="73" t="s">
        <v>159</v>
      </c>
      <c r="C11" s="48" cm="1">
        <f t="array" ref="C11">_xlfn.XLOOKUP($C$6,TB_Produtos[[#All],[Código]],TB_Produtos[[#All],[Estoque]],"")</f>
        <v>48</v>
      </c>
      <c r="G11" s="49"/>
    </row>
    <row r="12" spans="1:9" ht="23.25" thickTop="1" thickBot="1">
      <c r="B12" s="74" t="s">
        <v>166</v>
      </c>
      <c r="C12" s="48" t="str" cm="1">
        <f t="array" ref="C12">_xlfn.IFS(C11=0,"Estoque Zerado",C11&gt;=C13,"Estoque OK",1,"Rever Estoque")</f>
        <v>Estoque OK</v>
      </c>
      <c r="E12" s="78"/>
    </row>
    <row r="13" spans="1:9" ht="24.75" thickTop="1" thickBot="1">
      <c r="B13" s="75" t="s">
        <v>168</v>
      </c>
      <c r="C13" s="83">
        <f>_xlfn.XLOOKUP(C9,'Cadastros Auxiliares'!G9:G11,'Cadastros Auxiliares'!H9:H11)</f>
        <v>15</v>
      </c>
      <c r="E13" s="79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F17" sqref="F17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  <c r="G8" s="80" t="s">
        <v>10</v>
      </c>
      <c r="H8" s="81" t="s">
        <v>167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82">
        <v>5</v>
      </c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82">
        <v>10</v>
      </c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82">
        <v>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15" spans="2:10" ht="23.25">
      <c r="B15" s="79"/>
      <c r="C15" s="79"/>
      <c r="D15" s="79"/>
      <c r="E15" s="79"/>
      <c r="F15" s="79"/>
    </row>
    <row r="16" spans="2:10" ht="23.25">
      <c r="B16" s="79"/>
      <c r="C16" s="79" t="s">
        <v>60</v>
      </c>
      <c r="D16" s="79"/>
      <c r="E16" s="79"/>
      <c r="F16" s="79" cm="1">
        <f t="array" ref="F16">MATCH(_xlfn.XLOOKUP(C16,TB_Produtos[[#All],[Código]],TB_Produtos[[#All],[Categoria]]),Desc_Categorias,0)</f>
        <v>4</v>
      </c>
      <c r="G16" t="s">
        <v>170</v>
      </c>
    </row>
    <row r="17" spans="2:7" ht="23.25">
      <c r="B17" s="79"/>
      <c r="C17" s="79">
        <v>4</v>
      </c>
      <c r="D17" s="84">
        <f>VLOOKUP(C17,B9:E13,MATCH(C18,B8:E8,0),TRUE)</f>
        <v>0.15</v>
      </c>
      <c r="E17" s="79"/>
      <c r="F17" s="79">
        <f>MATCH(C17,B8:B13,1)</f>
        <v>4</v>
      </c>
      <c r="G17" t="s">
        <v>169</v>
      </c>
    </row>
    <row r="18" spans="2:7" ht="23.25">
      <c r="B18" s="79"/>
      <c r="C18" s="79" t="str" cm="1">
        <f t="array" ref="C18">_xlfn.XLOOKUP(C16,TB_Produtos[[#All],[Código]],TB_Produtos[[#All],[Categoria]])</f>
        <v>Calçado</v>
      </c>
      <c r="D18" s="79"/>
      <c r="E18" s="79"/>
      <c r="F18" s="84">
        <f>INDEX(B8:E13,MATCH(C17,B8:B13,1),MATCH(C18,B8:E8,0))</f>
        <v>0.15</v>
      </c>
    </row>
    <row r="19" spans="2:7" ht="23.25">
      <c r="B19" s="79"/>
      <c r="C19" s="79"/>
      <c r="D19" s="79"/>
      <c r="E19" s="79"/>
      <c r="F19" s="79"/>
    </row>
    <row r="20" spans="2:7" ht="23.25">
      <c r="B20" s="79"/>
      <c r="C20" s="79"/>
      <c r="D20" s="79"/>
      <c r="E20" s="79"/>
      <c r="F20" s="79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8" t="s">
        <v>78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90"/>
      <c r="AQ2" s="88" t="s">
        <v>79</v>
      </c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90"/>
      <c r="BK2" s="88" t="s">
        <v>80</v>
      </c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90"/>
    </row>
    <row r="3" spans="3:80" ht="9.75" customHeight="1" thickBot="1">
      <c r="W3" s="91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3"/>
      <c r="AQ3" s="91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3"/>
      <c r="BK3" s="91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3"/>
    </row>
    <row r="4" spans="3:80" ht="9.75" customHeight="1">
      <c r="W4" s="103">
        <f>COUNTA(TB_Produtos[Código])</f>
        <v>60</v>
      </c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5"/>
      <c r="AQ4" s="103">
        <f>SUM(TB_Vendas[Qtd])</f>
        <v>250</v>
      </c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5"/>
      <c r="BK4" s="112">
        <f>SUM(TB_Vendas[Total])</f>
        <v>33304.799999999988</v>
      </c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4"/>
    </row>
    <row r="5" spans="3:80" ht="9.75" customHeight="1">
      <c r="W5" s="106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8"/>
      <c r="AQ5" s="106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8"/>
      <c r="BK5" s="115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6"/>
      <c r="BW5" s="116"/>
      <c r="BX5" s="116"/>
      <c r="BY5" s="116"/>
      <c r="BZ5" s="116"/>
      <c r="CA5" s="116"/>
      <c r="CB5" s="117"/>
    </row>
    <row r="6" spans="3:80" ht="9.75" customHeight="1">
      <c r="W6" s="106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8"/>
      <c r="AQ6" s="106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8"/>
      <c r="BK6" s="115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7"/>
    </row>
    <row r="7" spans="3:80" ht="9.75" customHeight="1" thickBot="1">
      <c r="W7" s="109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1"/>
      <c r="AQ7" s="109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1"/>
      <c r="BK7" s="118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20"/>
    </row>
    <row r="8" spans="3:80" ht="9.75" customHeight="1" thickBot="1"/>
    <row r="9" spans="3:80" ht="9.75" customHeight="1">
      <c r="C9" s="88" t="s">
        <v>81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90"/>
    </row>
    <row r="10" spans="3:80" ht="9.75" customHeight="1" thickBot="1">
      <c r="C10" s="91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3"/>
    </row>
    <row r="11" spans="3:80" ht="9.75" customHeight="1">
      <c r="C11" s="94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6"/>
    </row>
    <row r="12" spans="3:80" ht="9.75" customHeight="1"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9"/>
    </row>
    <row r="13" spans="3:80" ht="9.75" customHeight="1">
      <c r="C13" s="97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9"/>
    </row>
    <row r="14" spans="3:80" ht="9.75" customHeight="1">
      <c r="C14" s="97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9"/>
    </row>
    <row r="15" spans="3:80" ht="9.75" customHeight="1">
      <c r="C15" s="97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9"/>
    </row>
    <row r="16" spans="3:80" ht="9.75" customHeight="1">
      <c r="C16" s="97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9"/>
    </row>
    <row r="17" spans="3:80" ht="9.75" customHeight="1">
      <c r="C17" s="97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9"/>
    </row>
    <row r="18" spans="3:80" ht="9.75" customHeight="1">
      <c r="C18" s="97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9"/>
    </row>
    <row r="19" spans="3:80" ht="9.75" customHeight="1">
      <c r="C19" s="97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9"/>
    </row>
    <row r="20" spans="3:80" ht="9.75" customHeight="1"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9"/>
    </row>
    <row r="21" spans="3:80" ht="9.75" customHeight="1">
      <c r="C21" s="97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9"/>
    </row>
    <row r="22" spans="3:80" ht="9.75" customHeight="1"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9"/>
    </row>
    <row r="23" spans="3:80" ht="9.75" customHeight="1">
      <c r="C23" s="97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9"/>
    </row>
    <row r="24" spans="3:80" ht="9.75" customHeight="1" thickBot="1">
      <c r="C24" s="100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2"/>
    </row>
    <row r="25" spans="3:80" ht="9.75" customHeight="1" thickBot="1"/>
    <row r="26" spans="3:80" ht="9.75" customHeight="1">
      <c r="C26" s="88" t="s">
        <v>82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90"/>
      <c r="AO26" s="13"/>
      <c r="AP26" s="13"/>
      <c r="AQ26" s="88" t="s">
        <v>83</v>
      </c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90"/>
    </row>
    <row r="27" spans="3:80" ht="9.75" customHeight="1" thickBot="1"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3"/>
      <c r="AO27" s="13"/>
      <c r="AP27" s="13"/>
      <c r="AQ27" s="91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3"/>
    </row>
    <row r="28" spans="3:80" ht="9.75" customHeight="1">
      <c r="C28" s="94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6"/>
      <c r="AQ28" s="94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6"/>
    </row>
    <row r="29" spans="3:80" ht="9.75" customHeight="1">
      <c r="C29" s="97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Q29" s="97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9"/>
    </row>
    <row r="30" spans="3:80" ht="9.75" customHeight="1">
      <c r="C30" s="97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Q30" s="97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9"/>
    </row>
    <row r="31" spans="3:80" ht="9.75" customHeight="1"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Q31" s="97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9"/>
    </row>
    <row r="32" spans="3:80" ht="9.75" customHeight="1">
      <c r="C32" s="97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Q32" s="97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9"/>
    </row>
    <row r="33" spans="3:80" ht="9.75" customHeight="1">
      <c r="C33" s="97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Q33" s="97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9"/>
    </row>
    <row r="34" spans="3:80" ht="9.75" customHeight="1"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Q34" s="97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9"/>
    </row>
    <row r="35" spans="3:80" ht="9.75" customHeight="1">
      <c r="C35" s="97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Q35" s="97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9"/>
    </row>
    <row r="36" spans="3:80" ht="9.75" customHeight="1">
      <c r="C36" s="97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Q36" s="97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9"/>
    </row>
    <row r="37" spans="3:80" ht="9.75" customHeight="1">
      <c r="C37" s="97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Q37" s="97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9"/>
    </row>
    <row r="38" spans="3:80" ht="9.75" customHeight="1">
      <c r="C38" s="97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Q38" s="97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9"/>
    </row>
    <row r="39" spans="3:80" ht="9.75" customHeight="1">
      <c r="C39" s="97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Q39" s="97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9"/>
    </row>
    <row r="40" spans="3:80" ht="9.75" customHeight="1"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Q40" s="97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9"/>
    </row>
    <row r="41" spans="3:80" ht="9.75" customHeight="1">
      <c r="C41" s="97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Q41" s="97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9"/>
    </row>
    <row r="42" spans="3:80" ht="9.75" customHeight="1">
      <c r="C42" s="97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Q42" s="97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9"/>
    </row>
    <row r="43" spans="3:80" ht="9.75" customHeight="1">
      <c r="C43" s="97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Q43" s="97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9"/>
    </row>
    <row r="44" spans="3:80" ht="9.75" customHeight="1">
      <c r="C44" s="97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Q44" s="97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9"/>
    </row>
    <row r="45" spans="3:80" ht="9.75" customHeight="1">
      <c r="C45" s="97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Q45" s="97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9"/>
    </row>
    <row r="46" spans="3:80" ht="9.75" customHeight="1" thickBot="1">
      <c r="C46" s="100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Q46" s="100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/>
      <c r="BY46" s="101"/>
      <c r="BZ46" s="101"/>
      <c r="CA46" s="101"/>
      <c r="CB46" s="102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Vendas</vt:lpstr>
      <vt:lpstr>Vendedores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2024-03-30T22:06:09Z</dcterms:modified>
</cp:coreProperties>
</file>